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設定" sheetId="2" state="visible" r:id="rId2"/>
    <sheet xmlns:r="http://schemas.openxmlformats.org/officeDocument/2006/relationships" name="固定資産台帳" sheetId="3" state="visible" r:id="rId3"/>
    <sheet xmlns:r="http://schemas.openxmlformats.org/officeDocument/2006/relationships" name="決算書への転記" sheetId="4" state="visible" r:id="rId4"/>
    <sheet xmlns:r="http://schemas.openxmlformats.org/officeDocument/2006/relationships" name="償却予定表" sheetId="5" state="visible" r:id="rId5"/>
    <sheet xmlns:r="http://schemas.openxmlformats.org/officeDocument/2006/relationships" name="年別の償却費" sheetId="6" state="visible" r:id="rId6"/>
    <sheet xmlns:r="http://schemas.openxmlformats.org/officeDocument/2006/relationships" name="耐用年数の例" sheetId="7" state="visible" r:id="rId7"/>
    <sheet xmlns:r="http://schemas.openxmlformats.org/officeDocument/2006/relationships" name="償却率表" sheetId="8" state="visible" r:id="rId8"/>
    <sheet xmlns:r="http://schemas.openxmlformats.org/officeDocument/2006/relationships" name="計算（触らない）" sheetId="9" state="visible" r:id="rId9"/>
  </sheets>
  <definedNames>
    <definedName name="_xlnm.Print_Area" localSheetId="0">'使い方'!$A$1:$B$49</definedName>
    <definedName name="_xlnm.Print_Area" localSheetId="1">'設定'!$A$1:$C$17</definedName>
    <definedName name="_xlnm.Print_Titles" localSheetId="2">'固定資産台帳'!$5:$5</definedName>
    <definedName name="_xlnm.Print_Area" localSheetId="2">'固定資産台帳'!$A$1:$S$35</definedName>
    <definedName name="_xlnm.Print_Titles" localSheetId="3">'決算書への転記'!$5:$6</definedName>
    <definedName name="_xlnm.Print_Area" localSheetId="3">'決算書への転記'!$A$1:$R$36</definedName>
    <definedName name="_xlnm.Print_Titles" localSheetId="4">'償却予定表'!$12:$12</definedName>
    <definedName name="_xlnm.Print_Area" localSheetId="4">'償却予定表'!$A$1:$H$64</definedName>
    <definedName name="_xlnm.Print_Titles" localSheetId="5">'年別の償却費'!$4:$5</definedName>
    <definedName name="_xlnm.Print_Area" localSheetId="5">'年別の償却費'!$A$1:$M$35</definedName>
    <definedName name="_xlnm.Print_Titles" localSheetId="6">'耐用年数の例'!$12:$12</definedName>
    <definedName name="_xlnm.Print_Area" localSheetId="6">'耐用年数の例'!$A$1:$E$79</definedName>
    <definedName name="_xlnm.Print_Titles" localSheetId="7">'償却率表'!$4:$5</definedName>
    <definedName name="_xlnm.Print_Area" localSheetId="7">'償却率表'!$A$1:$H$104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0&quot;月&quot;"/>
    <numFmt numFmtId="165" formatCode="0&quot;年&quot;"/>
    <numFmt numFmtId="166" formatCode="#,##0;-#,##0;0"/>
    <numFmt numFmtId="167" formatCode="yyyy/m/d"/>
    <numFmt numFmtId="168" formatCode="0.000;-0.000;&quot;―&quot;"/>
    <numFmt numFmtId="169" formatCode="yyyy&quot;年&quot;m&quot;月&quot;"/>
    <numFmt numFmtId="170" formatCode="&quot;(&quot;#,##0&quot;)&quot;;;"/>
    <numFmt numFmtId="171" formatCode="0.00000;-0.00000;&quot;―&quot;"/>
    <numFmt numFmtId="172" formatCode="#,##0;-#,##0;"/>
  </numFmts>
  <fonts count="15">
    <font>
      <name val="Calibri"/>
      <family val="2"/>
      <color theme="1"/>
      <sz val="11"/>
      <scheme val="minor"/>
    </font>
    <font>
      <name val="Yu Gothic"/>
      <b val="1"/>
      <color rgb="00FFFFFF"/>
      <sz val="13"/>
    </font>
    <font>
      <name val="Yu Gothic"/>
      <b val="1"/>
      <color rgb="001B3A5C"/>
      <sz val="10"/>
    </font>
    <font>
      <name val="Yu Gothic"/>
      <color rgb="001A1A1A"/>
      <sz val="10"/>
    </font>
    <font>
      <name val="Yu Gothic"/>
      <color rgb="0066707A"/>
      <sz val="9"/>
    </font>
    <font>
      <name val="Yu Gothic"/>
      <b val="1"/>
      <color rgb="00FFFFFF"/>
      <sz val="11"/>
    </font>
    <font>
      <name val="Yu Gothic"/>
      <b val="1"/>
      <color rgb="001A1A1A"/>
      <sz val="10"/>
    </font>
    <font>
      <name val="Yu Gothic"/>
      <b val="1"/>
      <color rgb="00B3261E"/>
      <sz val="10"/>
    </font>
    <font>
      <name val="Yu Gothic"/>
      <b val="1"/>
      <color rgb="00FFFFFF"/>
      <sz val="9"/>
    </font>
    <font>
      <name val="Yu Gothic"/>
      <color rgb="001A1A1A"/>
      <sz val="9"/>
    </font>
    <font>
      <name val="Yu Gothic"/>
      <color rgb="001A1A1A"/>
      <sz val="8"/>
    </font>
    <font>
      <name val="Yu Gothic"/>
      <b val="1"/>
      <color rgb="001B3A5C"/>
      <sz val="12"/>
    </font>
    <font>
      <name val="Yu Gothic"/>
      <color theme="1"/>
      <sz val="11"/>
    </font>
    <font>
      <name val="Yu Gothic"/>
      <b val="1"/>
      <color rgb="FF1B3A5C"/>
      <sz val="10"/>
    </font>
    <font>
      <name val="Yu Gothic"/>
      <b val="1"/>
      <color rgb="FF1B3A5C"/>
      <sz val="12"/>
    </font>
  </fonts>
  <fills count="7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2F2EF"/>
      </patternFill>
    </fill>
    <fill>
      <patternFill patternType="solid">
        <fgColor rgb="00FFF9E6"/>
      </patternFill>
    </fill>
    <fill>
      <patternFill patternType="solid">
        <fgColor rgb="004A5D73"/>
      </patternFill>
    </fill>
    <fill>
      <patternFill patternType="solid">
        <fgColor rgb="00EEF1F4"/>
      </patternFill>
    </fill>
  </fills>
  <borders count="13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 style="thin">
        <color rgb="00B9C4CF"/>
      </bottom>
      <diagonal/>
    </border>
    <border>
      <left/>
      <right/>
      <top style="thin">
        <color rgb="00B9C4CF"/>
      </top>
      <bottom style="thin">
        <color rgb="00B9C4CF"/>
      </bottom>
      <diagonal/>
    </border>
    <border>
      <left style="thin">
        <color rgb="00B9C4CF"/>
      </left>
      <right/>
      <top/>
      <bottom/>
      <diagonal/>
    </border>
    <border>
      <left style="thin">
        <color rgb="00B9C4CF"/>
      </left>
      <right style="thin">
        <color rgb="00B9C4CF"/>
      </right>
      <top/>
      <bottom/>
      <diagonal/>
    </border>
    <border>
      <left style="thin">
        <color rgb="00B9C4CF"/>
      </left>
      <right style="thin">
        <color rgb="00B9C4CF"/>
      </right>
      <top/>
      <bottom style="thin">
        <color rgb="00B9C4CF"/>
      </bottom>
      <diagonal/>
    </border>
    <border>
      <left/>
      <right/>
      <top/>
      <bottom/>
    </border>
    <border>
      <left/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 style="thin">
        <color rgb="00B9C4CF"/>
      </bottom>
    </border>
    <border>
      <left style="thin">
        <color rgb="00B9C4CF"/>
      </left>
      <right style="thin">
        <color rgb="00B9C4CF"/>
      </right>
      <top/>
      <bottom style="thin">
        <color rgb="00B9C4CF"/>
      </bottom>
    </border>
  </borders>
  <cellStyleXfs count="1">
    <xf numFmtId="0" fontId="0" fillId="0" borderId="0"/>
  </cellStyleXfs>
  <cellXfs count="89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3" fillId="0" borderId="0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left" vertical="center" wrapText="1"/>
    </xf>
    <xf numFmtId="0" fontId="5" fillId="5" borderId="0" applyAlignment="1" pivotButton="0" quotePrefix="0" xfId="0">
      <alignment horizontal="left" vertical="center" wrapText="1"/>
    </xf>
    <xf numFmtId="0" fontId="0" fillId="5" borderId="0" pivotButton="0" quotePrefix="0" xfId="0"/>
    <xf numFmtId="0" fontId="6" fillId="6" borderId="1" applyAlignment="1" pivotButton="0" quotePrefix="0" xfId="0">
      <alignment horizontal="left" vertical="center" shrinkToFit="1"/>
    </xf>
    <xf numFmtId="0" fontId="0" fillId="0" borderId="4" pivotButton="0" quotePrefix="0" xfId="0"/>
    <xf numFmtId="166" fontId="6" fillId="6" borderId="1" applyAlignment="1" pivotButton="0" quotePrefix="0" xfId="0">
      <alignment horizontal="right" vertical="center" shrinkToFit="1"/>
    </xf>
    <xf numFmtId="0" fontId="7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8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8" fillId="2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left" vertical="center" shrinkToFit="1"/>
    </xf>
    <xf numFmtId="0" fontId="9" fillId="4" borderId="1" applyAlignment="1" pivotButton="0" quotePrefix="0" xfId="0">
      <alignment horizontal="center" vertical="center" wrapText="1"/>
    </xf>
    <xf numFmtId="167" fontId="9" fillId="4" borderId="1" applyAlignment="1" pivotButton="0" quotePrefix="0" xfId="0">
      <alignment horizontal="center" vertical="center" wrapText="1"/>
    </xf>
    <xf numFmtId="166" fontId="9" fillId="4" borderId="1" applyAlignment="1" pivotButton="0" quotePrefix="0" xfId="0">
      <alignment horizontal="right" vertical="center" shrinkToFit="1"/>
    </xf>
    <xf numFmtId="1" fontId="9" fillId="4" borderId="1" applyAlignment="1" pivotButton="0" quotePrefix="0" xfId="0">
      <alignment horizontal="center" vertical="center" wrapText="1"/>
    </xf>
    <xf numFmtId="9" fontId="9" fillId="4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left" vertical="center" wrapText="1"/>
    </xf>
    <xf numFmtId="166" fontId="9" fillId="6" borderId="1" applyAlignment="1" pivotButton="0" quotePrefix="0" xfId="0">
      <alignment horizontal="right" vertical="center" shrinkToFit="1"/>
    </xf>
    <xf numFmtId="0" fontId="9" fillId="6" borderId="1" applyAlignment="1" pivotButton="0" quotePrefix="0" xfId="0">
      <alignment horizontal="center" vertical="center" wrapText="1"/>
    </xf>
    <xf numFmtId="168" fontId="9" fillId="6" borderId="1" applyAlignment="1" pivotButton="0" quotePrefix="0" xfId="0">
      <alignment horizontal="center" vertical="center" wrapText="1"/>
    </xf>
    <xf numFmtId="0" fontId="10" fillId="6" borderId="1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3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shrinkToFit="1"/>
    </xf>
    <xf numFmtId="169" fontId="9" fillId="0" borderId="1" applyAlignment="1" pivotButton="0" quotePrefix="0" xfId="0">
      <alignment horizontal="center" vertical="center" wrapText="1"/>
    </xf>
    <xf numFmtId="166" fontId="9" fillId="0" borderId="1" applyAlignment="1" pivotButton="0" quotePrefix="0" xfId="0">
      <alignment horizontal="right" vertical="center" shrinkToFit="1"/>
    </xf>
    <xf numFmtId="170" fontId="9" fillId="0" borderId="1" applyAlignment="1" pivotButton="0" quotePrefix="0" xfId="0">
      <alignment horizontal="right" vertical="center" shrinkToFit="1"/>
    </xf>
    <xf numFmtId="168" fontId="9" fillId="0" borderId="1" applyAlignment="1" pivotButton="0" quotePrefix="0" xfId="0">
      <alignment horizontal="center" vertical="center" wrapText="1"/>
    </xf>
    <xf numFmtId="9" fontId="9" fillId="0" borderId="1" applyAlignment="1" pivotButton="0" quotePrefix="0" xfId="0">
      <alignment horizontal="center" vertical="center" wrapText="1"/>
    </xf>
    <xf numFmtId="1" fontId="11" fillId="4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168" fontId="6" fillId="6" borderId="1" applyAlignment="1" pivotButton="0" quotePrefix="0" xfId="0">
      <alignment horizontal="left" vertical="center" shrinkToFit="1"/>
    </xf>
    <xf numFmtId="167" fontId="6" fillId="6" borderId="1" applyAlignment="1" pivotButton="0" quotePrefix="0" xfId="0">
      <alignment horizontal="left" vertical="center" shrinkToFit="1"/>
    </xf>
    <xf numFmtId="171" fontId="6" fillId="6" borderId="1" applyAlignment="1" pivotButton="0" quotePrefix="0" xfId="0">
      <alignment horizontal="left" vertical="center" shrinkToFit="1"/>
    </xf>
    <xf numFmtId="166" fontId="6" fillId="6" borderId="1" applyAlignment="1" pivotButton="0" quotePrefix="0" xfId="0">
      <alignment horizontal="left" vertical="center" shrinkToFit="1"/>
    </xf>
    <xf numFmtId="9" fontId="6" fillId="6" borderId="1" applyAlignment="1" pivotButton="0" quotePrefix="0" xfId="0">
      <alignment horizontal="left" vertical="center" shrinkToFit="1"/>
    </xf>
    <xf numFmtId="1" fontId="9" fillId="0" borderId="1" applyAlignment="1" pivotButton="0" quotePrefix="0" xfId="0">
      <alignment horizontal="center" vertical="center" wrapText="1"/>
    </xf>
    <xf numFmtId="172" fontId="9" fillId="0" borderId="1" applyAlignment="1" pivotButton="0" quotePrefix="0" xfId="0">
      <alignment horizontal="right" vertical="center" shrinkToFit="1"/>
    </xf>
    <xf numFmtId="1" fontId="3" fillId="4" borderId="1" applyAlignment="1" pivotButton="0" quotePrefix="0" xfId="0">
      <alignment horizontal="center" vertical="center" wrapText="1"/>
    </xf>
    <xf numFmtId="165" fontId="11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165" fontId="9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top" wrapText="1"/>
    </xf>
    <xf numFmtId="0" fontId="0" fillId="2" borderId="1" pivotButton="0" quotePrefix="0" xfId="0"/>
    <xf numFmtId="0" fontId="0" fillId="0" borderId="8" pivotButton="0" quotePrefix="0" xfId="0"/>
    <xf numFmtId="165" fontId="6" fillId="3" borderId="1" applyAlignment="1" pivotButton="0" quotePrefix="0" xfId="0">
      <alignment horizontal="center" vertical="center" wrapText="1"/>
    </xf>
    <xf numFmtId="171" fontId="9" fillId="0" borderId="1" applyAlignment="1" pivotButton="0" quotePrefix="0" xfId="0">
      <alignment horizontal="center" vertical="center" wrapText="1"/>
    </xf>
    <xf numFmtId="167" fontId="0" fillId="0" borderId="0" pivotButton="0" quotePrefix="0" xfId="0"/>
    <xf numFmtId="0" fontId="7" fillId="0" borderId="0" pivotButton="0" quotePrefix="0" xfId="0"/>
    <xf numFmtId="0" fontId="4" fillId="0" borderId="0" pivotButton="0" quotePrefix="0" xfId="0"/>
    <xf numFmtId="0" fontId="8" fillId="5" borderId="0" applyAlignment="1" pivotButton="0" quotePrefix="0" xfId="0">
      <alignment horizontal="center" vertical="center" wrapText="1"/>
    </xf>
    <xf numFmtId="0" fontId="8" fillId="2" borderId="0" applyAlignment="1" pivotButton="0" quotePrefix="0" xfId="0">
      <alignment horizontal="center" vertical="center" wrapText="1"/>
    </xf>
    <xf numFmtId="0" fontId="1" fillId="2" borderId="9" applyAlignment="1" pivotButton="0" quotePrefix="0" xfId="0">
      <alignment horizontal="left" vertical="center" wrapText="1"/>
    </xf>
    <xf numFmtId="0" fontId="12" fillId="0" borderId="9" pivotButton="0" quotePrefix="0" xfId="0"/>
    <xf numFmtId="0" fontId="13" fillId="3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top" wrapText="1"/>
    </xf>
    <xf numFmtId="0" fontId="13" fillId="3" borderId="1" applyAlignment="1" pivotButton="0" quotePrefix="0" xfId="0">
      <alignment horizontal="left" vertical="center" wrapText="1"/>
    </xf>
    <xf numFmtId="0" fontId="4" fillId="0" borderId="9" applyAlignment="1" pivotButton="0" quotePrefix="0" xfId="0">
      <alignment horizontal="left" vertical="center" wrapText="1"/>
    </xf>
    <xf numFmtId="0" fontId="5" fillId="5" borderId="9" applyAlignment="1" pivotButton="0" quotePrefix="0" xfId="0">
      <alignment horizontal="left" vertical="center" wrapText="1"/>
    </xf>
    <xf numFmtId="0" fontId="12" fillId="0" borderId="10" pivotButton="0" quotePrefix="0" xfId="0"/>
    <xf numFmtId="0" fontId="7" fillId="0" borderId="9" applyAlignment="1" pivotButton="0" quotePrefix="0" xfId="0">
      <alignment horizontal="left" vertical="center" wrapText="1"/>
    </xf>
    <xf numFmtId="0" fontId="13" fillId="0" borderId="9" applyAlignment="1" pivotButton="0" quotePrefix="0" xfId="0">
      <alignment horizontal="left" vertical="center" wrapText="1"/>
    </xf>
    <xf numFmtId="0" fontId="12" fillId="0" borderId="11" pivotButton="0" quotePrefix="0" xfId="0"/>
    <xf numFmtId="0" fontId="3" fillId="0" borderId="9" applyAlignment="1" pivotButton="0" quotePrefix="0" xfId="0">
      <alignment horizontal="left" vertical="center" wrapText="1"/>
    </xf>
    <xf numFmtId="0" fontId="13" fillId="3" borderId="1" applyAlignment="1" pivotButton="0" quotePrefix="0" xfId="0">
      <alignment horizontal="center" vertical="center" wrapText="1"/>
    </xf>
    <xf numFmtId="1" fontId="14" fillId="4" borderId="1" applyAlignment="1" pivotButton="0" quotePrefix="0" xfId="0">
      <alignment horizontal="center" vertical="center" wrapText="1"/>
    </xf>
    <xf numFmtId="165" fontId="14" fillId="6" borderId="1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left" vertical="top" wrapText="1"/>
    </xf>
    <xf numFmtId="0" fontId="12" fillId="0" borderId="12" pivotButton="0" quotePrefix="0" xfId="0"/>
    <xf numFmtId="167" fontId="12" fillId="0" borderId="9" pivotButton="0" quotePrefix="0" xfId="0"/>
    <xf numFmtId="0" fontId="7" fillId="0" borderId="9" pivotButton="0" quotePrefix="0" xfId="0"/>
    <xf numFmtId="0" fontId="4" fillId="0" borderId="9" pivotButton="0" quotePrefix="0" xfId="0"/>
    <xf numFmtId="0" fontId="8" fillId="5" borderId="9" applyAlignment="1" pivotButton="0" quotePrefix="0" xfId="0">
      <alignment horizontal="center" vertical="center" wrapText="1"/>
    </xf>
    <xf numFmtId="0" fontId="8" fillId="2" borderId="9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b val="1"/>
        <color rgb="00B3261E"/>
      </font>
      <fill>
        <patternFill patternType="solid">
          <fgColor rgb="00FDECEA"/>
          <bgColor rgb="00FDECEA"/>
        </patternFill>
      </fill>
    </dxf>
    <dxf>
      <font>
        <b val="1"/>
        <color rgb="001B3A5C"/>
      </font>
      <fill>
        <patternFill patternType="solid">
          <fgColor rgb="00EEF1F4"/>
          <bgColor rgb="00EEF1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66707A"/>
    <outlinePr summaryBelow="1" summaryRight="1"/>
    <pageSetUpPr fitToPage="1"/>
  </sheetPr>
  <dimension ref="A1:B48"/>
  <sheetViews>
    <sheetView showGridLines="0" tabSelected="1" workbookViewId="0">
      <selection activeCell="A1" sqref="A1"/>
    </sheetView>
  </sheetViews>
  <sheetFormatPr baseColWidth="8" defaultRowHeight="15"/>
  <cols>
    <col width="24" customWidth="1" min="1" max="1"/>
    <col width="104" customWidth="1" min="2" max="2"/>
  </cols>
  <sheetData>
    <row r="1" ht="26" customHeight="1">
      <c r="A1" s="67" t="inlineStr">
        <is>
          <t>使い方（減価償却費の計算エクセル・固定資産台帳つき）</t>
        </is>
      </c>
      <c r="B1" s="68" t="n"/>
    </row>
    <row r="2" ht="20" customHeight="1">
      <c r="A2" s="69" t="inlineStr">
        <is>
          <t>このファイルでできること</t>
        </is>
      </c>
      <c r="B2" s="68" t="n"/>
    </row>
    <row r="3" ht="17.5" customHeight="1">
      <c r="A3" s="70" t="inlineStr">
        <is>
          <t>資産ごとに取得日・取得価額・償却方法・耐用年数を1行ずつ入れると、選んだ年（年度）の償却費・経費にする額・期末の帳簿価額が出ます。</t>
        </is>
      </c>
      <c r="B3" s="68" t="n"/>
    </row>
    <row r="4" ht="32" customHeight="1">
      <c r="A4" s="70" t="inlineStr">
        <is>
          <t>定額法と定率法（200%・250%。改定償却率への切り替えを含む）、年の途中で使い始めた年の月割り、帳簿価額を1円残すところまで計算します。無形固定資産（ソフトウエアなど）は0円まで償却します。</t>
        </is>
      </c>
      <c r="B4" s="68" t="n"/>
    </row>
    <row r="5" ht="17.5" customHeight="1">
      <c r="A5" s="70" t="inlineStr">
        <is>
          <t>一括償却資産（20万円未満を3年で均等）と、少額減価償却資産の特例（青色申告の中小事業者）も同じ台帳に入れられます。</t>
        </is>
      </c>
      <c r="B5" s="68" t="n"/>
    </row>
    <row r="6" ht="32" customHeight="1">
      <c r="A6" s="70" t="inlineStr">
        <is>
          <t>「決算書への転記」シートに、青色申告決算書3ページ「減価償却費の計算」欄に写す値を、欄の順に並べます。決算書の用紙そのものではありません（用紙は国税庁のものを使います）。</t>
        </is>
      </c>
      <c r="B6" s="68" t="n"/>
    </row>
    <row r="7">
      <c r="A7" s="68" t="n"/>
      <c r="B7" s="68" t="n"/>
    </row>
    <row r="8" ht="20" customHeight="1">
      <c r="A8" s="69" t="inlineStr">
        <is>
          <t>使う順番</t>
        </is>
      </c>
      <c r="B8" s="68" t="n"/>
    </row>
    <row r="9" ht="32" customHeight="1">
      <c r="A9" s="70" t="inlineStr">
        <is>
          <t>1. 「設定」シートで、事業者名・個人事業主か法人か・表示する年（年度）・1円未満の処理を選びます。法人は事業年度の始まりの月も入れます。</t>
        </is>
      </c>
      <c r="B9" s="68" t="n"/>
    </row>
    <row r="10" ht="17.5" customHeight="1">
      <c r="A10" s="70" t="inlineStr">
        <is>
          <t>2. 「固定資産台帳」シートの黄色い欄に、資産を1行ずつ入れます（100件まで）。右側の灰色の欄は自動で出ます。</t>
        </is>
      </c>
      <c r="B10" s="68" t="n"/>
    </row>
    <row r="11" ht="17.5" customHeight="1">
      <c r="A11" s="70" t="inlineStr">
        <is>
          <t>3. 右端の「状態・注意」に赤い文字が出た行は、入力を見直します（耐用年数が無い、定率法を使えない資産、など）。</t>
        </is>
      </c>
      <c r="B11" s="68" t="n"/>
    </row>
    <row r="12" ht="32" customHeight="1">
      <c r="A12" s="70" t="inlineStr">
        <is>
          <t>4. 「決算書への転記」で、その年に償却した資産と、決算書の欄ごとの値を確かめます。（リ）の計が、損益計算書の「減価償却費」に書く額です。</t>
        </is>
      </c>
      <c r="B12" s="68" t="n"/>
    </row>
    <row r="13" ht="32" customHeight="1">
      <c r="A13" s="70" t="inlineStr">
        <is>
          <t>5. 「償却予定表」で番号を選ぶと、その資産の1年ごとの償却費と帳簿価額が最後の年まで出ます。「年別の償却費」は全資産の10年分の一覧です。</t>
        </is>
      </c>
      <c r="B13" s="68" t="n"/>
    </row>
    <row r="14" ht="17.5" customHeight="1">
      <c r="A14" s="70" t="inlineStr">
        <is>
          <t>6. 次の年は「設定」の表示する年を1つ進めるだけです。台帳はそのまま使い続けます。</t>
        </is>
      </c>
      <c r="B14" s="68" t="n"/>
    </row>
    <row r="15">
      <c r="A15" s="68" t="n"/>
      <c r="B15" s="68" t="n"/>
    </row>
    <row r="16" ht="20" customHeight="1">
      <c r="A16" s="69" t="inlineStr">
        <is>
          <t>入れ方のきまり</t>
        </is>
      </c>
      <c r="B16" s="68" t="n"/>
    </row>
    <row r="17" ht="32" customHeight="1">
      <c r="A17" s="70" t="inlineStr">
        <is>
          <t>取得日：買った日（引き渡しを受けた日）。使い始めた日：事業で使い始めた日。空けると取得日と同じ扱いです。月割りは使い始めた日の月から数えます（その月は1か月として数えます）。</t>
        </is>
      </c>
      <c r="B17" s="68" t="n"/>
    </row>
    <row r="18" ht="32" customHeight="1">
      <c r="A18" s="70" t="inlineStr">
        <is>
          <t>取得価額：本体の代金に、引取運賃・据付費など、使えるようにするまでにかかった費用を足した額です。消費税を含めるかは、税込経理か税抜経理かで決まります（国税庁 No.2100）。</t>
        </is>
      </c>
      <c r="B18" s="68" t="n"/>
    </row>
    <row r="19" ht="32" customHeight="1">
      <c r="A19" s="70" t="inlineStr">
        <is>
          <t>10万円未満の物や、使える期間が1年未満の物は、減価償却をせず、使い始めた年の経費にします（国税庁 No.2100）。この台帳に入れなくてかまいません。</t>
        </is>
      </c>
      <c r="B19" s="68" t="n"/>
    </row>
    <row r="20" ht="32" customHeight="1">
      <c r="A20" s="70" t="inlineStr">
        <is>
          <t>償却方法：個人事業主は、届け出をしていなければ定額法です。「定率法」を選ぶと、取得日で200%か250%を自動で決めます（2012年4月1日以後の取得は200%）。経過措置を使う人だけ「定率法（200%）」「定率法（250%）」を直接選びます。</t>
        </is>
      </c>
      <c r="B20" s="68" t="n"/>
    </row>
    <row r="21" ht="32" customHeight="1">
      <c r="A21" s="70" t="inlineStr">
        <is>
          <t>建物、2016年4月1日以後に取得した建物附属設備・構築物、無形固定資産は定額法だけです。定率法を選ぶと「状態・注意」に赤字で出ます（計算はします）。</t>
        </is>
      </c>
      <c r="B21" s="68" t="n"/>
    </row>
    <row r="22" ht="32" customHeight="1">
      <c r="A22" s="70" t="inlineStr">
        <is>
          <t>耐用年数：2〜100年。「耐用年数の例」シートに、よく使う資産の年数と、中古資産の耐用年数（簡便法）を出す欄があります。一括償却・少額特例の行は耐用年数を使いません。</t>
        </is>
      </c>
      <c r="B22" s="68" t="n"/>
    </row>
    <row r="23" ht="32" customHeight="1">
      <c r="A23" s="70" t="inlineStr">
        <is>
          <t>事業専用割合：家でも使う車などは、事業で使う割合を入れます（例 80%）。空けると100%です。帳簿価額は割合をかける前の償却費で減ります（決算書の書き方と同じ）。法人を選ぶと100%で計算します。</t>
        </is>
      </c>
      <c r="B23" s="68" t="n"/>
    </row>
    <row r="24" ht="46.5" customHeight="1">
      <c r="A24" s="70" t="inlineStr">
        <is>
          <t>売却・除却日：売った日・捨てた日。その年（年度）は、初めから売った月・捨てた月までの月数で月割りし（その月は1か月）、次の年からは計算しません。その年の期末の帳簿価額が、帳簿から外す額です。決算書の書き方では、売った年・捨てた年の償却を省略することもでき、その場合は摘要にその旨を書きます（このファイルは月割りで計上します）。</t>
        </is>
      </c>
      <c r="B24" s="68" t="n"/>
    </row>
    <row r="25">
      <c r="A25" s="68" t="n"/>
      <c r="B25" s="68" t="n"/>
    </row>
    <row r="26" ht="20" customHeight="1">
      <c r="A26" s="69" t="inlineStr">
        <is>
          <t>計算のしかた（国税庁 No.2106・決算書の書き方と同じ）</t>
        </is>
      </c>
      <c r="B26" s="68" t="n"/>
    </row>
    <row r="27" ht="17.5" customHeight="1">
      <c r="A27" s="70" t="inlineStr">
        <is>
          <t>定額法：取得価額 × 定額法の償却率 × その年に使った月数 ÷ 12。</t>
        </is>
      </c>
      <c r="B27" s="68" t="n"/>
    </row>
    <row r="28" ht="32" customHeight="1">
      <c r="A28" s="70" t="inlineStr">
        <is>
          <t>定率法：期首の帳簿価額 × 定率法の償却率 × 月数 ÷ 12。この「調整前償却額」（12か月分）が「償却保証額」（取得価額 × 保証率）より少なくなった年からは、その年の期首の帳簿価額（改定取得価額）× 改定償却率 で毎年同じ額になります。</t>
        </is>
      </c>
      <c r="B28" s="68" t="n"/>
    </row>
    <row r="29" ht="17.5" customHeight="1">
      <c r="A29" s="70" t="inlineStr">
        <is>
          <t>最後の年は、帳簿価額が1円残るところで止めます（無形固定資産は0円まで）。</t>
        </is>
      </c>
      <c r="B29" s="68" t="n"/>
    </row>
    <row r="30" ht="32" customHeight="1">
      <c r="A30" s="70" t="inlineStr">
        <is>
          <t>1円未満の端数は「設定」の処理（切り上げ・切り捨て・四捨五入）で年ごとに丸めます。国税庁 No.2106 の計算例は、切り上げたときに一致します（例 133,483円 × 0.334 ＝ 44,583.3… → 44,584円）。会計ソフトや税理士の処理に合わせてください。</t>
        </is>
      </c>
      <c r="B30" s="68" t="n"/>
    </row>
    <row r="31" ht="17.5" customHeight="1">
      <c r="A31" s="70" t="inlineStr">
        <is>
          <t>事業専用割合をかけた「経費にする額」も、同じ処理で丸めます。</t>
        </is>
      </c>
      <c r="B31" s="68" t="n"/>
    </row>
    <row r="32" ht="32" customHeight="1">
      <c r="A32" s="70" t="inlineStr">
        <is>
          <t>一括償却資産：取得価額 ÷ 3 を、使い始めた年から3年。3年目は残りの額にして、合計が取得価額と一致するようにしています。個人事業主は、途中で売ったり捨てたりしても3年間続けます（所得税基本通達49-40の2）。</t>
        </is>
      </c>
      <c r="B32" s="68" t="n"/>
    </row>
    <row r="33" ht="32" customHeight="1">
      <c r="A33" s="70" t="inlineStr">
        <is>
          <t>少額特例：使い始めた年に取得価額の全額を経費にします。1年（法人は事業年度）の合計は300万円までです。台帳の上に、表示している年の合計が出ます。</t>
        </is>
      </c>
      <c r="B33" s="68" t="n"/>
    </row>
    <row r="34">
      <c r="A34" s="68" t="n"/>
      <c r="B34" s="68" t="n"/>
    </row>
    <row r="35" ht="20" customHeight="1">
      <c r="A35" s="69" t="inlineStr">
        <is>
          <t>このファイルで計算しないもの</t>
        </is>
      </c>
      <c r="B35" s="68" t="n"/>
    </row>
    <row r="36" ht="17.5" customHeight="1">
      <c r="A36" s="70" t="inlineStr">
        <is>
          <t>2007年（平成19年）3月31日以前に取得した資産（旧定額法・旧定率法）。</t>
        </is>
      </c>
      <c r="B36" s="68" t="n"/>
    </row>
    <row r="37" ht="17.5" customHeight="1">
      <c r="A37" s="70" t="inlineStr">
        <is>
          <t>特別償却・割増償却、資本的支出の特別な扱い、生産高比例法、リース期間定額法、繰延資産。</t>
        </is>
      </c>
      <c r="B37" s="68" t="n"/>
    </row>
    <row r="38" ht="32" customHeight="1">
      <c r="A38" s="70" t="inlineStr">
        <is>
          <t>法人の事業年度が12か月でない年（設立した年など）。法人の一括償却資産は「事業年度の月数 ÷ 36」で計算するので、12か月の年度だけ3分の1と同じになります。</t>
        </is>
      </c>
      <c r="B38" s="68" t="n"/>
    </row>
    <row r="39" ht="17.5" customHeight="1">
      <c r="A39" s="70" t="inlineStr">
        <is>
          <t>業務を始めた年・やめた年の、少額特例の上限（300万円）の月割り。</t>
        </is>
      </c>
      <c r="B39" s="68" t="n"/>
    </row>
    <row r="40" ht="32" customHeight="1">
      <c r="A40" s="70" t="inlineStr">
        <is>
          <t>2022年（令和4年）4月1日以後に取得して、貸付け（主な業務として行うものを除く）に使う資産は、10万円未満の全額経費・一括償却・少額特例を使えません（国税庁 No.2100）。この台帳は貸付け用かどうかを見分けません。</t>
        </is>
      </c>
      <c r="B40" s="68" t="n"/>
    </row>
    <row r="41">
      <c r="A41" s="68" t="n"/>
      <c r="B41" s="68" t="n"/>
    </row>
    <row r="42" ht="20" customHeight="1">
      <c r="A42" s="69" t="inlineStr">
        <is>
          <t>やってはいけないこと</t>
        </is>
      </c>
      <c r="B42" s="68" t="n"/>
    </row>
    <row r="43" ht="32" customHeight="1">
      <c r="A43" s="70" t="inlineStr">
        <is>
          <t>行や列を挿入・削除しないでください。「決算書への転記」「償却予定表」「年別の償却費」は、台帳と「計算（触らない）」シートの位置で読んでいます。</t>
        </is>
      </c>
      <c r="B43" s="68" t="n"/>
    </row>
    <row r="44" ht="17.5" customHeight="1">
      <c r="A44" s="70" t="inlineStr">
        <is>
          <t>「計算（触らない）」シートと「償却率表」は書き換えないでください。</t>
        </is>
      </c>
      <c r="B44" s="68" t="n"/>
    </row>
    <row r="45">
      <c r="A45" s="68" t="n"/>
      <c r="B45" s="68" t="n"/>
    </row>
    <row r="46" ht="20" customHeight="1">
      <c r="A46" s="69" t="inlineStr">
        <is>
          <t>使っている関数</t>
        </is>
      </c>
      <c r="B46" s="68" t="n"/>
    </row>
    <row r="47" ht="32" customHeight="1">
      <c r="A47" s="70" t="inlineStr">
        <is>
          <t>AND・CHOOSE・COUNTIF・DATE・DAY・IF・IFERROR・INDEX・INT・ISNUMBER・MATCH・MAX・MIN・MOD・MONTH・N・NOT・OR・ROUND・ROW・SUM・TEXT・TRIM・YEAR。XLOOKUP・FILTER など新しい関数は使っていません。</t>
        </is>
      </c>
      <c r="B47" s="68" t="n"/>
    </row>
    <row r="48" ht="17.5" customHeight="1">
      <c r="A48" s="70" t="inlineStr">
        <is>
          <t>当サイトでは LibreOffice で再計算して確かめています。Excel・Google スプレッドシートの実機では開いていません。</t>
        </is>
      </c>
      <c r="B48" s="68" t="n"/>
    </row>
  </sheetData>
  <mergeCells count="42">
    <mergeCell ref="A48:B48"/>
    <mergeCell ref="A24:B24"/>
    <mergeCell ref="A30:B30"/>
    <mergeCell ref="A11:B11"/>
    <mergeCell ref="A36:B36"/>
    <mergeCell ref="A1:B1"/>
    <mergeCell ref="A6:B6"/>
    <mergeCell ref="A16:B16"/>
    <mergeCell ref="A37:B37"/>
    <mergeCell ref="A46:B46"/>
    <mergeCell ref="A18:B18"/>
    <mergeCell ref="A27:B27"/>
    <mergeCell ref="A3:B3"/>
    <mergeCell ref="A12:B12"/>
    <mergeCell ref="A26:B26"/>
    <mergeCell ref="A21:B21"/>
    <mergeCell ref="A2:B2"/>
    <mergeCell ref="A33:B33"/>
    <mergeCell ref="A47:B47"/>
    <mergeCell ref="A5:B5"/>
    <mergeCell ref="A42:B42"/>
    <mergeCell ref="A32:B32"/>
    <mergeCell ref="A14:B14"/>
    <mergeCell ref="A17:B17"/>
    <mergeCell ref="A23:B23"/>
    <mergeCell ref="A8:B8"/>
    <mergeCell ref="A22:B22"/>
    <mergeCell ref="A35:B35"/>
    <mergeCell ref="A4:B4"/>
    <mergeCell ref="A20:B20"/>
    <mergeCell ref="A38:B38"/>
    <mergeCell ref="A29:B29"/>
    <mergeCell ref="A43:B43"/>
    <mergeCell ref="A19:B19"/>
    <mergeCell ref="A10:B10"/>
    <mergeCell ref="A28:B28"/>
    <mergeCell ref="A13:B13"/>
    <mergeCell ref="A44:B44"/>
    <mergeCell ref="A40:B40"/>
    <mergeCell ref="A9:B9"/>
    <mergeCell ref="A31:B31"/>
    <mergeCell ref="A39:B39"/>
  </mergeCells>
  <printOptions horizontalCentered="1"/>
  <pageMargins left="0.4" right="0.4" top="0.45" bottom="0.45" header="0.2" footer="0.2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C17"/>
  <sheetViews>
    <sheetView showGridLines="0" tabSelected="0" workbookViewId="0">
      <selection activeCell="A1" sqref="A1"/>
    </sheetView>
  </sheetViews>
  <sheetFormatPr baseColWidth="8" defaultRowHeight="15"/>
  <cols>
    <col width="32" customWidth="1" min="1" max="1"/>
    <col width="26" customWidth="1" min="2" max="2"/>
    <col width="76" customWidth="1" min="3" max="3"/>
  </cols>
  <sheetData>
    <row r="1" ht="26" customHeight="1">
      <c r="A1" s="67" t="inlineStr">
        <is>
          <t>設定（最初に入れる。次の年は「表示する年」を1つ進める）</t>
        </is>
      </c>
      <c r="B1" s="68" t="n"/>
      <c r="C1" s="68" t="n"/>
    </row>
    <row r="2">
      <c r="A2" s="68" t="n"/>
      <c r="B2" s="68" t="n"/>
      <c r="C2" s="68" t="n"/>
    </row>
    <row r="3" ht="30" customHeight="1">
      <c r="A3" s="71" t="inlineStr">
        <is>
          <t>事業者名（屋号・会社名）</t>
        </is>
      </c>
      <c r="B3" s="7" t="n"/>
      <c r="C3" s="72" t="inlineStr">
        <is>
          <t>「固定資産台帳」「決算書への転記」の上に出ます。</t>
        </is>
      </c>
    </row>
    <row r="4" ht="30" customHeight="1">
      <c r="A4" s="71" t="inlineStr">
        <is>
          <t>区分</t>
        </is>
      </c>
      <c r="B4" s="7" t="inlineStr">
        <is>
          <t>個人事業主</t>
        </is>
      </c>
      <c r="C4" s="72" t="inlineStr">
        <is>
          <t>個人事業主は1月〜12月の1年で計算します。法人は事業年度（12か月）で計算します。</t>
        </is>
      </c>
    </row>
    <row r="5" ht="30" customHeight="1">
      <c r="A5" s="71" t="inlineStr">
        <is>
          <t>事業年度の始まりの月（法人だけ）</t>
        </is>
      </c>
      <c r="B5" s="9" t="n">
        <v>4</v>
      </c>
      <c r="C5" s="72" t="inlineStr">
        <is>
          <t>4月始まりなら 4。個人事業主を選んでいるときは使いません（1月から計算します）。</t>
        </is>
      </c>
    </row>
    <row r="6" ht="30" customHeight="1">
      <c r="A6" s="71" t="inlineStr">
        <is>
          <t>表示する年（年度）</t>
        </is>
      </c>
      <c r="B6" s="10" t="n">
        <v>2026</v>
      </c>
      <c r="C6" s="72" t="inlineStr">
        <is>
          <t>西暦4けた。法人は事業年度が始まる年を入れます（2026年4月〜2027年3月なら 2026）。</t>
        </is>
      </c>
    </row>
    <row r="7" ht="30" customHeight="1">
      <c r="A7" s="71" t="inlineStr">
        <is>
          <t>1円未満の端数</t>
        </is>
      </c>
      <c r="B7" s="7" t="inlineStr">
        <is>
          <t>切り上げ</t>
        </is>
      </c>
      <c r="C7" s="72" t="inlineStr">
        <is>
          <t>国税庁 No.2106 の計算例は「切り上げ」で一致します。会計ソフトや税理士の処理に合わせて選びます。</t>
        </is>
      </c>
    </row>
    <row r="8">
      <c r="A8" s="68" t="n"/>
      <c r="B8" s="68" t="n"/>
      <c r="C8" s="68" t="n"/>
    </row>
    <row r="9" ht="22" customHeight="1">
      <c r="A9" s="73" t="inlineStr">
        <is>
          <t>自動で出るもの</t>
        </is>
      </c>
      <c r="B9" s="68" t="n"/>
      <c r="C9" s="68" t="n"/>
    </row>
    <row r="10" ht="22" customHeight="1">
      <c r="A10" s="71" t="inlineStr">
        <is>
          <t>計算する期間</t>
        </is>
      </c>
      <c r="B10" s="13">
        <f>IF('計算（触らない）'!$B$3=0,"表示する年を入れてください",YEAR('計算（触らない）'!$D$1)&amp;"年"&amp;MONTH('計算（触らない）'!$D$1)&amp;"月"&amp;DAY('計算（触らない）'!$D$1)&amp;"日〜"&amp;YEAR('計算（触らない）'!$D$2)&amp;"年"&amp;MONTH('計算（触らない）'!$D$2)&amp;"月"&amp;DAY('計算（触らない）'!$D$2)&amp;"日")</f>
        <v/>
      </c>
      <c r="C10" s="74" t="n"/>
    </row>
    <row r="11" ht="22" customHeight="1">
      <c r="A11" s="71" t="inlineStr">
        <is>
          <t>台帳に入れた資産</t>
        </is>
      </c>
      <c r="B11" s="13">
        <f>SUM('計算（触らない）'!$B$6:$B$105)&amp;"件（入力を直す必要があるもの "&amp;COUNTIF('計算（触らない）'!$T$6:$T$105,"&gt;0")&amp;"件）"</f>
        <v/>
      </c>
      <c r="C11" s="74" t="n"/>
    </row>
    <row r="12" ht="22" customHeight="1">
      <c r="A12" s="71" t="inlineStr">
        <is>
          <t>この年の償却費の合計</t>
        </is>
      </c>
      <c r="B12" s="15">
        <f>SUM('固定資産台帳'!$P$6:$P$105)</f>
        <v/>
      </c>
      <c r="C12" s="68" t="n"/>
    </row>
    <row r="13" ht="22" customHeight="1">
      <c r="A13" s="71" t="inlineStr">
        <is>
          <t>この年に経費（法人は損金）にする額の合計</t>
        </is>
      </c>
      <c r="B13" s="15">
        <f>SUM('固定資産台帳'!$Q$6:$Q$105)</f>
        <v/>
      </c>
      <c r="C13" s="68" t="n"/>
    </row>
    <row r="14" ht="22" customHeight="1">
      <c r="A14" s="71" t="inlineStr">
        <is>
          <t>少額特例の合計（上限300万円）</t>
        </is>
      </c>
      <c r="B14" s="15">
        <f>SUM('計算（触らない）'!$AL$6:$AL$105)</f>
        <v/>
      </c>
      <c r="C14" s="68" t="n"/>
    </row>
    <row r="15" ht="30" customHeight="1">
      <c r="A15" s="75">
        <f>IF(AND(B4="法人",OR(NOT(ISNUMBER(B5)),B5&lt;1,B5&gt;12)),"事業年度の始まりの月を 1〜12 で入れてください（今は1月として計算しています）。","")&amp;IF(B14&gt;3000000,"少額特例の合計が300万円を超えています。超えた分は少額特例を使えません。","")&amp;IF(AND(B7&lt;&gt;"切り上げ",B7&lt;&gt;"切り捨て",B7&lt;&gt;"四捨五入"),"1円未満の端数を選んでください（今は切り上げで計算しています）。","")</f>
        <v/>
      </c>
      <c r="B15" s="68" t="n"/>
      <c r="C15" s="68" t="n"/>
    </row>
    <row r="16">
      <c r="A16" s="68" t="n"/>
      <c r="B16" s="68" t="n"/>
      <c r="C16" s="68" t="n"/>
    </row>
    <row r="17" ht="30" customHeight="1">
      <c r="A17" s="72" t="inlineStr">
        <is>
          <t>個人事業主の青色申告決算書・収支内訳書は1月〜12月で書きます。法人の申告書（別表十六）の書き方は、このファイルでは扱いません（償却費の計算だけです）。</t>
        </is>
      </c>
      <c r="B17" s="68" t="n"/>
      <c r="C17" s="68" t="n"/>
    </row>
  </sheetData>
  <mergeCells count="6">
    <mergeCell ref="A1:C1"/>
    <mergeCell ref="B11:C11"/>
    <mergeCell ref="B10:C10"/>
    <mergeCell ref="A17:C17"/>
    <mergeCell ref="A9:C9"/>
    <mergeCell ref="A15:C15"/>
  </mergeCells>
  <dataValidations count="4">
    <dataValidation sqref="B4" showDropDown="0" showInputMessage="0" showErrorMessage="0" allowBlank="1" errorTitle="一覧から選んでください" error="個人事業主・法人 から選びます。" promptTitle="選んでください" type="list">
      <formula1>"個人事業主,法人"</formula1>
    </dataValidation>
    <dataValidation sqref="B5" showDropDown="0" showInputMessage="0" showErrorMessage="0" allowBlank="1" errorTitle="入力を確かめてください" error="1〜12 の数字で入れます。" type="whole" operator="between">
      <formula1>1</formula1>
      <formula2>12</formula2>
    </dataValidation>
    <dataValidation sqref="B6" showDropDown="0" showInputMessage="0" showErrorMessage="0" allowBlank="1" errorTitle="入力を確かめてください" error="西暦4けたで入れます（2007〜2200）。" type="whole" operator="between">
      <formula1>2007</formula1>
      <formula2>2200</formula2>
    </dataValidation>
    <dataValidation sqref="B7" showDropDown="0" showInputMessage="0" showErrorMessage="0" allowBlank="1" errorTitle="一覧から選んでください" error="切り上げ・切り捨て・四捨五入 から選びます。" promptTitle="選んでください" type="list">
      <formula1>"切り上げ,切り捨て,四捨五入"</formula1>
    </dataValidation>
  </dataValidations>
  <printOptions horizontalCentered="1"/>
  <pageMargins left="0.4" right="0.4" top="0.45" bottom="0.45" header="0.2" footer="0.2"/>
  <pageSetup orientation="portrait" paperSize="9" fitToHeight="1" fitToWidth="1"/>
</worksheet>
</file>

<file path=xl/worksheets/sheet3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T105"/>
  <sheetViews>
    <sheetView showGridLines="0" tabSelected="0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12" customWidth="1" min="3" max="3"/>
    <col width="7" customWidth="1" min="4" max="4"/>
    <col width="10.5" customWidth="1" min="5" max="5"/>
    <col width="10.5" customWidth="1" min="6" max="6"/>
    <col width="12" customWidth="1" min="7" max="7"/>
    <col width="13" customWidth="1" min="8" max="8"/>
    <col width="6" customWidth="1" min="9" max="9"/>
    <col width="8" customWidth="1" min="10" max="10"/>
    <col width="10.5" customWidth="1" min="11" max="11"/>
    <col width="22" customWidth="1" min="12" max="12"/>
    <col width="12.5" customWidth="1" min="13" max="13"/>
    <col width="5" customWidth="1" min="14" max="14"/>
    <col width="7" customWidth="1" min="15" max="15"/>
    <col width="11.5" customWidth="1" min="16" max="16"/>
    <col width="11.5" customWidth="1" min="17" max="17"/>
    <col width="12" customWidth="1" min="18" max="18"/>
    <col width="36" customWidth="1" min="19" max="19"/>
    <col hidden="1" width="4" customWidth="1" min="20" max="20"/>
  </cols>
  <sheetData>
    <row r="1" ht="26" customHeight="1">
      <c r="A1" s="67">
        <f>IF(TRIM('設定'!$B$3)="","固定資産台帳（減価償却費の計算）","固定資産台帳（減価償却費の計算）　"&amp;TRIM('設定'!$B$3))</f>
        <v/>
      </c>
      <c r="B1" s="68" t="n"/>
      <c r="C1" s="68" t="n"/>
      <c r="D1" s="68" t="n"/>
      <c r="E1" s="68" t="n"/>
      <c r="F1" s="68" t="n"/>
      <c r="G1" s="68" t="n"/>
      <c r="H1" s="68" t="n"/>
      <c r="I1" s="68" t="n"/>
      <c r="J1" s="68" t="n"/>
      <c r="K1" s="68" t="n"/>
      <c r="L1" s="68" t="n"/>
      <c r="M1" s="68" t="n"/>
      <c r="N1" s="68" t="n"/>
      <c r="O1" s="68" t="n"/>
      <c r="P1" s="68" t="n"/>
      <c r="Q1" s="68" t="n"/>
      <c r="R1" s="68" t="n"/>
      <c r="S1" s="68" t="n"/>
      <c r="T1" s="68" t="n"/>
    </row>
    <row r="2" ht="20" customHeight="1">
      <c r="A2" s="76">
        <f>"計算する期間："&amp;'設定'!$B$10&amp;"　／　1円未満："&amp;IF('計算（触らない）'!$B$4=0,"切り捨て",IF('計算（触らない）'!$B$4=0.5,"四捨五入","切り上げ"))&amp;"　／　区分："&amp;IF('計算（触らない）'!$B$1=1,"法人","個人事業主")</f>
        <v/>
      </c>
      <c r="B2" s="68" t="n"/>
      <c r="C2" s="68" t="n"/>
      <c r="D2" s="68" t="n"/>
      <c r="E2" s="68" t="n"/>
      <c r="F2" s="68" t="n"/>
      <c r="G2" s="68" t="n"/>
      <c r="H2" s="68" t="n"/>
      <c r="I2" s="68" t="n"/>
      <c r="J2" s="68" t="n"/>
      <c r="K2" s="68" t="n"/>
      <c r="L2" s="68" t="n"/>
      <c r="M2" s="68" t="n"/>
      <c r="N2" s="68" t="n"/>
      <c r="O2" s="68" t="n"/>
      <c r="P2" s="68" t="n"/>
      <c r="Q2" s="68" t="n"/>
      <c r="R2" s="68" t="n"/>
      <c r="S2" s="68" t="n"/>
      <c r="T2" s="68" t="n"/>
    </row>
    <row r="3" ht="30" customHeight="1">
      <c r="A3" s="72" t="inlineStr">
        <is>
          <t>黄色い欄に入れます。灰色の欄は自動です。日付は 2026/4/1 のように入れます。右端の「状態・注意」が赤いときは入力を見直します。</t>
        </is>
      </c>
      <c r="B3" s="68" t="n"/>
      <c r="C3" s="68" t="n"/>
      <c r="D3" s="68" t="n"/>
      <c r="E3" s="68" t="n"/>
      <c r="F3" s="68" t="n"/>
      <c r="G3" s="68" t="n"/>
      <c r="H3" s="68" t="n"/>
      <c r="I3" s="68" t="n"/>
      <c r="J3" s="68" t="n"/>
      <c r="K3" s="68" t="n"/>
      <c r="L3" s="68" t="n"/>
      <c r="M3" s="18" t="inlineStr">
        <is>
          <t>少額特例の合計（上限300万円）</t>
        </is>
      </c>
      <c r="N3" s="77" t="n"/>
      <c r="O3" s="74" t="n"/>
      <c r="P3" s="15">
        <f>SUM('計算（触らない）'!$AL$6:$AL$105)</f>
        <v/>
      </c>
      <c r="Q3" s="75">
        <f>IF(P3&gt;3000000,"300万円を超えています。超えた分は少額特例を使えません。","")</f>
        <v/>
      </c>
      <c r="R3" s="68" t="n"/>
      <c r="S3" s="68" t="n"/>
      <c r="T3" s="68" t="n"/>
    </row>
    <row r="4" ht="20" customHeight="1">
      <c r="A4" s="18" t="inlineStr">
        <is>
          <t>入力する欄（1行に1資産・100件まで）</t>
        </is>
      </c>
      <c r="B4" s="77" t="n"/>
      <c r="C4" s="77" t="n"/>
      <c r="D4" s="77" t="n"/>
      <c r="E4" s="77" t="n"/>
      <c r="F4" s="77" t="n"/>
      <c r="G4" s="77" t="n"/>
      <c r="H4" s="77" t="n"/>
      <c r="I4" s="77" t="n"/>
      <c r="J4" s="77" t="n"/>
      <c r="K4" s="77" t="n"/>
      <c r="L4" s="74" t="n"/>
      <c r="M4" s="18" t="inlineStr">
        <is>
          <t>この年の合計 →</t>
        </is>
      </c>
      <c r="N4" s="77" t="n"/>
      <c r="O4" s="74" t="n"/>
      <c r="P4" s="15">
        <f>SUM(P6:P105)</f>
        <v/>
      </c>
      <c r="Q4" s="15">
        <f>SUM(Q6:Q105)</f>
        <v/>
      </c>
      <c r="R4" s="15">
        <f>SUM(R6:R105)</f>
        <v/>
      </c>
      <c r="S4" s="18" t="inlineStr"/>
      <c r="T4" s="68" t="n"/>
    </row>
    <row r="5" ht="42" customHeight="1">
      <c r="A5" s="20" t="inlineStr">
        <is>
          <t>番号</t>
        </is>
      </c>
      <c r="B5" s="20" t="inlineStr">
        <is>
          <t>資産の名称</t>
        </is>
      </c>
      <c r="C5" s="20" t="inlineStr">
        <is>
          <t>種類</t>
        </is>
      </c>
      <c r="D5" s="20" t="inlineStr">
        <is>
          <t>数量・面積</t>
        </is>
      </c>
      <c r="E5" s="20" t="inlineStr">
        <is>
          <t>取得日</t>
        </is>
      </c>
      <c r="F5" s="20" t="inlineStr">
        <is>
          <t>使い始めた日
（空欄＝取得日）</t>
        </is>
      </c>
      <c r="G5" s="20" t="inlineStr">
        <is>
          <t>取得価額（円）</t>
        </is>
      </c>
      <c r="H5" s="20" t="inlineStr">
        <is>
          <t>償却方法</t>
        </is>
      </c>
      <c r="I5" s="20" t="inlineStr">
        <is>
          <t>耐用年数</t>
        </is>
      </c>
      <c r="J5" s="20" t="inlineStr">
        <is>
          <t>事業専用割合
（空欄＝100%）</t>
        </is>
      </c>
      <c r="K5" s="20" t="inlineStr">
        <is>
          <t>売却・除却日</t>
        </is>
      </c>
      <c r="L5" s="20" t="inlineStr">
        <is>
          <t>摘要・メモ</t>
        </is>
      </c>
      <c r="M5" s="18" t="inlineStr">
        <is>
          <t>期首の帳簿価額
（使い始めの年は取得価額）</t>
        </is>
      </c>
      <c r="N5" s="18" t="inlineStr">
        <is>
          <t>月数</t>
        </is>
      </c>
      <c r="O5" s="18" t="inlineStr">
        <is>
          <t>償却率</t>
        </is>
      </c>
      <c r="P5" s="18" t="inlineStr">
        <is>
          <t>この年の償却費</t>
        </is>
      </c>
      <c r="Q5" s="18" t="inlineStr">
        <is>
          <t>経費にする額
（割合をかけた額）</t>
        </is>
      </c>
      <c r="R5" s="18" t="inlineStr">
        <is>
          <t>期末の帳簿価額</t>
        </is>
      </c>
      <c r="S5" s="18" t="inlineStr">
        <is>
          <t>状態・注意</t>
        </is>
      </c>
      <c r="T5" s="68" t="n"/>
    </row>
    <row r="6" ht="30" customHeight="1">
      <c r="A6" s="21" t="n">
        <v>1</v>
      </c>
      <c r="B6" s="22" t="n"/>
      <c r="C6" s="22" t="n"/>
      <c r="D6" s="23" t="n"/>
      <c r="E6" s="24" t="n"/>
      <c r="F6" s="24" t="n"/>
      <c r="G6" s="25" t="n"/>
      <c r="H6" s="22" t="n"/>
      <c r="I6" s="26" t="n"/>
      <c r="J6" s="27" t="n"/>
      <c r="K6" s="24" t="n"/>
      <c r="L6" s="28" t="n"/>
      <c r="M6" s="29">
        <f>IF(OR('計算（触らない）'!$W6=0,'計算（触らない）'!$AE6=1),"",'計算（触らない）'!$X6)</f>
        <v/>
      </c>
      <c r="N6" s="30">
        <f>IF(OR('計算（触らない）'!$W6=0,'計算（触らない）'!$AE6=1),"",IF('計算（触らない）'!$F6&gt;2,"―",IF('計算（触らない）'!$AB6=0,"",'計算（触らない）'!$AB6)))</f>
        <v/>
      </c>
      <c r="O6" s="31">
        <f>IF(OR('計算（触らない）'!$W6=0,'計算（触らない）'!$AE6=1),"",'計算（触らない）'!$AO6)</f>
        <v/>
      </c>
      <c r="P6" s="29">
        <f>IF(OR('計算（触らない）'!$W6=0,'計算（触らない）'!$AE6=1),"",'計算（触らない）'!$Z6)</f>
        <v/>
      </c>
      <c r="Q6" s="29">
        <f>IF(OR('計算（触らない）'!$W6=0,'計算（触らない）'!$AE6=1),"",'計算（触らない）'!$AC6)</f>
        <v/>
      </c>
      <c r="R6" s="29">
        <f>IF(OR('計算（触らない）'!$W6=0,'計算（触らない）'!$AE6=1),"",'計算（触らない）'!$Y6)</f>
        <v/>
      </c>
      <c r="S6" s="32">
        <f>IF('計算（触らない）'!$B6=0,"",IF('計算（触らない）'!$AH6&lt;&gt;"",'計算（触らない）'!$AH6,TRIM('計算（触らない）'!$AI6&amp;'計算（触らない）'!$AJ6&amp;'計算（触らない）'!$AK6)))</f>
        <v/>
      </c>
      <c r="T6" s="68">
        <f>IF(OR('計算（触らない）'!$AH6&lt;&gt;"",'計算（触らない）'!$AI6&lt;&gt;""),1,0)</f>
        <v/>
      </c>
    </row>
    <row r="7" ht="30" customHeight="1">
      <c r="A7" s="21" t="n">
        <v>2</v>
      </c>
      <c r="B7" s="22" t="n"/>
      <c r="C7" s="22" t="n"/>
      <c r="D7" s="23" t="n"/>
      <c r="E7" s="24" t="n"/>
      <c r="F7" s="24" t="n"/>
      <c r="G7" s="25" t="n"/>
      <c r="H7" s="22" t="n"/>
      <c r="I7" s="26" t="n"/>
      <c r="J7" s="27" t="n"/>
      <c r="K7" s="24" t="n"/>
      <c r="L7" s="28" t="n"/>
      <c r="M7" s="29">
        <f>IF(OR('計算（触らない）'!$W7=0,'計算（触らない）'!$AE7=1),"",'計算（触らない）'!$X7)</f>
        <v/>
      </c>
      <c r="N7" s="30">
        <f>IF(OR('計算（触らない）'!$W7=0,'計算（触らない）'!$AE7=1),"",IF('計算（触らない）'!$F7&gt;2,"―",IF('計算（触らない）'!$AB7=0,"",'計算（触らない）'!$AB7)))</f>
        <v/>
      </c>
      <c r="O7" s="31">
        <f>IF(OR('計算（触らない）'!$W7=0,'計算（触らない）'!$AE7=1),"",'計算（触らない）'!$AO7)</f>
        <v/>
      </c>
      <c r="P7" s="29">
        <f>IF(OR('計算（触らない）'!$W7=0,'計算（触らない）'!$AE7=1),"",'計算（触らない）'!$Z7)</f>
        <v/>
      </c>
      <c r="Q7" s="29">
        <f>IF(OR('計算（触らない）'!$W7=0,'計算（触らない）'!$AE7=1),"",'計算（触らない）'!$AC7)</f>
        <v/>
      </c>
      <c r="R7" s="29">
        <f>IF(OR('計算（触らない）'!$W7=0,'計算（触らない）'!$AE7=1),"",'計算（触らない）'!$Y7)</f>
        <v/>
      </c>
      <c r="S7" s="32">
        <f>IF('計算（触らない）'!$B7=0,"",IF('計算（触らない）'!$AH7&lt;&gt;"",'計算（触らない）'!$AH7,TRIM('計算（触らない）'!$AI7&amp;'計算（触らない）'!$AJ7&amp;'計算（触らない）'!$AK7)))</f>
        <v/>
      </c>
      <c r="T7" s="68">
        <f>IF(OR('計算（触らない）'!$AH7&lt;&gt;"",'計算（触らない）'!$AI7&lt;&gt;""),1,0)</f>
        <v/>
      </c>
    </row>
    <row r="8" ht="30" customHeight="1">
      <c r="A8" s="21" t="n">
        <v>3</v>
      </c>
      <c r="B8" s="22" t="n"/>
      <c r="C8" s="22" t="n"/>
      <c r="D8" s="23" t="n"/>
      <c r="E8" s="24" t="n"/>
      <c r="F8" s="24" t="n"/>
      <c r="G8" s="25" t="n"/>
      <c r="H8" s="22" t="n"/>
      <c r="I8" s="26" t="n"/>
      <c r="J8" s="27" t="n"/>
      <c r="K8" s="24" t="n"/>
      <c r="L8" s="28" t="n"/>
      <c r="M8" s="29">
        <f>IF(OR('計算（触らない）'!$W8=0,'計算（触らない）'!$AE8=1),"",'計算（触らない）'!$X8)</f>
        <v/>
      </c>
      <c r="N8" s="30">
        <f>IF(OR('計算（触らない）'!$W8=0,'計算（触らない）'!$AE8=1),"",IF('計算（触らない）'!$F8&gt;2,"―",IF('計算（触らない）'!$AB8=0,"",'計算（触らない）'!$AB8)))</f>
        <v/>
      </c>
      <c r="O8" s="31">
        <f>IF(OR('計算（触らない）'!$W8=0,'計算（触らない）'!$AE8=1),"",'計算（触らない）'!$AO8)</f>
        <v/>
      </c>
      <c r="P8" s="29">
        <f>IF(OR('計算（触らない）'!$W8=0,'計算（触らない）'!$AE8=1),"",'計算（触らない）'!$Z8)</f>
        <v/>
      </c>
      <c r="Q8" s="29">
        <f>IF(OR('計算（触らない）'!$W8=0,'計算（触らない）'!$AE8=1),"",'計算（触らない）'!$AC8)</f>
        <v/>
      </c>
      <c r="R8" s="29">
        <f>IF(OR('計算（触らない）'!$W8=0,'計算（触らない）'!$AE8=1),"",'計算（触らない）'!$Y8)</f>
        <v/>
      </c>
      <c r="S8" s="32">
        <f>IF('計算（触らない）'!$B8=0,"",IF('計算（触らない）'!$AH8&lt;&gt;"",'計算（触らない）'!$AH8,TRIM('計算（触らない）'!$AI8&amp;'計算（触らない）'!$AJ8&amp;'計算（触らない）'!$AK8)))</f>
        <v/>
      </c>
      <c r="T8" s="68">
        <f>IF(OR('計算（触らない）'!$AH8&lt;&gt;"",'計算（触らない）'!$AI8&lt;&gt;""),1,0)</f>
        <v/>
      </c>
    </row>
    <row r="9" ht="30" customHeight="1">
      <c r="A9" s="21" t="n">
        <v>4</v>
      </c>
      <c r="B9" s="22" t="n"/>
      <c r="C9" s="22" t="n"/>
      <c r="D9" s="23" t="n"/>
      <c r="E9" s="24" t="n"/>
      <c r="F9" s="24" t="n"/>
      <c r="G9" s="25" t="n"/>
      <c r="H9" s="22" t="n"/>
      <c r="I9" s="26" t="n"/>
      <c r="J9" s="27" t="n"/>
      <c r="K9" s="24" t="n"/>
      <c r="L9" s="28" t="n"/>
      <c r="M9" s="29">
        <f>IF(OR('計算（触らない）'!$W9=0,'計算（触らない）'!$AE9=1),"",'計算（触らない）'!$X9)</f>
        <v/>
      </c>
      <c r="N9" s="30">
        <f>IF(OR('計算（触らない）'!$W9=0,'計算（触らない）'!$AE9=1),"",IF('計算（触らない）'!$F9&gt;2,"―",IF('計算（触らない）'!$AB9=0,"",'計算（触らない）'!$AB9)))</f>
        <v/>
      </c>
      <c r="O9" s="31">
        <f>IF(OR('計算（触らない）'!$W9=0,'計算（触らない）'!$AE9=1),"",'計算（触らない）'!$AO9)</f>
        <v/>
      </c>
      <c r="P9" s="29">
        <f>IF(OR('計算（触らない）'!$W9=0,'計算（触らない）'!$AE9=1),"",'計算（触らない）'!$Z9)</f>
        <v/>
      </c>
      <c r="Q9" s="29">
        <f>IF(OR('計算（触らない）'!$W9=0,'計算（触らない）'!$AE9=1),"",'計算（触らない）'!$AC9)</f>
        <v/>
      </c>
      <c r="R9" s="29">
        <f>IF(OR('計算（触らない）'!$W9=0,'計算（触らない）'!$AE9=1),"",'計算（触らない）'!$Y9)</f>
        <v/>
      </c>
      <c r="S9" s="32">
        <f>IF('計算（触らない）'!$B9=0,"",IF('計算（触らない）'!$AH9&lt;&gt;"",'計算（触らない）'!$AH9,TRIM('計算（触らない）'!$AI9&amp;'計算（触らない）'!$AJ9&amp;'計算（触らない）'!$AK9)))</f>
        <v/>
      </c>
      <c r="T9" s="68">
        <f>IF(OR('計算（触らない）'!$AH9&lt;&gt;"",'計算（触らない）'!$AI9&lt;&gt;""),1,0)</f>
        <v/>
      </c>
    </row>
    <row r="10" ht="30" customHeight="1">
      <c r="A10" s="21" t="n">
        <v>5</v>
      </c>
      <c r="B10" s="22" t="n"/>
      <c r="C10" s="22" t="n"/>
      <c r="D10" s="23" t="n"/>
      <c r="E10" s="24" t="n"/>
      <c r="F10" s="24" t="n"/>
      <c r="G10" s="25" t="n"/>
      <c r="H10" s="22" t="n"/>
      <c r="I10" s="26" t="n"/>
      <c r="J10" s="27" t="n"/>
      <c r="K10" s="24" t="n"/>
      <c r="L10" s="28" t="n"/>
      <c r="M10" s="29">
        <f>IF(OR('計算（触らない）'!$W10=0,'計算（触らない）'!$AE10=1),"",'計算（触らない）'!$X10)</f>
        <v/>
      </c>
      <c r="N10" s="30">
        <f>IF(OR('計算（触らない）'!$W10=0,'計算（触らない）'!$AE10=1),"",IF('計算（触らない）'!$F10&gt;2,"―",IF('計算（触らない）'!$AB10=0,"",'計算（触らない）'!$AB10)))</f>
        <v/>
      </c>
      <c r="O10" s="31">
        <f>IF(OR('計算（触らない）'!$W10=0,'計算（触らない）'!$AE10=1),"",'計算（触らない）'!$AO10)</f>
        <v/>
      </c>
      <c r="P10" s="29">
        <f>IF(OR('計算（触らない）'!$W10=0,'計算（触らない）'!$AE10=1),"",'計算（触らない）'!$Z10)</f>
        <v/>
      </c>
      <c r="Q10" s="29">
        <f>IF(OR('計算（触らない）'!$W10=0,'計算（触らない）'!$AE10=1),"",'計算（触らない）'!$AC10)</f>
        <v/>
      </c>
      <c r="R10" s="29">
        <f>IF(OR('計算（触らない）'!$W10=0,'計算（触らない）'!$AE10=1),"",'計算（触らない）'!$Y10)</f>
        <v/>
      </c>
      <c r="S10" s="32">
        <f>IF('計算（触らない）'!$B10=0,"",IF('計算（触らない）'!$AH10&lt;&gt;"",'計算（触らない）'!$AH10,TRIM('計算（触らない）'!$AI10&amp;'計算（触らない）'!$AJ10&amp;'計算（触らない）'!$AK10)))</f>
        <v/>
      </c>
      <c r="T10" s="68">
        <f>IF(OR('計算（触らない）'!$AH10&lt;&gt;"",'計算（触らない）'!$AI10&lt;&gt;""),1,0)</f>
        <v/>
      </c>
    </row>
    <row r="11" ht="30" customHeight="1">
      <c r="A11" s="21" t="n">
        <v>6</v>
      </c>
      <c r="B11" s="22" t="n"/>
      <c r="C11" s="22" t="n"/>
      <c r="D11" s="23" t="n"/>
      <c r="E11" s="24" t="n"/>
      <c r="F11" s="24" t="n"/>
      <c r="G11" s="25" t="n"/>
      <c r="H11" s="22" t="n"/>
      <c r="I11" s="26" t="n"/>
      <c r="J11" s="27" t="n"/>
      <c r="K11" s="24" t="n"/>
      <c r="L11" s="28" t="n"/>
      <c r="M11" s="29">
        <f>IF(OR('計算（触らない）'!$W11=0,'計算（触らない）'!$AE11=1),"",'計算（触らない）'!$X11)</f>
        <v/>
      </c>
      <c r="N11" s="30">
        <f>IF(OR('計算（触らない）'!$W11=0,'計算（触らない）'!$AE11=1),"",IF('計算（触らない）'!$F11&gt;2,"―",IF('計算（触らない）'!$AB11=0,"",'計算（触らない）'!$AB11)))</f>
        <v/>
      </c>
      <c r="O11" s="31">
        <f>IF(OR('計算（触らない）'!$W11=0,'計算（触らない）'!$AE11=1),"",'計算（触らない）'!$AO11)</f>
        <v/>
      </c>
      <c r="P11" s="29">
        <f>IF(OR('計算（触らない）'!$W11=0,'計算（触らない）'!$AE11=1),"",'計算（触らない）'!$Z11)</f>
        <v/>
      </c>
      <c r="Q11" s="29">
        <f>IF(OR('計算（触らない）'!$W11=0,'計算（触らない）'!$AE11=1),"",'計算（触らない）'!$AC11)</f>
        <v/>
      </c>
      <c r="R11" s="29">
        <f>IF(OR('計算（触らない）'!$W11=0,'計算（触らない）'!$AE11=1),"",'計算（触らない）'!$Y11)</f>
        <v/>
      </c>
      <c r="S11" s="32">
        <f>IF('計算（触らない）'!$B11=0,"",IF('計算（触らない）'!$AH11&lt;&gt;"",'計算（触らない）'!$AH11,TRIM('計算（触らない）'!$AI11&amp;'計算（触らない）'!$AJ11&amp;'計算（触らない）'!$AK11)))</f>
        <v/>
      </c>
      <c r="T11" s="68">
        <f>IF(OR('計算（触らない）'!$AH11&lt;&gt;"",'計算（触らない）'!$AI11&lt;&gt;""),1,0)</f>
        <v/>
      </c>
    </row>
    <row r="12" ht="30" customHeight="1">
      <c r="A12" s="21" t="n">
        <v>7</v>
      </c>
      <c r="B12" s="22" t="n"/>
      <c r="C12" s="22" t="n"/>
      <c r="D12" s="23" t="n"/>
      <c r="E12" s="24" t="n"/>
      <c r="F12" s="24" t="n"/>
      <c r="G12" s="25" t="n"/>
      <c r="H12" s="22" t="n"/>
      <c r="I12" s="26" t="n"/>
      <c r="J12" s="27" t="n"/>
      <c r="K12" s="24" t="n"/>
      <c r="L12" s="28" t="n"/>
      <c r="M12" s="29">
        <f>IF(OR('計算（触らない）'!$W12=0,'計算（触らない）'!$AE12=1),"",'計算（触らない）'!$X12)</f>
        <v/>
      </c>
      <c r="N12" s="30">
        <f>IF(OR('計算（触らない）'!$W12=0,'計算（触らない）'!$AE12=1),"",IF('計算（触らない）'!$F12&gt;2,"―",IF('計算（触らない）'!$AB12=0,"",'計算（触らない）'!$AB12)))</f>
        <v/>
      </c>
      <c r="O12" s="31">
        <f>IF(OR('計算（触らない）'!$W12=0,'計算（触らない）'!$AE12=1),"",'計算（触らない）'!$AO12)</f>
        <v/>
      </c>
      <c r="P12" s="29">
        <f>IF(OR('計算（触らない）'!$W12=0,'計算（触らない）'!$AE12=1),"",'計算（触らない）'!$Z12)</f>
        <v/>
      </c>
      <c r="Q12" s="29">
        <f>IF(OR('計算（触らない）'!$W12=0,'計算（触らない）'!$AE12=1),"",'計算（触らない）'!$AC12)</f>
        <v/>
      </c>
      <c r="R12" s="29">
        <f>IF(OR('計算（触らない）'!$W12=0,'計算（触らない）'!$AE12=1),"",'計算（触らない）'!$Y12)</f>
        <v/>
      </c>
      <c r="S12" s="32">
        <f>IF('計算（触らない）'!$B12=0,"",IF('計算（触らない）'!$AH12&lt;&gt;"",'計算（触らない）'!$AH12,TRIM('計算（触らない）'!$AI12&amp;'計算（触らない）'!$AJ12&amp;'計算（触らない）'!$AK12)))</f>
        <v/>
      </c>
      <c r="T12" s="68">
        <f>IF(OR('計算（触らない）'!$AH12&lt;&gt;"",'計算（触らない）'!$AI12&lt;&gt;""),1,0)</f>
        <v/>
      </c>
    </row>
    <row r="13" ht="30" customHeight="1">
      <c r="A13" s="21" t="n">
        <v>8</v>
      </c>
      <c r="B13" s="22" t="n"/>
      <c r="C13" s="22" t="n"/>
      <c r="D13" s="23" t="n"/>
      <c r="E13" s="24" t="n"/>
      <c r="F13" s="24" t="n"/>
      <c r="G13" s="25" t="n"/>
      <c r="H13" s="22" t="n"/>
      <c r="I13" s="26" t="n"/>
      <c r="J13" s="27" t="n"/>
      <c r="K13" s="24" t="n"/>
      <c r="L13" s="28" t="n"/>
      <c r="M13" s="29">
        <f>IF(OR('計算（触らない）'!$W13=0,'計算（触らない）'!$AE13=1),"",'計算（触らない）'!$X13)</f>
        <v/>
      </c>
      <c r="N13" s="30">
        <f>IF(OR('計算（触らない）'!$W13=0,'計算（触らない）'!$AE13=1),"",IF('計算（触らない）'!$F13&gt;2,"―",IF('計算（触らない）'!$AB13=0,"",'計算（触らない）'!$AB13)))</f>
        <v/>
      </c>
      <c r="O13" s="31">
        <f>IF(OR('計算（触らない）'!$W13=0,'計算（触らない）'!$AE13=1),"",'計算（触らない）'!$AO13)</f>
        <v/>
      </c>
      <c r="P13" s="29">
        <f>IF(OR('計算（触らない）'!$W13=0,'計算（触らない）'!$AE13=1),"",'計算（触らない）'!$Z13)</f>
        <v/>
      </c>
      <c r="Q13" s="29">
        <f>IF(OR('計算（触らない）'!$W13=0,'計算（触らない）'!$AE13=1),"",'計算（触らない）'!$AC13)</f>
        <v/>
      </c>
      <c r="R13" s="29">
        <f>IF(OR('計算（触らない）'!$W13=0,'計算（触らない）'!$AE13=1),"",'計算（触らない）'!$Y13)</f>
        <v/>
      </c>
      <c r="S13" s="32">
        <f>IF('計算（触らない）'!$B13=0,"",IF('計算（触らない）'!$AH13&lt;&gt;"",'計算（触らない）'!$AH13,TRIM('計算（触らない）'!$AI13&amp;'計算（触らない）'!$AJ13&amp;'計算（触らない）'!$AK13)))</f>
        <v/>
      </c>
      <c r="T13" s="68">
        <f>IF(OR('計算（触らない）'!$AH13&lt;&gt;"",'計算（触らない）'!$AI13&lt;&gt;""),1,0)</f>
        <v/>
      </c>
    </row>
    <row r="14" ht="30" customHeight="1">
      <c r="A14" s="21" t="n">
        <v>9</v>
      </c>
      <c r="B14" s="22" t="n"/>
      <c r="C14" s="22" t="n"/>
      <c r="D14" s="23" t="n"/>
      <c r="E14" s="24" t="n"/>
      <c r="F14" s="24" t="n"/>
      <c r="G14" s="25" t="n"/>
      <c r="H14" s="22" t="n"/>
      <c r="I14" s="26" t="n"/>
      <c r="J14" s="27" t="n"/>
      <c r="K14" s="24" t="n"/>
      <c r="L14" s="28" t="n"/>
      <c r="M14" s="29">
        <f>IF(OR('計算（触らない）'!$W14=0,'計算（触らない）'!$AE14=1),"",'計算（触らない）'!$X14)</f>
        <v/>
      </c>
      <c r="N14" s="30">
        <f>IF(OR('計算（触らない）'!$W14=0,'計算（触らない）'!$AE14=1),"",IF('計算（触らない）'!$F14&gt;2,"―",IF('計算（触らない）'!$AB14=0,"",'計算（触らない）'!$AB14)))</f>
        <v/>
      </c>
      <c r="O14" s="31">
        <f>IF(OR('計算（触らない）'!$W14=0,'計算（触らない）'!$AE14=1),"",'計算（触らない）'!$AO14)</f>
        <v/>
      </c>
      <c r="P14" s="29">
        <f>IF(OR('計算（触らない）'!$W14=0,'計算（触らない）'!$AE14=1),"",'計算（触らない）'!$Z14)</f>
        <v/>
      </c>
      <c r="Q14" s="29">
        <f>IF(OR('計算（触らない）'!$W14=0,'計算（触らない）'!$AE14=1),"",'計算（触らない）'!$AC14)</f>
        <v/>
      </c>
      <c r="R14" s="29">
        <f>IF(OR('計算（触らない）'!$W14=0,'計算（触らない）'!$AE14=1),"",'計算（触らない）'!$Y14)</f>
        <v/>
      </c>
      <c r="S14" s="32">
        <f>IF('計算（触らない）'!$B14=0,"",IF('計算（触らない）'!$AH14&lt;&gt;"",'計算（触らない）'!$AH14,TRIM('計算（触らない）'!$AI14&amp;'計算（触らない）'!$AJ14&amp;'計算（触らない）'!$AK14)))</f>
        <v/>
      </c>
      <c r="T14" s="68">
        <f>IF(OR('計算（触らない）'!$AH14&lt;&gt;"",'計算（触らない）'!$AI14&lt;&gt;""),1,0)</f>
        <v/>
      </c>
    </row>
    <row r="15" ht="30" customHeight="1">
      <c r="A15" s="21" t="n">
        <v>10</v>
      </c>
      <c r="B15" s="22" t="n"/>
      <c r="C15" s="22" t="n"/>
      <c r="D15" s="23" t="n"/>
      <c r="E15" s="24" t="n"/>
      <c r="F15" s="24" t="n"/>
      <c r="G15" s="25" t="n"/>
      <c r="H15" s="22" t="n"/>
      <c r="I15" s="26" t="n"/>
      <c r="J15" s="27" t="n"/>
      <c r="K15" s="24" t="n"/>
      <c r="L15" s="28" t="n"/>
      <c r="M15" s="29">
        <f>IF(OR('計算（触らない）'!$W15=0,'計算（触らない）'!$AE15=1),"",'計算（触らない）'!$X15)</f>
        <v/>
      </c>
      <c r="N15" s="30">
        <f>IF(OR('計算（触らない）'!$W15=0,'計算（触らない）'!$AE15=1),"",IF('計算（触らない）'!$F15&gt;2,"―",IF('計算（触らない）'!$AB15=0,"",'計算（触らない）'!$AB15)))</f>
        <v/>
      </c>
      <c r="O15" s="31">
        <f>IF(OR('計算（触らない）'!$W15=0,'計算（触らない）'!$AE15=1),"",'計算（触らない）'!$AO15)</f>
        <v/>
      </c>
      <c r="P15" s="29">
        <f>IF(OR('計算（触らない）'!$W15=0,'計算（触らない）'!$AE15=1),"",'計算（触らない）'!$Z15)</f>
        <v/>
      </c>
      <c r="Q15" s="29">
        <f>IF(OR('計算（触らない）'!$W15=0,'計算（触らない）'!$AE15=1),"",'計算（触らない）'!$AC15)</f>
        <v/>
      </c>
      <c r="R15" s="29">
        <f>IF(OR('計算（触らない）'!$W15=0,'計算（触らない）'!$AE15=1),"",'計算（触らない）'!$Y15)</f>
        <v/>
      </c>
      <c r="S15" s="32">
        <f>IF('計算（触らない）'!$B15=0,"",IF('計算（触らない）'!$AH15&lt;&gt;"",'計算（触らない）'!$AH15,TRIM('計算（触らない）'!$AI15&amp;'計算（触らない）'!$AJ15&amp;'計算（触らない）'!$AK15)))</f>
        <v/>
      </c>
      <c r="T15" s="68">
        <f>IF(OR('計算（触らない）'!$AH15&lt;&gt;"",'計算（触らない）'!$AI15&lt;&gt;""),1,0)</f>
        <v/>
      </c>
    </row>
    <row r="16" ht="30" customHeight="1">
      <c r="A16" s="21" t="n">
        <v>11</v>
      </c>
      <c r="B16" s="22" t="n"/>
      <c r="C16" s="22" t="n"/>
      <c r="D16" s="23" t="n"/>
      <c r="E16" s="24" t="n"/>
      <c r="F16" s="24" t="n"/>
      <c r="G16" s="25" t="n"/>
      <c r="H16" s="22" t="n"/>
      <c r="I16" s="26" t="n"/>
      <c r="J16" s="27" t="n"/>
      <c r="K16" s="24" t="n"/>
      <c r="L16" s="28" t="n"/>
      <c r="M16" s="29">
        <f>IF(OR('計算（触らない）'!$W16=0,'計算（触らない）'!$AE16=1),"",'計算（触らない）'!$X16)</f>
        <v/>
      </c>
      <c r="N16" s="30">
        <f>IF(OR('計算（触らない）'!$W16=0,'計算（触らない）'!$AE16=1),"",IF('計算（触らない）'!$F16&gt;2,"―",IF('計算（触らない）'!$AB16=0,"",'計算（触らない）'!$AB16)))</f>
        <v/>
      </c>
      <c r="O16" s="31">
        <f>IF(OR('計算（触らない）'!$W16=0,'計算（触らない）'!$AE16=1),"",'計算（触らない）'!$AO16)</f>
        <v/>
      </c>
      <c r="P16" s="29">
        <f>IF(OR('計算（触らない）'!$W16=0,'計算（触らない）'!$AE16=1),"",'計算（触らない）'!$Z16)</f>
        <v/>
      </c>
      <c r="Q16" s="29">
        <f>IF(OR('計算（触らない）'!$W16=0,'計算（触らない）'!$AE16=1),"",'計算（触らない）'!$AC16)</f>
        <v/>
      </c>
      <c r="R16" s="29">
        <f>IF(OR('計算（触らない）'!$W16=0,'計算（触らない）'!$AE16=1),"",'計算（触らない）'!$Y16)</f>
        <v/>
      </c>
      <c r="S16" s="32">
        <f>IF('計算（触らない）'!$B16=0,"",IF('計算（触らない）'!$AH16&lt;&gt;"",'計算（触らない）'!$AH16,TRIM('計算（触らない）'!$AI16&amp;'計算（触らない）'!$AJ16&amp;'計算（触らない）'!$AK16)))</f>
        <v/>
      </c>
      <c r="T16" s="68">
        <f>IF(OR('計算（触らない）'!$AH16&lt;&gt;"",'計算（触らない）'!$AI16&lt;&gt;""),1,0)</f>
        <v/>
      </c>
    </row>
    <row r="17" ht="30" customHeight="1">
      <c r="A17" s="21" t="n">
        <v>12</v>
      </c>
      <c r="B17" s="22" t="n"/>
      <c r="C17" s="22" t="n"/>
      <c r="D17" s="23" t="n"/>
      <c r="E17" s="24" t="n"/>
      <c r="F17" s="24" t="n"/>
      <c r="G17" s="25" t="n"/>
      <c r="H17" s="22" t="n"/>
      <c r="I17" s="26" t="n"/>
      <c r="J17" s="27" t="n"/>
      <c r="K17" s="24" t="n"/>
      <c r="L17" s="28" t="n"/>
      <c r="M17" s="29">
        <f>IF(OR('計算（触らない）'!$W17=0,'計算（触らない）'!$AE17=1),"",'計算（触らない）'!$X17)</f>
        <v/>
      </c>
      <c r="N17" s="30">
        <f>IF(OR('計算（触らない）'!$W17=0,'計算（触らない）'!$AE17=1),"",IF('計算（触らない）'!$F17&gt;2,"―",IF('計算（触らない）'!$AB17=0,"",'計算（触らない）'!$AB17)))</f>
        <v/>
      </c>
      <c r="O17" s="31">
        <f>IF(OR('計算（触らない）'!$W17=0,'計算（触らない）'!$AE17=1),"",'計算（触らない）'!$AO17)</f>
        <v/>
      </c>
      <c r="P17" s="29">
        <f>IF(OR('計算（触らない）'!$W17=0,'計算（触らない）'!$AE17=1),"",'計算（触らない）'!$Z17)</f>
        <v/>
      </c>
      <c r="Q17" s="29">
        <f>IF(OR('計算（触らない）'!$W17=0,'計算（触らない）'!$AE17=1),"",'計算（触らない）'!$AC17)</f>
        <v/>
      </c>
      <c r="R17" s="29">
        <f>IF(OR('計算（触らない）'!$W17=0,'計算（触らない）'!$AE17=1),"",'計算（触らない）'!$Y17)</f>
        <v/>
      </c>
      <c r="S17" s="32">
        <f>IF('計算（触らない）'!$B17=0,"",IF('計算（触らない）'!$AH17&lt;&gt;"",'計算（触らない）'!$AH17,TRIM('計算（触らない）'!$AI17&amp;'計算（触らない）'!$AJ17&amp;'計算（触らない）'!$AK17)))</f>
        <v/>
      </c>
      <c r="T17" s="68">
        <f>IF(OR('計算（触らない）'!$AH17&lt;&gt;"",'計算（触らない）'!$AI17&lt;&gt;""),1,0)</f>
        <v/>
      </c>
    </row>
    <row r="18" ht="30" customHeight="1">
      <c r="A18" s="21" t="n">
        <v>13</v>
      </c>
      <c r="B18" s="22" t="n"/>
      <c r="C18" s="22" t="n"/>
      <c r="D18" s="23" t="n"/>
      <c r="E18" s="24" t="n"/>
      <c r="F18" s="24" t="n"/>
      <c r="G18" s="25" t="n"/>
      <c r="H18" s="22" t="n"/>
      <c r="I18" s="26" t="n"/>
      <c r="J18" s="27" t="n"/>
      <c r="K18" s="24" t="n"/>
      <c r="L18" s="28" t="n"/>
      <c r="M18" s="29">
        <f>IF(OR('計算（触らない）'!$W18=0,'計算（触らない）'!$AE18=1),"",'計算（触らない）'!$X18)</f>
        <v/>
      </c>
      <c r="N18" s="30">
        <f>IF(OR('計算（触らない）'!$W18=0,'計算（触らない）'!$AE18=1),"",IF('計算（触らない）'!$F18&gt;2,"―",IF('計算（触らない）'!$AB18=0,"",'計算（触らない）'!$AB18)))</f>
        <v/>
      </c>
      <c r="O18" s="31">
        <f>IF(OR('計算（触らない）'!$W18=0,'計算（触らない）'!$AE18=1),"",'計算（触らない）'!$AO18)</f>
        <v/>
      </c>
      <c r="P18" s="29">
        <f>IF(OR('計算（触らない）'!$W18=0,'計算（触らない）'!$AE18=1),"",'計算（触らない）'!$Z18)</f>
        <v/>
      </c>
      <c r="Q18" s="29">
        <f>IF(OR('計算（触らない）'!$W18=0,'計算（触らない）'!$AE18=1),"",'計算（触らない）'!$AC18)</f>
        <v/>
      </c>
      <c r="R18" s="29">
        <f>IF(OR('計算（触らない）'!$W18=0,'計算（触らない）'!$AE18=1),"",'計算（触らない）'!$Y18)</f>
        <v/>
      </c>
      <c r="S18" s="32">
        <f>IF('計算（触らない）'!$B18=0,"",IF('計算（触らない）'!$AH18&lt;&gt;"",'計算（触らない）'!$AH18,TRIM('計算（触らない）'!$AI18&amp;'計算（触らない）'!$AJ18&amp;'計算（触らない）'!$AK18)))</f>
        <v/>
      </c>
      <c r="T18" s="68">
        <f>IF(OR('計算（触らない）'!$AH18&lt;&gt;"",'計算（触らない）'!$AI18&lt;&gt;""),1,0)</f>
        <v/>
      </c>
    </row>
    <row r="19" ht="30" customHeight="1">
      <c r="A19" s="21" t="n">
        <v>14</v>
      </c>
      <c r="B19" s="22" t="n"/>
      <c r="C19" s="22" t="n"/>
      <c r="D19" s="23" t="n"/>
      <c r="E19" s="24" t="n"/>
      <c r="F19" s="24" t="n"/>
      <c r="G19" s="25" t="n"/>
      <c r="H19" s="22" t="n"/>
      <c r="I19" s="26" t="n"/>
      <c r="J19" s="27" t="n"/>
      <c r="K19" s="24" t="n"/>
      <c r="L19" s="28" t="n"/>
      <c r="M19" s="29">
        <f>IF(OR('計算（触らない）'!$W19=0,'計算（触らない）'!$AE19=1),"",'計算（触らない）'!$X19)</f>
        <v/>
      </c>
      <c r="N19" s="30">
        <f>IF(OR('計算（触らない）'!$W19=0,'計算（触らない）'!$AE19=1),"",IF('計算（触らない）'!$F19&gt;2,"―",IF('計算（触らない）'!$AB19=0,"",'計算（触らない）'!$AB19)))</f>
        <v/>
      </c>
      <c r="O19" s="31">
        <f>IF(OR('計算（触らない）'!$W19=0,'計算（触らない）'!$AE19=1),"",'計算（触らない）'!$AO19)</f>
        <v/>
      </c>
      <c r="P19" s="29">
        <f>IF(OR('計算（触らない）'!$W19=0,'計算（触らない）'!$AE19=1),"",'計算（触らない）'!$Z19)</f>
        <v/>
      </c>
      <c r="Q19" s="29">
        <f>IF(OR('計算（触らない）'!$W19=0,'計算（触らない）'!$AE19=1),"",'計算（触らない）'!$AC19)</f>
        <v/>
      </c>
      <c r="R19" s="29">
        <f>IF(OR('計算（触らない）'!$W19=0,'計算（触らない）'!$AE19=1),"",'計算（触らない）'!$Y19)</f>
        <v/>
      </c>
      <c r="S19" s="32">
        <f>IF('計算（触らない）'!$B19=0,"",IF('計算（触らない）'!$AH19&lt;&gt;"",'計算（触らない）'!$AH19,TRIM('計算（触らない）'!$AI19&amp;'計算（触らない）'!$AJ19&amp;'計算（触らない）'!$AK19)))</f>
        <v/>
      </c>
      <c r="T19" s="68">
        <f>IF(OR('計算（触らない）'!$AH19&lt;&gt;"",'計算（触らない）'!$AI19&lt;&gt;""),1,0)</f>
        <v/>
      </c>
    </row>
    <row r="20" ht="30" customHeight="1">
      <c r="A20" s="21" t="n">
        <v>15</v>
      </c>
      <c r="B20" s="22" t="n"/>
      <c r="C20" s="22" t="n"/>
      <c r="D20" s="23" t="n"/>
      <c r="E20" s="24" t="n"/>
      <c r="F20" s="24" t="n"/>
      <c r="G20" s="25" t="n"/>
      <c r="H20" s="22" t="n"/>
      <c r="I20" s="26" t="n"/>
      <c r="J20" s="27" t="n"/>
      <c r="K20" s="24" t="n"/>
      <c r="L20" s="28" t="n"/>
      <c r="M20" s="29">
        <f>IF(OR('計算（触らない）'!$W20=0,'計算（触らない）'!$AE20=1),"",'計算（触らない）'!$X20)</f>
        <v/>
      </c>
      <c r="N20" s="30">
        <f>IF(OR('計算（触らない）'!$W20=0,'計算（触らない）'!$AE20=1),"",IF('計算（触らない）'!$F20&gt;2,"―",IF('計算（触らない）'!$AB20=0,"",'計算（触らない）'!$AB20)))</f>
        <v/>
      </c>
      <c r="O20" s="31">
        <f>IF(OR('計算（触らない）'!$W20=0,'計算（触らない）'!$AE20=1),"",'計算（触らない）'!$AO20)</f>
        <v/>
      </c>
      <c r="P20" s="29">
        <f>IF(OR('計算（触らない）'!$W20=0,'計算（触らない）'!$AE20=1),"",'計算（触らない）'!$Z20)</f>
        <v/>
      </c>
      <c r="Q20" s="29">
        <f>IF(OR('計算（触らない）'!$W20=0,'計算（触らない）'!$AE20=1),"",'計算（触らない）'!$AC20)</f>
        <v/>
      </c>
      <c r="R20" s="29">
        <f>IF(OR('計算（触らない）'!$W20=0,'計算（触らない）'!$AE20=1),"",'計算（触らない）'!$Y20)</f>
        <v/>
      </c>
      <c r="S20" s="32">
        <f>IF('計算（触らない）'!$B20=0,"",IF('計算（触らない）'!$AH20&lt;&gt;"",'計算（触らない）'!$AH20,TRIM('計算（触らない）'!$AI20&amp;'計算（触らない）'!$AJ20&amp;'計算（触らない）'!$AK20)))</f>
        <v/>
      </c>
      <c r="T20" s="68">
        <f>IF(OR('計算（触らない）'!$AH20&lt;&gt;"",'計算（触らない）'!$AI20&lt;&gt;""),1,0)</f>
        <v/>
      </c>
    </row>
    <row r="21" ht="30" customHeight="1">
      <c r="A21" s="21" t="n">
        <v>16</v>
      </c>
      <c r="B21" s="22" t="n"/>
      <c r="C21" s="22" t="n"/>
      <c r="D21" s="23" t="n"/>
      <c r="E21" s="24" t="n"/>
      <c r="F21" s="24" t="n"/>
      <c r="G21" s="25" t="n"/>
      <c r="H21" s="22" t="n"/>
      <c r="I21" s="26" t="n"/>
      <c r="J21" s="27" t="n"/>
      <c r="K21" s="24" t="n"/>
      <c r="L21" s="28" t="n"/>
      <c r="M21" s="29">
        <f>IF(OR('計算（触らない）'!$W21=0,'計算（触らない）'!$AE21=1),"",'計算（触らない）'!$X21)</f>
        <v/>
      </c>
      <c r="N21" s="30">
        <f>IF(OR('計算（触らない）'!$W21=0,'計算（触らない）'!$AE21=1),"",IF('計算（触らない）'!$F21&gt;2,"―",IF('計算（触らない）'!$AB21=0,"",'計算（触らない）'!$AB21)))</f>
        <v/>
      </c>
      <c r="O21" s="31">
        <f>IF(OR('計算（触らない）'!$W21=0,'計算（触らない）'!$AE21=1),"",'計算（触らない）'!$AO21)</f>
        <v/>
      </c>
      <c r="P21" s="29">
        <f>IF(OR('計算（触らない）'!$W21=0,'計算（触らない）'!$AE21=1),"",'計算（触らない）'!$Z21)</f>
        <v/>
      </c>
      <c r="Q21" s="29">
        <f>IF(OR('計算（触らない）'!$W21=0,'計算（触らない）'!$AE21=1),"",'計算（触らない）'!$AC21)</f>
        <v/>
      </c>
      <c r="R21" s="29">
        <f>IF(OR('計算（触らない）'!$W21=0,'計算（触らない）'!$AE21=1),"",'計算（触らない）'!$Y21)</f>
        <v/>
      </c>
      <c r="S21" s="32">
        <f>IF('計算（触らない）'!$B21=0,"",IF('計算（触らない）'!$AH21&lt;&gt;"",'計算（触らない）'!$AH21,TRIM('計算（触らない）'!$AI21&amp;'計算（触らない）'!$AJ21&amp;'計算（触らない）'!$AK21)))</f>
        <v/>
      </c>
      <c r="T21" s="68">
        <f>IF(OR('計算（触らない）'!$AH21&lt;&gt;"",'計算（触らない）'!$AI21&lt;&gt;""),1,0)</f>
        <v/>
      </c>
    </row>
    <row r="22" ht="30" customHeight="1">
      <c r="A22" s="21" t="n">
        <v>17</v>
      </c>
      <c r="B22" s="22" t="n"/>
      <c r="C22" s="22" t="n"/>
      <c r="D22" s="23" t="n"/>
      <c r="E22" s="24" t="n"/>
      <c r="F22" s="24" t="n"/>
      <c r="G22" s="25" t="n"/>
      <c r="H22" s="22" t="n"/>
      <c r="I22" s="26" t="n"/>
      <c r="J22" s="27" t="n"/>
      <c r="K22" s="24" t="n"/>
      <c r="L22" s="28" t="n"/>
      <c r="M22" s="29">
        <f>IF(OR('計算（触らない）'!$W22=0,'計算（触らない）'!$AE22=1),"",'計算（触らない）'!$X22)</f>
        <v/>
      </c>
      <c r="N22" s="30">
        <f>IF(OR('計算（触らない）'!$W22=0,'計算（触らない）'!$AE22=1),"",IF('計算（触らない）'!$F22&gt;2,"―",IF('計算（触らない）'!$AB22=0,"",'計算（触らない）'!$AB22)))</f>
        <v/>
      </c>
      <c r="O22" s="31">
        <f>IF(OR('計算（触らない）'!$W22=0,'計算（触らない）'!$AE22=1),"",'計算（触らない）'!$AO22)</f>
        <v/>
      </c>
      <c r="P22" s="29">
        <f>IF(OR('計算（触らない）'!$W22=0,'計算（触らない）'!$AE22=1),"",'計算（触らない）'!$Z22)</f>
        <v/>
      </c>
      <c r="Q22" s="29">
        <f>IF(OR('計算（触らない）'!$W22=0,'計算（触らない）'!$AE22=1),"",'計算（触らない）'!$AC22)</f>
        <v/>
      </c>
      <c r="R22" s="29">
        <f>IF(OR('計算（触らない）'!$W22=0,'計算（触らない）'!$AE22=1),"",'計算（触らない）'!$Y22)</f>
        <v/>
      </c>
      <c r="S22" s="32">
        <f>IF('計算（触らない）'!$B22=0,"",IF('計算（触らない）'!$AH22&lt;&gt;"",'計算（触らない）'!$AH22,TRIM('計算（触らない）'!$AI22&amp;'計算（触らない）'!$AJ22&amp;'計算（触らない）'!$AK22)))</f>
        <v/>
      </c>
      <c r="T22" s="68">
        <f>IF(OR('計算（触らない）'!$AH22&lt;&gt;"",'計算（触らない）'!$AI22&lt;&gt;""),1,0)</f>
        <v/>
      </c>
    </row>
    <row r="23" ht="30" customHeight="1">
      <c r="A23" s="21" t="n">
        <v>18</v>
      </c>
      <c r="B23" s="22" t="n"/>
      <c r="C23" s="22" t="n"/>
      <c r="D23" s="23" t="n"/>
      <c r="E23" s="24" t="n"/>
      <c r="F23" s="24" t="n"/>
      <c r="G23" s="25" t="n"/>
      <c r="H23" s="22" t="n"/>
      <c r="I23" s="26" t="n"/>
      <c r="J23" s="27" t="n"/>
      <c r="K23" s="24" t="n"/>
      <c r="L23" s="28" t="n"/>
      <c r="M23" s="29">
        <f>IF(OR('計算（触らない）'!$W23=0,'計算（触らない）'!$AE23=1),"",'計算（触らない）'!$X23)</f>
        <v/>
      </c>
      <c r="N23" s="30">
        <f>IF(OR('計算（触らない）'!$W23=0,'計算（触らない）'!$AE23=1),"",IF('計算（触らない）'!$F23&gt;2,"―",IF('計算（触らない）'!$AB23=0,"",'計算（触らない）'!$AB23)))</f>
        <v/>
      </c>
      <c r="O23" s="31">
        <f>IF(OR('計算（触らない）'!$W23=0,'計算（触らない）'!$AE23=1),"",'計算（触らない）'!$AO23)</f>
        <v/>
      </c>
      <c r="P23" s="29">
        <f>IF(OR('計算（触らない）'!$W23=0,'計算（触らない）'!$AE23=1),"",'計算（触らない）'!$Z23)</f>
        <v/>
      </c>
      <c r="Q23" s="29">
        <f>IF(OR('計算（触らない）'!$W23=0,'計算（触らない）'!$AE23=1),"",'計算（触らない）'!$AC23)</f>
        <v/>
      </c>
      <c r="R23" s="29">
        <f>IF(OR('計算（触らない）'!$W23=0,'計算（触らない）'!$AE23=1),"",'計算（触らない）'!$Y23)</f>
        <v/>
      </c>
      <c r="S23" s="32">
        <f>IF('計算（触らない）'!$B23=0,"",IF('計算（触らない）'!$AH23&lt;&gt;"",'計算（触らない）'!$AH23,TRIM('計算（触らない）'!$AI23&amp;'計算（触らない）'!$AJ23&amp;'計算（触らない）'!$AK23)))</f>
        <v/>
      </c>
      <c r="T23" s="68">
        <f>IF(OR('計算（触らない）'!$AH23&lt;&gt;"",'計算（触らない）'!$AI23&lt;&gt;""),1,0)</f>
        <v/>
      </c>
    </row>
    <row r="24" ht="30" customHeight="1">
      <c r="A24" s="21" t="n">
        <v>19</v>
      </c>
      <c r="B24" s="22" t="n"/>
      <c r="C24" s="22" t="n"/>
      <c r="D24" s="23" t="n"/>
      <c r="E24" s="24" t="n"/>
      <c r="F24" s="24" t="n"/>
      <c r="G24" s="25" t="n"/>
      <c r="H24" s="22" t="n"/>
      <c r="I24" s="26" t="n"/>
      <c r="J24" s="27" t="n"/>
      <c r="K24" s="24" t="n"/>
      <c r="L24" s="28" t="n"/>
      <c r="M24" s="29">
        <f>IF(OR('計算（触らない）'!$W24=0,'計算（触らない）'!$AE24=1),"",'計算（触らない）'!$X24)</f>
        <v/>
      </c>
      <c r="N24" s="30">
        <f>IF(OR('計算（触らない）'!$W24=0,'計算（触らない）'!$AE24=1),"",IF('計算（触らない）'!$F24&gt;2,"―",IF('計算（触らない）'!$AB24=0,"",'計算（触らない）'!$AB24)))</f>
        <v/>
      </c>
      <c r="O24" s="31">
        <f>IF(OR('計算（触らない）'!$W24=0,'計算（触らない）'!$AE24=1),"",'計算（触らない）'!$AO24)</f>
        <v/>
      </c>
      <c r="P24" s="29">
        <f>IF(OR('計算（触らない）'!$W24=0,'計算（触らない）'!$AE24=1),"",'計算（触らない）'!$Z24)</f>
        <v/>
      </c>
      <c r="Q24" s="29">
        <f>IF(OR('計算（触らない）'!$W24=0,'計算（触らない）'!$AE24=1),"",'計算（触らない）'!$AC24)</f>
        <v/>
      </c>
      <c r="R24" s="29">
        <f>IF(OR('計算（触らない）'!$W24=0,'計算（触らない）'!$AE24=1),"",'計算（触らない）'!$Y24)</f>
        <v/>
      </c>
      <c r="S24" s="32">
        <f>IF('計算（触らない）'!$B24=0,"",IF('計算（触らない）'!$AH24&lt;&gt;"",'計算（触らない）'!$AH24,TRIM('計算（触らない）'!$AI24&amp;'計算（触らない）'!$AJ24&amp;'計算（触らない）'!$AK24)))</f>
        <v/>
      </c>
      <c r="T24" s="68">
        <f>IF(OR('計算（触らない）'!$AH24&lt;&gt;"",'計算（触らない）'!$AI24&lt;&gt;""),1,0)</f>
        <v/>
      </c>
    </row>
    <row r="25" ht="30" customHeight="1">
      <c r="A25" s="21" t="n">
        <v>20</v>
      </c>
      <c r="B25" s="22" t="n"/>
      <c r="C25" s="22" t="n"/>
      <c r="D25" s="23" t="n"/>
      <c r="E25" s="24" t="n"/>
      <c r="F25" s="24" t="n"/>
      <c r="G25" s="25" t="n"/>
      <c r="H25" s="22" t="n"/>
      <c r="I25" s="26" t="n"/>
      <c r="J25" s="27" t="n"/>
      <c r="K25" s="24" t="n"/>
      <c r="L25" s="28" t="n"/>
      <c r="M25" s="29">
        <f>IF(OR('計算（触らない）'!$W25=0,'計算（触らない）'!$AE25=1),"",'計算（触らない）'!$X25)</f>
        <v/>
      </c>
      <c r="N25" s="30">
        <f>IF(OR('計算（触らない）'!$W25=0,'計算（触らない）'!$AE25=1),"",IF('計算（触らない）'!$F25&gt;2,"―",IF('計算（触らない）'!$AB25=0,"",'計算（触らない）'!$AB25)))</f>
        <v/>
      </c>
      <c r="O25" s="31">
        <f>IF(OR('計算（触らない）'!$W25=0,'計算（触らない）'!$AE25=1),"",'計算（触らない）'!$AO25)</f>
        <v/>
      </c>
      <c r="P25" s="29">
        <f>IF(OR('計算（触らない）'!$W25=0,'計算（触らない）'!$AE25=1),"",'計算（触らない）'!$Z25)</f>
        <v/>
      </c>
      <c r="Q25" s="29">
        <f>IF(OR('計算（触らない）'!$W25=0,'計算（触らない）'!$AE25=1),"",'計算（触らない）'!$AC25)</f>
        <v/>
      </c>
      <c r="R25" s="29">
        <f>IF(OR('計算（触らない）'!$W25=0,'計算（触らない）'!$AE25=1),"",'計算（触らない）'!$Y25)</f>
        <v/>
      </c>
      <c r="S25" s="32">
        <f>IF('計算（触らない）'!$B25=0,"",IF('計算（触らない）'!$AH25&lt;&gt;"",'計算（触らない）'!$AH25,TRIM('計算（触らない）'!$AI25&amp;'計算（触らない）'!$AJ25&amp;'計算（触らない）'!$AK25)))</f>
        <v/>
      </c>
      <c r="T25" s="68">
        <f>IF(OR('計算（触らない）'!$AH25&lt;&gt;"",'計算（触らない）'!$AI25&lt;&gt;""),1,0)</f>
        <v/>
      </c>
    </row>
    <row r="26" ht="30" customHeight="1">
      <c r="A26" s="21" t="n">
        <v>21</v>
      </c>
      <c r="B26" s="22" t="n"/>
      <c r="C26" s="22" t="n"/>
      <c r="D26" s="23" t="n"/>
      <c r="E26" s="24" t="n"/>
      <c r="F26" s="24" t="n"/>
      <c r="G26" s="25" t="n"/>
      <c r="H26" s="22" t="n"/>
      <c r="I26" s="26" t="n"/>
      <c r="J26" s="27" t="n"/>
      <c r="K26" s="24" t="n"/>
      <c r="L26" s="28" t="n"/>
      <c r="M26" s="29">
        <f>IF(OR('計算（触らない）'!$W26=0,'計算（触らない）'!$AE26=1),"",'計算（触らない）'!$X26)</f>
        <v/>
      </c>
      <c r="N26" s="30">
        <f>IF(OR('計算（触らない）'!$W26=0,'計算（触らない）'!$AE26=1),"",IF('計算（触らない）'!$F26&gt;2,"―",IF('計算（触らない）'!$AB26=0,"",'計算（触らない）'!$AB26)))</f>
        <v/>
      </c>
      <c r="O26" s="31">
        <f>IF(OR('計算（触らない）'!$W26=0,'計算（触らない）'!$AE26=1),"",'計算（触らない）'!$AO26)</f>
        <v/>
      </c>
      <c r="P26" s="29">
        <f>IF(OR('計算（触らない）'!$W26=0,'計算（触らない）'!$AE26=1),"",'計算（触らない）'!$Z26)</f>
        <v/>
      </c>
      <c r="Q26" s="29">
        <f>IF(OR('計算（触らない）'!$W26=0,'計算（触らない）'!$AE26=1),"",'計算（触らない）'!$AC26)</f>
        <v/>
      </c>
      <c r="R26" s="29">
        <f>IF(OR('計算（触らない）'!$W26=0,'計算（触らない）'!$AE26=1),"",'計算（触らない）'!$Y26)</f>
        <v/>
      </c>
      <c r="S26" s="32">
        <f>IF('計算（触らない）'!$B26=0,"",IF('計算（触らない）'!$AH26&lt;&gt;"",'計算（触らない）'!$AH26,TRIM('計算（触らない）'!$AI26&amp;'計算（触らない）'!$AJ26&amp;'計算（触らない）'!$AK26)))</f>
        <v/>
      </c>
      <c r="T26" s="68">
        <f>IF(OR('計算（触らない）'!$AH26&lt;&gt;"",'計算（触らない）'!$AI26&lt;&gt;""),1,0)</f>
        <v/>
      </c>
    </row>
    <row r="27" ht="30" customHeight="1">
      <c r="A27" s="21" t="n">
        <v>22</v>
      </c>
      <c r="B27" s="22" t="n"/>
      <c r="C27" s="22" t="n"/>
      <c r="D27" s="23" t="n"/>
      <c r="E27" s="24" t="n"/>
      <c r="F27" s="24" t="n"/>
      <c r="G27" s="25" t="n"/>
      <c r="H27" s="22" t="n"/>
      <c r="I27" s="26" t="n"/>
      <c r="J27" s="27" t="n"/>
      <c r="K27" s="24" t="n"/>
      <c r="L27" s="28" t="n"/>
      <c r="M27" s="29">
        <f>IF(OR('計算（触らない）'!$W27=0,'計算（触らない）'!$AE27=1),"",'計算（触らない）'!$X27)</f>
        <v/>
      </c>
      <c r="N27" s="30">
        <f>IF(OR('計算（触らない）'!$W27=0,'計算（触らない）'!$AE27=1),"",IF('計算（触らない）'!$F27&gt;2,"―",IF('計算（触らない）'!$AB27=0,"",'計算（触らない）'!$AB27)))</f>
        <v/>
      </c>
      <c r="O27" s="31">
        <f>IF(OR('計算（触らない）'!$W27=0,'計算（触らない）'!$AE27=1),"",'計算（触らない）'!$AO27)</f>
        <v/>
      </c>
      <c r="P27" s="29">
        <f>IF(OR('計算（触らない）'!$W27=0,'計算（触らない）'!$AE27=1),"",'計算（触らない）'!$Z27)</f>
        <v/>
      </c>
      <c r="Q27" s="29">
        <f>IF(OR('計算（触らない）'!$W27=0,'計算（触らない）'!$AE27=1),"",'計算（触らない）'!$AC27)</f>
        <v/>
      </c>
      <c r="R27" s="29">
        <f>IF(OR('計算（触らない）'!$W27=0,'計算（触らない）'!$AE27=1),"",'計算（触らない）'!$Y27)</f>
        <v/>
      </c>
      <c r="S27" s="32">
        <f>IF('計算（触らない）'!$B27=0,"",IF('計算（触らない）'!$AH27&lt;&gt;"",'計算（触らない）'!$AH27,TRIM('計算（触らない）'!$AI27&amp;'計算（触らない）'!$AJ27&amp;'計算（触らない）'!$AK27)))</f>
        <v/>
      </c>
      <c r="T27" s="68">
        <f>IF(OR('計算（触らない）'!$AH27&lt;&gt;"",'計算（触らない）'!$AI27&lt;&gt;""),1,0)</f>
        <v/>
      </c>
    </row>
    <row r="28" ht="30" customHeight="1">
      <c r="A28" s="21" t="n">
        <v>23</v>
      </c>
      <c r="B28" s="22" t="n"/>
      <c r="C28" s="22" t="n"/>
      <c r="D28" s="23" t="n"/>
      <c r="E28" s="24" t="n"/>
      <c r="F28" s="24" t="n"/>
      <c r="G28" s="25" t="n"/>
      <c r="H28" s="22" t="n"/>
      <c r="I28" s="26" t="n"/>
      <c r="J28" s="27" t="n"/>
      <c r="K28" s="24" t="n"/>
      <c r="L28" s="28" t="n"/>
      <c r="M28" s="29">
        <f>IF(OR('計算（触らない）'!$W28=0,'計算（触らない）'!$AE28=1),"",'計算（触らない）'!$X28)</f>
        <v/>
      </c>
      <c r="N28" s="30">
        <f>IF(OR('計算（触らない）'!$W28=0,'計算（触らない）'!$AE28=1),"",IF('計算（触らない）'!$F28&gt;2,"―",IF('計算（触らない）'!$AB28=0,"",'計算（触らない）'!$AB28)))</f>
        <v/>
      </c>
      <c r="O28" s="31">
        <f>IF(OR('計算（触らない）'!$W28=0,'計算（触らない）'!$AE28=1),"",'計算（触らない）'!$AO28)</f>
        <v/>
      </c>
      <c r="P28" s="29">
        <f>IF(OR('計算（触らない）'!$W28=0,'計算（触らない）'!$AE28=1),"",'計算（触らない）'!$Z28)</f>
        <v/>
      </c>
      <c r="Q28" s="29">
        <f>IF(OR('計算（触らない）'!$W28=0,'計算（触らない）'!$AE28=1),"",'計算（触らない）'!$AC28)</f>
        <v/>
      </c>
      <c r="R28" s="29">
        <f>IF(OR('計算（触らない）'!$W28=0,'計算（触らない）'!$AE28=1),"",'計算（触らない）'!$Y28)</f>
        <v/>
      </c>
      <c r="S28" s="32">
        <f>IF('計算（触らない）'!$B28=0,"",IF('計算（触らない）'!$AH28&lt;&gt;"",'計算（触らない）'!$AH28,TRIM('計算（触らない）'!$AI28&amp;'計算（触らない）'!$AJ28&amp;'計算（触らない）'!$AK28)))</f>
        <v/>
      </c>
      <c r="T28" s="68">
        <f>IF(OR('計算（触らない）'!$AH28&lt;&gt;"",'計算（触らない）'!$AI28&lt;&gt;""),1,0)</f>
        <v/>
      </c>
    </row>
    <row r="29" ht="30" customHeight="1">
      <c r="A29" s="21" t="n">
        <v>24</v>
      </c>
      <c r="B29" s="22" t="n"/>
      <c r="C29" s="22" t="n"/>
      <c r="D29" s="23" t="n"/>
      <c r="E29" s="24" t="n"/>
      <c r="F29" s="24" t="n"/>
      <c r="G29" s="25" t="n"/>
      <c r="H29" s="22" t="n"/>
      <c r="I29" s="26" t="n"/>
      <c r="J29" s="27" t="n"/>
      <c r="K29" s="24" t="n"/>
      <c r="L29" s="28" t="n"/>
      <c r="M29" s="29">
        <f>IF(OR('計算（触らない）'!$W29=0,'計算（触らない）'!$AE29=1),"",'計算（触らない）'!$X29)</f>
        <v/>
      </c>
      <c r="N29" s="30">
        <f>IF(OR('計算（触らない）'!$W29=0,'計算（触らない）'!$AE29=1),"",IF('計算（触らない）'!$F29&gt;2,"―",IF('計算（触らない）'!$AB29=0,"",'計算（触らない）'!$AB29)))</f>
        <v/>
      </c>
      <c r="O29" s="31">
        <f>IF(OR('計算（触らない）'!$W29=0,'計算（触らない）'!$AE29=1),"",'計算（触らない）'!$AO29)</f>
        <v/>
      </c>
      <c r="P29" s="29">
        <f>IF(OR('計算（触らない）'!$W29=0,'計算（触らない）'!$AE29=1),"",'計算（触らない）'!$Z29)</f>
        <v/>
      </c>
      <c r="Q29" s="29">
        <f>IF(OR('計算（触らない）'!$W29=0,'計算（触らない）'!$AE29=1),"",'計算（触らない）'!$AC29)</f>
        <v/>
      </c>
      <c r="R29" s="29">
        <f>IF(OR('計算（触らない）'!$W29=0,'計算（触らない）'!$AE29=1),"",'計算（触らない）'!$Y29)</f>
        <v/>
      </c>
      <c r="S29" s="32">
        <f>IF('計算（触らない）'!$B29=0,"",IF('計算（触らない）'!$AH29&lt;&gt;"",'計算（触らない）'!$AH29,TRIM('計算（触らない）'!$AI29&amp;'計算（触らない）'!$AJ29&amp;'計算（触らない）'!$AK29)))</f>
        <v/>
      </c>
      <c r="T29" s="68">
        <f>IF(OR('計算（触らない）'!$AH29&lt;&gt;"",'計算（触らない）'!$AI29&lt;&gt;""),1,0)</f>
        <v/>
      </c>
    </row>
    <row r="30" ht="30" customHeight="1">
      <c r="A30" s="21" t="n">
        <v>25</v>
      </c>
      <c r="B30" s="22" t="n"/>
      <c r="C30" s="22" t="n"/>
      <c r="D30" s="23" t="n"/>
      <c r="E30" s="24" t="n"/>
      <c r="F30" s="24" t="n"/>
      <c r="G30" s="25" t="n"/>
      <c r="H30" s="22" t="n"/>
      <c r="I30" s="26" t="n"/>
      <c r="J30" s="27" t="n"/>
      <c r="K30" s="24" t="n"/>
      <c r="L30" s="28" t="n"/>
      <c r="M30" s="29">
        <f>IF(OR('計算（触らない）'!$W30=0,'計算（触らない）'!$AE30=1),"",'計算（触らない）'!$X30)</f>
        <v/>
      </c>
      <c r="N30" s="30">
        <f>IF(OR('計算（触らない）'!$W30=0,'計算（触らない）'!$AE30=1),"",IF('計算（触らない）'!$F30&gt;2,"―",IF('計算（触らない）'!$AB30=0,"",'計算（触らない）'!$AB30)))</f>
        <v/>
      </c>
      <c r="O30" s="31">
        <f>IF(OR('計算（触らない）'!$W30=0,'計算（触らない）'!$AE30=1),"",'計算（触らない）'!$AO30)</f>
        <v/>
      </c>
      <c r="P30" s="29">
        <f>IF(OR('計算（触らない）'!$W30=0,'計算（触らない）'!$AE30=1),"",'計算（触らない）'!$Z30)</f>
        <v/>
      </c>
      <c r="Q30" s="29">
        <f>IF(OR('計算（触らない）'!$W30=0,'計算（触らない）'!$AE30=1),"",'計算（触らない）'!$AC30)</f>
        <v/>
      </c>
      <c r="R30" s="29">
        <f>IF(OR('計算（触らない）'!$W30=0,'計算（触らない）'!$AE30=1),"",'計算（触らない）'!$Y30)</f>
        <v/>
      </c>
      <c r="S30" s="32">
        <f>IF('計算（触らない）'!$B30=0,"",IF('計算（触らない）'!$AH30&lt;&gt;"",'計算（触らない）'!$AH30,TRIM('計算（触らない）'!$AI30&amp;'計算（触らない）'!$AJ30&amp;'計算（触らない）'!$AK30)))</f>
        <v/>
      </c>
      <c r="T30" s="68">
        <f>IF(OR('計算（触らない）'!$AH30&lt;&gt;"",'計算（触らない）'!$AI30&lt;&gt;""),1,0)</f>
        <v/>
      </c>
    </row>
    <row r="31" ht="30" customHeight="1">
      <c r="A31" s="21" t="n">
        <v>26</v>
      </c>
      <c r="B31" s="22" t="n"/>
      <c r="C31" s="22" t="n"/>
      <c r="D31" s="23" t="n"/>
      <c r="E31" s="24" t="n"/>
      <c r="F31" s="24" t="n"/>
      <c r="G31" s="25" t="n"/>
      <c r="H31" s="22" t="n"/>
      <c r="I31" s="26" t="n"/>
      <c r="J31" s="27" t="n"/>
      <c r="K31" s="24" t="n"/>
      <c r="L31" s="28" t="n"/>
      <c r="M31" s="29">
        <f>IF(OR('計算（触らない）'!$W31=0,'計算（触らない）'!$AE31=1),"",'計算（触らない）'!$X31)</f>
        <v/>
      </c>
      <c r="N31" s="30">
        <f>IF(OR('計算（触らない）'!$W31=0,'計算（触らない）'!$AE31=1),"",IF('計算（触らない）'!$F31&gt;2,"―",IF('計算（触らない）'!$AB31=0,"",'計算（触らない）'!$AB31)))</f>
        <v/>
      </c>
      <c r="O31" s="31">
        <f>IF(OR('計算（触らない）'!$W31=0,'計算（触らない）'!$AE31=1),"",'計算（触らない）'!$AO31)</f>
        <v/>
      </c>
      <c r="P31" s="29">
        <f>IF(OR('計算（触らない）'!$W31=0,'計算（触らない）'!$AE31=1),"",'計算（触らない）'!$Z31)</f>
        <v/>
      </c>
      <c r="Q31" s="29">
        <f>IF(OR('計算（触らない）'!$W31=0,'計算（触らない）'!$AE31=1),"",'計算（触らない）'!$AC31)</f>
        <v/>
      </c>
      <c r="R31" s="29">
        <f>IF(OR('計算（触らない）'!$W31=0,'計算（触らない）'!$AE31=1),"",'計算（触らない）'!$Y31)</f>
        <v/>
      </c>
      <c r="S31" s="32">
        <f>IF('計算（触らない）'!$B31=0,"",IF('計算（触らない）'!$AH31&lt;&gt;"",'計算（触らない）'!$AH31,TRIM('計算（触らない）'!$AI31&amp;'計算（触らない）'!$AJ31&amp;'計算（触らない）'!$AK31)))</f>
        <v/>
      </c>
      <c r="T31" s="68">
        <f>IF(OR('計算（触らない）'!$AH31&lt;&gt;"",'計算（触らない）'!$AI31&lt;&gt;""),1,0)</f>
        <v/>
      </c>
    </row>
    <row r="32" ht="30" customHeight="1">
      <c r="A32" s="21" t="n">
        <v>27</v>
      </c>
      <c r="B32" s="22" t="n"/>
      <c r="C32" s="22" t="n"/>
      <c r="D32" s="23" t="n"/>
      <c r="E32" s="24" t="n"/>
      <c r="F32" s="24" t="n"/>
      <c r="G32" s="25" t="n"/>
      <c r="H32" s="22" t="n"/>
      <c r="I32" s="26" t="n"/>
      <c r="J32" s="27" t="n"/>
      <c r="K32" s="24" t="n"/>
      <c r="L32" s="28" t="n"/>
      <c r="M32" s="29">
        <f>IF(OR('計算（触らない）'!$W32=0,'計算（触らない）'!$AE32=1),"",'計算（触らない）'!$X32)</f>
        <v/>
      </c>
      <c r="N32" s="30">
        <f>IF(OR('計算（触らない）'!$W32=0,'計算（触らない）'!$AE32=1),"",IF('計算（触らない）'!$F32&gt;2,"―",IF('計算（触らない）'!$AB32=0,"",'計算（触らない）'!$AB32)))</f>
        <v/>
      </c>
      <c r="O32" s="31">
        <f>IF(OR('計算（触らない）'!$W32=0,'計算（触らない）'!$AE32=1),"",'計算（触らない）'!$AO32)</f>
        <v/>
      </c>
      <c r="P32" s="29">
        <f>IF(OR('計算（触らない）'!$W32=0,'計算（触らない）'!$AE32=1),"",'計算（触らない）'!$Z32)</f>
        <v/>
      </c>
      <c r="Q32" s="29">
        <f>IF(OR('計算（触らない）'!$W32=0,'計算（触らない）'!$AE32=1),"",'計算（触らない）'!$AC32)</f>
        <v/>
      </c>
      <c r="R32" s="29">
        <f>IF(OR('計算（触らない）'!$W32=0,'計算（触らない）'!$AE32=1),"",'計算（触らない）'!$Y32)</f>
        <v/>
      </c>
      <c r="S32" s="32">
        <f>IF('計算（触らない）'!$B32=0,"",IF('計算（触らない）'!$AH32&lt;&gt;"",'計算（触らない）'!$AH32,TRIM('計算（触らない）'!$AI32&amp;'計算（触らない）'!$AJ32&amp;'計算（触らない）'!$AK32)))</f>
        <v/>
      </c>
      <c r="T32" s="68">
        <f>IF(OR('計算（触らない）'!$AH32&lt;&gt;"",'計算（触らない）'!$AI32&lt;&gt;""),1,0)</f>
        <v/>
      </c>
    </row>
    <row r="33" ht="30" customHeight="1">
      <c r="A33" s="21" t="n">
        <v>28</v>
      </c>
      <c r="B33" s="22" t="n"/>
      <c r="C33" s="22" t="n"/>
      <c r="D33" s="23" t="n"/>
      <c r="E33" s="24" t="n"/>
      <c r="F33" s="24" t="n"/>
      <c r="G33" s="25" t="n"/>
      <c r="H33" s="22" t="n"/>
      <c r="I33" s="26" t="n"/>
      <c r="J33" s="27" t="n"/>
      <c r="K33" s="24" t="n"/>
      <c r="L33" s="28" t="n"/>
      <c r="M33" s="29">
        <f>IF(OR('計算（触らない）'!$W33=0,'計算（触らない）'!$AE33=1),"",'計算（触らない）'!$X33)</f>
        <v/>
      </c>
      <c r="N33" s="30">
        <f>IF(OR('計算（触らない）'!$W33=0,'計算（触らない）'!$AE33=1),"",IF('計算（触らない）'!$F33&gt;2,"―",IF('計算（触らない）'!$AB33=0,"",'計算（触らない）'!$AB33)))</f>
        <v/>
      </c>
      <c r="O33" s="31">
        <f>IF(OR('計算（触らない）'!$W33=0,'計算（触らない）'!$AE33=1),"",'計算（触らない）'!$AO33)</f>
        <v/>
      </c>
      <c r="P33" s="29">
        <f>IF(OR('計算（触らない）'!$W33=0,'計算（触らない）'!$AE33=1),"",'計算（触らない）'!$Z33)</f>
        <v/>
      </c>
      <c r="Q33" s="29">
        <f>IF(OR('計算（触らない）'!$W33=0,'計算（触らない）'!$AE33=1),"",'計算（触らない）'!$AC33)</f>
        <v/>
      </c>
      <c r="R33" s="29">
        <f>IF(OR('計算（触らない）'!$W33=0,'計算（触らない）'!$AE33=1),"",'計算（触らない）'!$Y33)</f>
        <v/>
      </c>
      <c r="S33" s="32">
        <f>IF('計算（触らない）'!$B33=0,"",IF('計算（触らない）'!$AH33&lt;&gt;"",'計算（触らない）'!$AH33,TRIM('計算（触らない）'!$AI33&amp;'計算（触らない）'!$AJ33&amp;'計算（触らない）'!$AK33)))</f>
        <v/>
      </c>
      <c r="T33" s="68">
        <f>IF(OR('計算（触らない）'!$AH33&lt;&gt;"",'計算（触らない）'!$AI33&lt;&gt;""),1,0)</f>
        <v/>
      </c>
    </row>
    <row r="34" ht="30" customHeight="1">
      <c r="A34" s="21" t="n">
        <v>29</v>
      </c>
      <c r="B34" s="22" t="n"/>
      <c r="C34" s="22" t="n"/>
      <c r="D34" s="23" t="n"/>
      <c r="E34" s="24" t="n"/>
      <c r="F34" s="24" t="n"/>
      <c r="G34" s="25" t="n"/>
      <c r="H34" s="22" t="n"/>
      <c r="I34" s="26" t="n"/>
      <c r="J34" s="27" t="n"/>
      <c r="K34" s="24" t="n"/>
      <c r="L34" s="28" t="n"/>
      <c r="M34" s="29">
        <f>IF(OR('計算（触らない）'!$W34=0,'計算（触らない）'!$AE34=1),"",'計算（触らない）'!$X34)</f>
        <v/>
      </c>
      <c r="N34" s="30">
        <f>IF(OR('計算（触らない）'!$W34=0,'計算（触らない）'!$AE34=1),"",IF('計算（触らない）'!$F34&gt;2,"―",IF('計算（触らない）'!$AB34=0,"",'計算（触らない）'!$AB34)))</f>
        <v/>
      </c>
      <c r="O34" s="31">
        <f>IF(OR('計算（触らない）'!$W34=0,'計算（触らない）'!$AE34=1),"",'計算（触らない）'!$AO34)</f>
        <v/>
      </c>
      <c r="P34" s="29">
        <f>IF(OR('計算（触らない）'!$W34=0,'計算（触らない）'!$AE34=1),"",'計算（触らない）'!$Z34)</f>
        <v/>
      </c>
      <c r="Q34" s="29">
        <f>IF(OR('計算（触らない）'!$W34=0,'計算（触らない）'!$AE34=1),"",'計算（触らない）'!$AC34)</f>
        <v/>
      </c>
      <c r="R34" s="29">
        <f>IF(OR('計算（触らない）'!$W34=0,'計算（触らない）'!$AE34=1),"",'計算（触らない）'!$Y34)</f>
        <v/>
      </c>
      <c r="S34" s="32">
        <f>IF('計算（触らない）'!$B34=0,"",IF('計算（触らない）'!$AH34&lt;&gt;"",'計算（触らない）'!$AH34,TRIM('計算（触らない）'!$AI34&amp;'計算（触らない）'!$AJ34&amp;'計算（触らない）'!$AK34)))</f>
        <v/>
      </c>
      <c r="T34" s="68">
        <f>IF(OR('計算（触らない）'!$AH34&lt;&gt;"",'計算（触らない）'!$AI34&lt;&gt;""),1,0)</f>
        <v/>
      </c>
    </row>
    <row r="35" ht="30" customHeight="1">
      <c r="A35" s="21" t="n">
        <v>30</v>
      </c>
      <c r="B35" s="22" t="n"/>
      <c r="C35" s="22" t="n"/>
      <c r="D35" s="23" t="n"/>
      <c r="E35" s="24" t="n"/>
      <c r="F35" s="24" t="n"/>
      <c r="G35" s="25" t="n"/>
      <c r="H35" s="22" t="n"/>
      <c r="I35" s="26" t="n"/>
      <c r="J35" s="27" t="n"/>
      <c r="K35" s="24" t="n"/>
      <c r="L35" s="28" t="n"/>
      <c r="M35" s="29">
        <f>IF(OR('計算（触らない）'!$W35=0,'計算（触らない）'!$AE35=1),"",'計算（触らない）'!$X35)</f>
        <v/>
      </c>
      <c r="N35" s="30">
        <f>IF(OR('計算（触らない）'!$W35=0,'計算（触らない）'!$AE35=1),"",IF('計算（触らない）'!$F35&gt;2,"―",IF('計算（触らない）'!$AB35=0,"",'計算（触らない）'!$AB35)))</f>
        <v/>
      </c>
      <c r="O35" s="31">
        <f>IF(OR('計算（触らない）'!$W35=0,'計算（触らない）'!$AE35=1),"",'計算（触らない）'!$AO35)</f>
        <v/>
      </c>
      <c r="P35" s="29">
        <f>IF(OR('計算（触らない）'!$W35=0,'計算（触らない）'!$AE35=1),"",'計算（触らない）'!$Z35)</f>
        <v/>
      </c>
      <c r="Q35" s="29">
        <f>IF(OR('計算（触らない）'!$W35=0,'計算（触らない）'!$AE35=1),"",'計算（触らない）'!$AC35)</f>
        <v/>
      </c>
      <c r="R35" s="29">
        <f>IF(OR('計算（触らない）'!$W35=0,'計算（触らない）'!$AE35=1),"",'計算（触らない）'!$Y35)</f>
        <v/>
      </c>
      <c r="S35" s="32">
        <f>IF('計算（触らない）'!$B35=0,"",IF('計算（触らない）'!$AH35&lt;&gt;"",'計算（触らない）'!$AH35,TRIM('計算（触らない）'!$AI35&amp;'計算（触らない）'!$AJ35&amp;'計算（触らない）'!$AK35)))</f>
        <v/>
      </c>
      <c r="T35" s="68">
        <f>IF(OR('計算（触らない）'!$AH35&lt;&gt;"",'計算（触らない）'!$AI35&lt;&gt;""),1,0)</f>
        <v/>
      </c>
    </row>
    <row r="36" ht="30" customHeight="1">
      <c r="A36" s="21" t="n">
        <v>31</v>
      </c>
      <c r="B36" s="22" t="n"/>
      <c r="C36" s="22" t="n"/>
      <c r="D36" s="23" t="n"/>
      <c r="E36" s="24" t="n"/>
      <c r="F36" s="24" t="n"/>
      <c r="G36" s="25" t="n"/>
      <c r="H36" s="22" t="n"/>
      <c r="I36" s="26" t="n"/>
      <c r="J36" s="27" t="n"/>
      <c r="K36" s="24" t="n"/>
      <c r="L36" s="28" t="n"/>
      <c r="M36" s="29">
        <f>IF(OR('計算（触らない）'!$W36=0,'計算（触らない）'!$AE36=1),"",'計算（触らない）'!$X36)</f>
        <v/>
      </c>
      <c r="N36" s="30">
        <f>IF(OR('計算（触らない）'!$W36=0,'計算（触らない）'!$AE36=1),"",IF('計算（触らない）'!$F36&gt;2,"―",IF('計算（触らない）'!$AB36=0,"",'計算（触らない）'!$AB36)))</f>
        <v/>
      </c>
      <c r="O36" s="31">
        <f>IF(OR('計算（触らない）'!$W36=0,'計算（触らない）'!$AE36=1),"",'計算（触らない）'!$AO36)</f>
        <v/>
      </c>
      <c r="P36" s="29">
        <f>IF(OR('計算（触らない）'!$W36=0,'計算（触らない）'!$AE36=1),"",'計算（触らない）'!$Z36)</f>
        <v/>
      </c>
      <c r="Q36" s="29">
        <f>IF(OR('計算（触らない）'!$W36=0,'計算（触らない）'!$AE36=1),"",'計算（触らない）'!$AC36)</f>
        <v/>
      </c>
      <c r="R36" s="29">
        <f>IF(OR('計算（触らない）'!$W36=0,'計算（触らない）'!$AE36=1),"",'計算（触らない）'!$Y36)</f>
        <v/>
      </c>
      <c r="S36" s="32">
        <f>IF('計算（触らない）'!$B36=0,"",IF('計算（触らない）'!$AH36&lt;&gt;"",'計算（触らない）'!$AH36,TRIM('計算（触らない）'!$AI36&amp;'計算（触らない）'!$AJ36&amp;'計算（触らない）'!$AK36)))</f>
        <v/>
      </c>
      <c r="T36" s="68">
        <f>IF(OR('計算（触らない）'!$AH36&lt;&gt;"",'計算（触らない）'!$AI36&lt;&gt;""),1,0)</f>
        <v/>
      </c>
    </row>
    <row r="37" ht="30" customHeight="1">
      <c r="A37" s="21" t="n">
        <v>32</v>
      </c>
      <c r="B37" s="22" t="n"/>
      <c r="C37" s="22" t="n"/>
      <c r="D37" s="23" t="n"/>
      <c r="E37" s="24" t="n"/>
      <c r="F37" s="24" t="n"/>
      <c r="G37" s="25" t="n"/>
      <c r="H37" s="22" t="n"/>
      <c r="I37" s="26" t="n"/>
      <c r="J37" s="27" t="n"/>
      <c r="K37" s="24" t="n"/>
      <c r="L37" s="28" t="n"/>
      <c r="M37" s="29">
        <f>IF(OR('計算（触らない）'!$W37=0,'計算（触らない）'!$AE37=1),"",'計算（触らない）'!$X37)</f>
        <v/>
      </c>
      <c r="N37" s="30">
        <f>IF(OR('計算（触らない）'!$W37=0,'計算（触らない）'!$AE37=1),"",IF('計算（触らない）'!$F37&gt;2,"―",IF('計算（触らない）'!$AB37=0,"",'計算（触らない）'!$AB37)))</f>
        <v/>
      </c>
      <c r="O37" s="31">
        <f>IF(OR('計算（触らない）'!$W37=0,'計算（触らない）'!$AE37=1),"",'計算（触らない）'!$AO37)</f>
        <v/>
      </c>
      <c r="P37" s="29">
        <f>IF(OR('計算（触らない）'!$W37=0,'計算（触らない）'!$AE37=1),"",'計算（触らない）'!$Z37)</f>
        <v/>
      </c>
      <c r="Q37" s="29">
        <f>IF(OR('計算（触らない）'!$W37=0,'計算（触らない）'!$AE37=1),"",'計算（触らない）'!$AC37)</f>
        <v/>
      </c>
      <c r="R37" s="29">
        <f>IF(OR('計算（触らない）'!$W37=0,'計算（触らない）'!$AE37=1),"",'計算（触らない）'!$Y37)</f>
        <v/>
      </c>
      <c r="S37" s="32">
        <f>IF('計算（触らない）'!$B37=0,"",IF('計算（触らない）'!$AH37&lt;&gt;"",'計算（触らない）'!$AH37,TRIM('計算（触らない）'!$AI37&amp;'計算（触らない）'!$AJ37&amp;'計算（触らない）'!$AK37)))</f>
        <v/>
      </c>
      <c r="T37" s="68">
        <f>IF(OR('計算（触らない）'!$AH37&lt;&gt;"",'計算（触らない）'!$AI37&lt;&gt;""),1,0)</f>
        <v/>
      </c>
    </row>
    <row r="38" ht="30" customHeight="1">
      <c r="A38" s="21" t="n">
        <v>33</v>
      </c>
      <c r="B38" s="22" t="n"/>
      <c r="C38" s="22" t="n"/>
      <c r="D38" s="23" t="n"/>
      <c r="E38" s="24" t="n"/>
      <c r="F38" s="24" t="n"/>
      <c r="G38" s="25" t="n"/>
      <c r="H38" s="22" t="n"/>
      <c r="I38" s="26" t="n"/>
      <c r="J38" s="27" t="n"/>
      <c r="K38" s="24" t="n"/>
      <c r="L38" s="28" t="n"/>
      <c r="M38" s="29">
        <f>IF(OR('計算（触らない）'!$W38=0,'計算（触らない）'!$AE38=1),"",'計算（触らない）'!$X38)</f>
        <v/>
      </c>
      <c r="N38" s="30">
        <f>IF(OR('計算（触らない）'!$W38=0,'計算（触らない）'!$AE38=1),"",IF('計算（触らない）'!$F38&gt;2,"―",IF('計算（触らない）'!$AB38=0,"",'計算（触らない）'!$AB38)))</f>
        <v/>
      </c>
      <c r="O38" s="31">
        <f>IF(OR('計算（触らない）'!$W38=0,'計算（触らない）'!$AE38=1),"",'計算（触らない）'!$AO38)</f>
        <v/>
      </c>
      <c r="P38" s="29">
        <f>IF(OR('計算（触らない）'!$W38=0,'計算（触らない）'!$AE38=1),"",'計算（触らない）'!$Z38)</f>
        <v/>
      </c>
      <c r="Q38" s="29">
        <f>IF(OR('計算（触らない）'!$W38=0,'計算（触らない）'!$AE38=1),"",'計算（触らない）'!$AC38)</f>
        <v/>
      </c>
      <c r="R38" s="29">
        <f>IF(OR('計算（触らない）'!$W38=0,'計算（触らない）'!$AE38=1),"",'計算（触らない）'!$Y38)</f>
        <v/>
      </c>
      <c r="S38" s="32">
        <f>IF('計算（触らない）'!$B38=0,"",IF('計算（触らない）'!$AH38&lt;&gt;"",'計算（触らない）'!$AH38,TRIM('計算（触らない）'!$AI38&amp;'計算（触らない）'!$AJ38&amp;'計算（触らない）'!$AK38)))</f>
        <v/>
      </c>
      <c r="T38" s="68">
        <f>IF(OR('計算（触らない）'!$AH38&lt;&gt;"",'計算（触らない）'!$AI38&lt;&gt;""),1,0)</f>
        <v/>
      </c>
    </row>
    <row r="39" ht="30" customHeight="1">
      <c r="A39" s="21" t="n">
        <v>34</v>
      </c>
      <c r="B39" s="22" t="n"/>
      <c r="C39" s="22" t="n"/>
      <c r="D39" s="23" t="n"/>
      <c r="E39" s="24" t="n"/>
      <c r="F39" s="24" t="n"/>
      <c r="G39" s="25" t="n"/>
      <c r="H39" s="22" t="n"/>
      <c r="I39" s="26" t="n"/>
      <c r="J39" s="27" t="n"/>
      <c r="K39" s="24" t="n"/>
      <c r="L39" s="28" t="n"/>
      <c r="M39" s="29">
        <f>IF(OR('計算（触らない）'!$W39=0,'計算（触らない）'!$AE39=1),"",'計算（触らない）'!$X39)</f>
        <v/>
      </c>
      <c r="N39" s="30">
        <f>IF(OR('計算（触らない）'!$W39=0,'計算（触らない）'!$AE39=1),"",IF('計算（触らない）'!$F39&gt;2,"―",IF('計算（触らない）'!$AB39=0,"",'計算（触らない）'!$AB39)))</f>
        <v/>
      </c>
      <c r="O39" s="31">
        <f>IF(OR('計算（触らない）'!$W39=0,'計算（触らない）'!$AE39=1),"",'計算（触らない）'!$AO39)</f>
        <v/>
      </c>
      <c r="P39" s="29">
        <f>IF(OR('計算（触らない）'!$W39=0,'計算（触らない）'!$AE39=1),"",'計算（触らない）'!$Z39)</f>
        <v/>
      </c>
      <c r="Q39" s="29">
        <f>IF(OR('計算（触らない）'!$W39=0,'計算（触らない）'!$AE39=1),"",'計算（触らない）'!$AC39)</f>
        <v/>
      </c>
      <c r="R39" s="29">
        <f>IF(OR('計算（触らない）'!$W39=0,'計算（触らない）'!$AE39=1),"",'計算（触らない）'!$Y39)</f>
        <v/>
      </c>
      <c r="S39" s="32">
        <f>IF('計算（触らない）'!$B39=0,"",IF('計算（触らない）'!$AH39&lt;&gt;"",'計算（触らない）'!$AH39,TRIM('計算（触らない）'!$AI39&amp;'計算（触らない）'!$AJ39&amp;'計算（触らない）'!$AK39)))</f>
        <v/>
      </c>
      <c r="T39" s="68">
        <f>IF(OR('計算（触らない）'!$AH39&lt;&gt;"",'計算（触らない）'!$AI39&lt;&gt;""),1,0)</f>
        <v/>
      </c>
    </row>
    <row r="40" ht="30" customHeight="1">
      <c r="A40" s="21" t="n">
        <v>35</v>
      </c>
      <c r="B40" s="22" t="n"/>
      <c r="C40" s="22" t="n"/>
      <c r="D40" s="23" t="n"/>
      <c r="E40" s="24" t="n"/>
      <c r="F40" s="24" t="n"/>
      <c r="G40" s="25" t="n"/>
      <c r="H40" s="22" t="n"/>
      <c r="I40" s="26" t="n"/>
      <c r="J40" s="27" t="n"/>
      <c r="K40" s="24" t="n"/>
      <c r="L40" s="28" t="n"/>
      <c r="M40" s="29">
        <f>IF(OR('計算（触らない）'!$W40=0,'計算（触らない）'!$AE40=1),"",'計算（触らない）'!$X40)</f>
        <v/>
      </c>
      <c r="N40" s="30">
        <f>IF(OR('計算（触らない）'!$W40=0,'計算（触らない）'!$AE40=1),"",IF('計算（触らない）'!$F40&gt;2,"―",IF('計算（触らない）'!$AB40=0,"",'計算（触らない）'!$AB40)))</f>
        <v/>
      </c>
      <c r="O40" s="31">
        <f>IF(OR('計算（触らない）'!$W40=0,'計算（触らない）'!$AE40=1),"",'計算（触らない）'!$AO40)</f>
        <v/>
      </c>
      <c r="P40" s="29">
        <f>IF(OR('計算（触らない）'!$W40=0,'計算（触らない）'!$AE40=1),"",'計算（触らない）'!$Z40)</f>
        <v/>
      </c>
      <c r="Q40" s="29">
        <f>IF(OR('計算（触らない）'!$W40=0,'計算（触らない）'!$AE40=1),"",'計算（触らない）'!$AC40)</f>
        <v/>
      </c>
      <c r="R40" s="29">
        <f>IF(OR('計算（触らない）'!$W40=0,'計算（触らない）'!$AE40=1),"",'計算（触らない）'!$Y40)</f>
        <v/>
      </c>
      <c r="S40" s="32">
        <f>IF('計算（触らない）'!$B40=0,"",IF('計算（触らない）'!$AH40&lt;&gt;"",'計算（触らない）'!$AH40,TRIM('計算（触らない）'!$AI40&amp;'計算（触らない）'!$AJ40&amp;'計算（触らない）'!$AK40)))</f>
        <v/>
      </c>
      <c r="T40" s="68">
        <f>IF(OR('計算（触らない）'!$AH40&lt;&gt;"",'計算（触らない）'!$AI40&lt;&gt;""),1,0)</f>
        <v/>
      </c>
    </row>
    <row r="41" ht="30" customHeight="1">
      <c r="A41" s="21" t="n">
        <v>36</v>
      </c>
      <c r="B41" s="22" t="n"/>
      <c r="C41" s="22" t="n"/>
      <c r="D41" s="23" t="n"/>
      <c r="E41" s="24" t="n"/>
      <c r="F41" s="24" t="n"/>
      <c r="G41" s="25" t="n"/>
      <c r="H41" s="22" t="n"/>
      <c r="I41" s="26" t="n"/>
      <c r="J41" s="27" t="n"/>
      <c r="K41" s="24" t="n"/>
      <c r="L41" s="28" t="n"/>
      <c r="M41" s="29">
        <f>IF(OR('計算（触らない）'!$W41=0,'計算（触らない）'!$AE41=1),"",'計算（触らない）'!$X41)</f>
        <v/>
      </c>
      <c r="N41" s="30">
        <f>IF(OR('計算（触らない）'!$W41=0,'計算（触らない）'!$AE41=1),"",IF('計算（触らない）'!$F41&gt;2,"―",IF('計算（触らない）'!$AB41=0,"",'計算（触らない）'!$AB41)))</f>
        <v/>
      </c>
      <c r="O41" s="31">
        <f>IF(OR('計算（触らない）'!$W41=0,'計算（触らない）'!$AE41=1),"",'計算（触らない）'!$AO41)</f>
        <v/>
      </c>
      <c r="P41" s="29">
        <f>IF(OR('計算（触らない）'!$W41=0,'計算（触らない）'!$AE41=1),"",'計算（触らない）'!$Z41)</f>
        <v/>
      </c>
      <c r="Q41" s="29">
        <f>IF(OR('計算（触らない）'!$W41=0,'計算（触らない）'!$AE41=1),"",'計算（触らない）'!$AC41)</f>
        <v/>
      </c>
      <c r="R41" s="29">
        <f>IF(OR('計算（触らない）'!$W41=0,'計算（触らない）'!$AE41=1),"",'計算（触らない）'!$Y41)</f>
        <v/>
      </c>
      <c r="S41" s="32">
        <f>IF('計算（触らない）'!$B41=0,"",IF('計算（触らない）'!$AH41&lt;&gt;"",'計算（触らない）'!$AH41,TRIM('計算（触らない）'!$AI41&amp;'計算（触らない）'!$AJ41&amp;'計算（触らない）'!$AK41)))</f>
        <v/>
      </c>
      <c r="T41" s="68">
        <f>IF(OR('計算（触らない）'!$AH41&lt;&gt;"",'計算（触らない）'!$AI41&lt;&gt;""),1,0)</f>
        <v/>
      </c>
    </row>
    <row r="42" ht="30" customHeight="1">
      <c r="A42" s="21" t="n">
        <v>37</v>
      </c>
      <c r="B42" s="22" t="n"/>
      <c r="C42" s="22" t="n"/>
      <c r="D42" s="23" t="n"/>
      <c r="E42" s="24" t="n"/>
      <c r="F42" s="24" t="n"/>
      <c r="G42" s="25" t="n"/>
      <c r="H42" s="22" t="n"/>
      <c r="I42" s="26" t="n"/>
      <c r="J42" s="27" t="n"/>
      <c r="K42" s="24" t="n"/>
      <c r="L42" s="28" t="n"/>
      <c r="M42" s="29">
        <f>IF(OR('計算（触らない）'!$W42=0,'計算（触らない）'!$AE42=1),"",'計算（触らない）'!$X42)</f>
        <v/>
      </c>
      <c r="N42" s="30">
        <f>IF(OR('計算（触らない）'!$W42=0,'計算（触らない）'!$AE42=1),"",IF('計算（触らない）'!$F42&gt;2,"―",IF('計算（触らない）'!$AB42=0,"",'計算（触らない）'!$AB42)))</f>
        <v/>
      </c>
      <c r="O42" s="31">
        <f>IF(OR('計算（触らない）'!$W42=0,'計算（触らない）'!$AE42=1),"",'計算（触らない）'!$AO42)</f>
        <v/>
      </c>
      <c r="P42" s="29">
        <f>IF(OR('計算（触らない）'!$W42=0,'計算（触らない）'!$AE42=1),"",'計算（触らない）'!$Z42)</f>
        <v/>
      </c>
      <c r="Q42" s="29">
        <f>IF(OR('計算（触らない）'!$W42=0,'計算（触らない）'!$AE42=1),"",'計算（触らない）'!$AC42)</f>
        <v/>
      </c>
      <c r="R42" s="29">
        <f>IF(OR('計算（触らない）'!$W42=0,'計算（触らない）'!$AE42=1),"",'計算（触らない）'!$Y42)</f>
        <v/>
      </c>
      <c r="S42" s="32">
        <f>IF('計算（触らない）'!$B42=0,"",IF('計算（触らない）'!$AH42&lt;&gt;"",'計算（触らない）'!$AH42,TRIM('計算（触らない）'!$AI42&amp;'計算（触らない）'!$AJ42&amp;'計算（触らない）'!$AK42)))</f>
        <v/>
      </c>
      <c r="T42" s="68">
        <f>IF(OR('計算（触らない）'!$AH42&lt;&gt;"",'計算（触らない）'!$AI42&lt;&gt;""),1,0)</f>
        <v/>
      </c>
    </row>
    <row r="43" ht="30" customHeight="1">
      <c r="A43" s="21" t="n">
        <v>38</v>
      </c>
      <c r="B43" s="22" t="n"/>
      <c r="C43" s="22" t="n"/>
      <c r="D43" s="23" t="n"/>
      <c r="E43" s="24" t="n"/>
      <c r="F43" s="24" t="n"/>
      <c r="G43" s="25" t="n"/>
      <c r="H43" s="22" t="n"/>
      <c r="I43" s="26" t="n"/>
      <c r="J43" s="27" t="n"/>
      <c r="K43" s="24" t="n"/>
      <c r="L43" s="28" t="n"/>
      <c r="M43" s="29">
        <f>IF(OR('計算（触らない）'!$W43=0,'計算（触らない）'!$AE43=1),"",'計算（触らない）'!$X43)</f>
        <v/>
      </c>
      <c r="N43" s="30">
        <f>IF(OR('計算（触らない）'!$W43=0,'計算（触らない）'!$AE43=1),"",IF('計算（触らない）'!$F43&gt;2,"―",IF('計算（触らない）'!$AB43=0,"",'計算（触らない）'!$AB43)))</f>
        <v/>
      </c>
      <c r="O43" s="31">
        <f>IF(OR('計算（触らない）'!$W43=0,'計算（触らない）'!$AE43=1),"",'計算（触らない）'!$AO43)</f>
        <v/>
      </c>
      <c r="P43" s="29">
        <f>IF(OR('計算（触らない）'!$W43=0,'計算（触らない）'!$AE43=1),"",'計算（触らない）'!$Z43)</f>
        <v/>
      </c>
      <c r="Q43" s="29">
        <f>IF(OR('計算（触らない）'!$W43=0,'計算（触らない）'!$AE43=1),"",'計算（触らない）'!$AC43)</f>
        <v/>
      </c>
      <c r="R43" s="29">
        <f>IF(OR('計算（触らない）'!$W43=0,'計算（触らない）'!$AE43=1),"",'計算（触らない）'!$Y43)</f>
        <v/>
      </c>
      <c r="S43" s="32">
        <f>IF('計算（触らない）'!$B43=0,"",IF('計算（触らない）'!$AH43&lt;&gt;"",'計算（触らない）'!$AH43,TRIM('計算（触らない）'!$AI43&amp;'計算（触らない）'!$AJ43&amp;'計算（触らない）'!$AK43)))</f>
        <v/>
      </c>
      <c r="T43" s="68">
        <f>IF(OR('計算（触らない）'!$AH43&lt;&gt;"",'計算（触らない）'!$AI43&lt;&gt;""),1,0)</f>
        <v/>
      </c>
    </row>
    <row r="44" ht="30" customHeight="1">
      <c r="A44" s="21" t="n">
        <v>39</v>
      </c>
      <c r="B44" s="22" t="n"/>
      <c r="C44" s="22" t="n"/>
      <c r="D44" s="23" t="n"/>
      <c r="E44" s="24" t="n"/>
      <c r="F44" s="24" t="n"/>
      <c r="G44" s="25" t="n"/>
      <c r="H44" s="22" t="n"/>
      <c r="I44" s="26" t="n"/>
      <c r="J44" s="27" t="n"/>
      <c r="K44" s="24" t="n"/>
      <c r="L44" s="28" t="n"/>
      <c r="M44" s="29">
        <f>IF(OR('計算（触らない）'!$W44=0,'計算（触らない）'!$AE44=1),"",'計算（触らない）'!$X44)</f>
        <v/>
      </c>
      <c r="N44" s="30">
        <f>IF(OR('計算（触らない）'!$W44=0,'計算（触らない）'!$AE44=1),"",IF('計算（触らない）'!$F44&gt;2,"―",IF('計算（触らない）'!$AB44=0,"",'計算（触らない）'!$AB44)))</f>
        <v/>
      </c>
      <c r="O44" s="31">
        <f>IF(OR('計算（触らない）'!$W44=0,'計算（触らない）'!$AE44=1),"",'計算（触らない）'!$AO44)</f>
        <v/>
      </c>
      <c r="P44" s="29">
        <f>IF(OR('計算（触らない）'!$W44=0,'計算（触らない）'!$AE44=1),"",'計算（触らない）'!$Z44)</f>
        <v/>
      </c>
      <c r="Q44" s="29">
        <f>IF(OR('計算（触らない）'!$W44=0,'計算（触らない）'!$AE44=1),"",'計算（触らない）'!$AC44)</f>
        <v/>
      </c>
      <c r="R44" s="29">
        <f>IF(OR('計算（触らない）'!$W44=0,'計算（触らない）'!$AE44=1),"",'計算（触らない）'!$Y44)</f>
        <v/>
      </c>
      <c r="S44" s="32">
        <f>IF('計算（触らない）'!$B44=0,"",IF('計算（触らない）'!$AH44&lt;&gt;"",'計算（触らない）'!$AH44,TRIM('計算（触らない）'!$AI44&amp;'計算（触らない）'!$AJ44&amp;'計算（触らない）'!$AK44)))</f>
        <v/>
      </c>
      <c r="T44" s="68">
        <f>IF(OR('計算（触らない）'!$AH44&lt;&gt;"",'計算（触らない）'!$AI44&lt;&gt;""),1,0)</f>
        <v/>
      </c>
    </row>
    <row r="45" ht="30" customHeight="1">
      <c r="A45" s="21" t="n">
        <v>40</v>
      </c>
      <c r="B45" s="22" t="n"/>
      <c r="C45" s="22" t="n"/>
      <c r="D45" s="23" t="n"/>
      <c r="E45" s="24" t="n"/>
      <c r="F45" s="24" t="n"/>
      <c r="G45" s="25" t="n"/>
      <c r="H45" s="22" t="n"/>
      <c r="I45" s="26" t="n"/>
      <c r="J45" s="27" t="n"/>
      <c r="K45" s="24" t="n"/>
      <c r="L45" s="28" t="n"/>
      <c r="M45" s="29">
        <f>IF(OR('計算（触らない）'!$W45=0,'計算（触らない）'!$AE45=1),"",'計算（触らない）'!$X45)</f>
        <v/>
      </c>
      <c r="N45" s="30">
        <f>IF(OR('計算（触らない）'!$W45=0,'計算（触らない）'!$AE45=1),"",IF('計算（触らない）'!$F45&gt;2,"―",IF('計算（触らない）'!$AB45=0,"",'計算（触らない）'!$AB45)))</f>
        <v/>
      </c>
      <c r="O45" s="31">
        <f>IF(OR('計算（触らない）'!$W45=0,'計算（触らない）'!$AE45=1),"",'計算（触らない）'!$AO45)</f>
        <v/>
      </c>
      <c r="P45" s="29">
        <f>IF(OR('計算（触らない）'!$W45=0,'計算（触らない）'!$AE45=1),"",'計算（触らない）'!$Z45)</f>
        <v/>
      </c>
      <c r="Q45" s="29">
        <f>IF(OR('計算（触らない）'!$W45=0,'計算（触らない）'!$AE45=1),"",'計算（触らない）'!$AC45)</f>
        <v/>
      </c>
      <c r="R45" s="29">
        <f>IF(OR('計算（触らない）'!$W45=0,'計算（触らない）'!$AE45=1),"",'計算（触らない）'!$Y45)</f>
        <v/>
      </c>
      <c r="S45" s="32">
        <f>IF('計算（触らない）'!$B45=0,"",IF('計算（触らない）'!$AH45&lt;&gt;"",'計算（触らない）'!$AH45,TRIM('計算（触らない）'!$AI45&amp;'計算（触らない）'!$AJ45&amp;'計算（触らない）'!$AK45)))</f>
        <v/>
      </c>
      <c r="T45" s="68">
        <f>IF(OR('計算（触らない）'!$AH45&lt;&gt;"",'計算（触らない）'!$AI45&lt;&gt;""),1,0)</f>
        <v/>
      </c>
    </row>
    <row r="46" ht="30" customHeight="1">
      <c r="A46" s="21" t="n">
        <v>41</v>
      </c>
      <c r="B46" s="22" t="n"/>
      <c r="C46" s="22" t="n"/>
      <c r="D46" s="23" t="n"/>
      <c r="E46" s="24" t="n"/>
      <c r="F46" s="24" t="n"/>
      <c r="G46" s="25" t="n"/>
      <c r="H46" s="22" t="n"/>
      <c r="I46" s="26" t="n"/>
      <c r="J46" s="27" t="n"/>
      <c r="K46" s="24" t="n"/>
      <c r="L46" s="28" t="n"/>
      <c r="M46" s="29">
        <f>IF(OR('計算（触らない）'!$W46=0,'計算（触らない）'!$AE46=1),"",'計算（触らない）'!$X46)</f>
        <v/>
      </c>
      <c r="N46" s="30">
        <f>IF(OR('計算（触らない）'!$W46=0,'計算（触らない）'!$AE46=1),"",IF('計算（触らない）'!$F46&gt;2,"―",IF('計算（触らない）'!$AB46=0,"",'計算（触らない）'!$AB46)))</f>
        <v/>
      </c>
      <c r="O46" s="31">
        <f>IF(OR('計算（触らない）'!$W46=0,'計算（触らない）'!$AE46=1),"",'計算（触らない）'!$AO46)</f>
        <v/>
      </c>
      <c r="P46" s="29">
        <f>IF(OR('計算（触らない）'!$W46=0,'計算（触らない）'!$AE46=1),"",'計算（触らない）'!$Z46)</f>
        <v/>
      </c>
      <c r="Q46" s="29">
        <f>IF(OR('計算（触らない）'!$W46=0,'計算（触らない）'!$AE46=1),"",'計算（触らない）'!$AC46)</f>
        <v/>
      </c>
      <c r="R46" s="29">
        <f>IF(OR('計算（触らない）'!$W46=0,'計算（触らない）'!$AE46=1),"",'計算（触らない）'!$Y46)</f>
        <v/>
      </c>
      <c r="S46" s="32">
        <f>IF('計算（触らない）'!$B46=0,"",IF('計算（触らない）'!$AH46&lt;&gt;"",'計算（触らない）'!$AH46,TRIM('計算（触らない）'!$AI46&amp;'計算（触らない）'!$AJ46&amp;'計算（触らない）'!$AK46)))</f>
        <v/>
      </c>
      <c r="T46" s="68">
        <f>IF(OR('計算（触らない）'!$AH46&lt;&gt;"",'計算（触らない）'!$AI46&lt;&gt;""),1,0)</f>
        <v/>
      </c>
    </row>
    <row r="47" ht="30" customHeight="1">
      <c r="A47" s="21" t="n">
        <v>42</v>
      </c>
      <c r="B47" s="22" t="n"/>
      <c r="C47" s="22" t="n"/>
      <c r="D47" s="23" t="n"/>
      <c r="E47" s="24" t="n"/>
      <c r="F47" s="24" t="n"/>
      <c r="G47" s="25" t="n"/>
      <c r="H47" s="22" t="n"/>
      <c r="I47" s="26" t="n"/>
      <c r="J47" s="27" t="n"/>
      <c r="K47" s="24" t="n"/>
      <c r="L47" s="28" t="n"/>
      <c r="M47" s="29">
        <f>IF(OR('計算（触らない）'!$W47=0,'計算（触らない）'!$AE47=1),"",'計算（触らない）'!$X47)</f>
        <v/>
      </c>
      <c r="N47" s="30">
        <f>IF(OR('計算（触らない）'!$W47=0,'計算（触らない）'!$AE47=1),"",IF('計算（触らない）'!$F47&gt;2,"―",IF('計算（触らない）'!$AB47=0,"",'計算（触らない）'!$AB47)))</f>
        <v/>
      </c>
      <c r="O47" s="31">
        <f>IF(OR('計算（触らない）'!$W47=0,'計算（触らない）'!$AE47=1),"",'計算（触らない）'!$AO47)</f>
        <v/>
      </c>
      <c r="P47" s="29">
        <f>IF(OR('計算（触らない）'!$W47=0,'計算（触らない）'!$AE47=1),"",'計算（触らない）'!$Z47)</f>
        <v/>
      </c>
      <c r="Q47" s="29">
        <f>IF(OR('計算（触らない）'!$W47=0,'計算（触らない）'!$AE47=1),"",'計算（触らない）'!$AC47)</f>
        <v/>
      </c>
      <c r="R47" s="29">
        <f>IF(OR('計算（触らない）'!$W47=0,'計算（触らない）'!$AE47=1),"",'計算（触らない）'!$Y47)</f>
        <v/>
      </c>
      <c r="S47" s="32">
        <f>IF('計算（触らない）'!$B47=0,"",IF('計算（触らない）'!$AH47&lt;&gt;"",'計算（触らない）'!$AH47,TRIM('計算（触らない）'!$AI47&amp;'計算（触らない）'!$AJ47&amp;'計算（触らない）'!$AK47)))</f>
        <v/>
      </c>
      <c r="T47" s="68">
        <f>IF(OR('計算（触らない）'!$AH47&lt;&gt;"",'計算（触らない）'!$AI47&lt;&gt;""),1,0)</f>
        <v/>
      </c>
    </row>
    <row r="48" ht="30" customHeight="1">
      <c r="A48" s="21" t="n">
        <v>43</v>
      </c>
      <c r="B48" s="22" t="n"/>
      <c r="C48" s="22" t="n"/>
      <c r="D48" s="23" t="n"/>
      <c r="E48" s="24" t="n"/>
      <c r="F48" s="24" t="n"/>
      <c r="G48" s="25" t="n"/>
      <c r="H48" s="22" t="n"/>
      <c r="I48" s="26" t="n"/>
      <c r="J48" s="27" t="n"/>
      <c r="K48" s="24" t="n"/>
      <c r="L48" s="28" t="n"/>
      <c r="M48" s="29">
        <f>IF(OR('計算（触らない）'!$W48=0,'計算（触らない）'!$AE48=1),"",'計算（触らない）'!$X48)</f>
        <v/>
      </c>
      <c r="N48" s="30">
        <f>IF(OR('計算（触らない）'!$W48=0,'計算（触らない）'!$AE48=1),"",IF('計算（触らない）'!$F48&gt;2,"―",IF('計算（触らない）'!$AB48=0,"",'計算（触らない）'!$AB48)))</f>
        <v/>
      </c>
      <c r="O48" s="31">
        <f>IF(OR('計算（触らない）'!$W48=0,'計算（触らない）'!$AE48=1),"",'計算（触らない）'!$AO48)</f>
        <v/>
      </c>
      <c r="P48" s="29">
        <f>IF(OR('計算（触らない）'!$W48=0,'計算（触らない）'!$AE48=1),"",'計算（触らない）'!$Z48)</f>
        <v/>
      </c>
      <c r="Q48" s="29">
        <f>IF(OR('計算（触らない）'!$W48=0,'計算（触らない）'!$AE48=1),"",'計算（触らない）'!$AC48)</f>
        <v/>
      </c>
      <c r="R48" s="29">
        <f>IF(OR('計算（触らない）'!$W48=0,'計算（触らない）'!$AE48=1),"",'計算（触らない）'!$Y48)</f>
        <v/>
      </c>
      <c r="S48" s="32">
        <f>IF('計算（触らない）'!$B48=0,"",IF('計算（触らない）'!$AH48&lt;&gt;"",'計算（触らない）'!$AH48,TRIM('計算（触らない）'!$AI48&amp;'計算（触らない）'!$AJ48&amp;'計算（触らない）'!$AK48)))</f>
        <v/>
      </c>
      <c r="T48" s="68">
        <f>IF(OR('計算（触らない）'!$AH48&lt;&gt;"",'計算（触らない）'!$AI48&lt;&gt;""),1,0)</f>
        <v/>
      </c>
    </row>
    <row r="49" ht="30" customHeight="1">
      <c r="A49" s="21" t="n">
        <v>44</v>
      </c>
      <c r="B49" s="22" t="n"/>
      <c r="C49" s="22" t="n"/>
      <c r="D49" s="23" t="n"/>
      <c r="E49" s="24" t="n"/>
      <c r="F49" s="24" t="n"/>
      <c r="G49" s="25" t="n"/>
      <c r="H49" s="22" t="n"/>
      <c r="I49" s="26" t="n"/>
      <c r="J49" s="27" t="n"/>
      <c r="K49" s="24" t="n"/>
      <c r="L49" s="28" t="n"/>
      <c r="M49" s="29">
        <f>IF(OR('計算（触らない）'!$W49=0,'計算（触らない）'!$AE49=1),"",'計算（触らない）'!$X49)</f>
        <v/>
      </c>
      <c r="N49" s="30">
        <f>IF(OR('計算（触らない）'!$W49=0,'計算（触らない）'!$AE49=1),"",IF('計算（触らない）'!$F49&gt;2,"―",IF('計算（触らない）'!$AB49=0,"",'計算（触らない）'!$AB49)))</f>
        <v/>
      </c>
      <c r="O49" s="31">
        <f>IF(OR('計算（触らない）'!$W49=0,'計算（触らない）'!$AE49=1),"",'計算（触らない）'!$AO49)</f>
        <v/>
      </c>
      <c r="P49" s="29">
        <f>IF(OR('計算（触らない）'!$W49=0,'計算（触らない）'!$AE49=1),"",'計算（触らない）'!$Z49)</f>
        <v/>
      </c>
      <c r="Q49" s="29">
        <f>IF(OR('計算（触らない）'!$W49=0,'計算（触らない）'!$AE49=1),"",'計算（触らない）'!$AC49)</f>
        <v/>
      </c>
      <c r="R49" s="29">
        <f>IF(OR('計算（触らない）'!$W49=0,'計算（触らない）'!$AE49=1),"",'計算（触らない）'!$Y49)</f>
        <v/>
      </c>
      <c r="S49" s="32">
        <f>IF('計算（触らない）'!$B49=0,"",IF('計算（触らない）'!$AH49&lt;&gt;"",'計算（触らない）'!$AH49,TRIM('計算（触らない）'!$AI49&amp;'計算（触らない）'!$AJ49&amp;'計算（触らない）'!$AK49)))</f>
        <v/>
      </c>
      <c r="T49" s="68">
        <f>IF(OR('計算（触らない）'!$AH49&lt;&gt;"",'計算（触らない）'!$AI49&lt;&gt;""),1,0)</f>
        <v/>
      </c>
    </row>
    <row r="50" ht="30" customHeight="1">
      <c r="A50" s="21" t="n">
        <v>45</v>
      </c>
      <c r="B50" s="22" t="n"/>
      <c r="C50" s="22" t="n"/>
      <c r="D50" s="23" t="n"/>
      <c r="E50" s="24" t="n"/>
      <c r="F50" s="24" t="n"/>
      <c r="G50" s="25" t="n"/>
      <c r="H50" s="22" t="n"/>
      <c r="I50" s="26" t="n"/>
      <c r="J50" s="27" t="n"/>
      <c r="K50" s="24" t="n"/>
      <c r="L50" s="28" t="n"/>
      <c r="M50" s="29">
        <f>IF(OR('計算（触らない）'!$W50=0,'計算（触らない）'!$AE50=1),"",'計算（触らない）'!$X50)</f>
        <v/>
      </c>
      <c r="N50" s="30">
        <f>IF(OR('計算（触らない）'!$W50=0,'計算（触らない）'!$AE50=1),"",IF('計算（触らない）'!$F50&gt;2,"―",IF('計算（触らない）'!$AB50=0,"",'計算（触らない）'!$AB50)))</f>
        <v/>
      </c>
      <c r="O50" s="31">
        <f>IF(OR('計算（触らない）'!$W50=0,'計算（触らない）'!$AE50=1),"",'計算（触らない）'!$AO50)</f>
        <v/>
      </c>
      <c r="P50" s="29">
        <f>IF(OR('計算（触らない）'!$W50=0,'計算（触らない）'!$AE50=1),"",'計算（触らない）'!$Z50)</f>
        <v/>
      </c>
      <c r="Q50" s="29">
        <f>IF(OR('計算（触らない）'!$W50=0,'計算（触らない）'!$AE50=1),"",'計算（触らない）'!$AC50)</f>
        <v/>
      </c>
      <c r="R50" s="29">
        <f>IF(OR('計算（触らない）'!$W50=0,'計算（触らない）'!$AE50=1),"",'計算（触らない）'!$Y50)</f>
        <v/>
      </c>
      <c r="S50" s="32">
        <f>IF('計算（触らない）'!$B50=0,"",IF('計算（触らない）'!$AH50&lt;&gt;"",'計算（触らない）'!$AH50,TRIM('計算（触らない）'!$AI50&amp;'計算（触らない）'!$AJ50&amp;'計算（触らない）'!$AK50)))</f>
        <v/>
      </c>
      <c r="T50" s="68">
        <f>IF(OR('計算（触らない）'!$AH50&lt;&gt;"",'計算（触らない）'!$AI50&lt;&gt;""),1,0)</f>
        <v/>
      </c>
    </row>
    <row r="51" ht="30" customHeight="1">
      <c r="A51" s="21" t="n">
        <v>46</v>
      </c>
      <c r="B51" s="22" t="n"/>
      <c r="C51" s="22" t="n"/>
      <c r="D51" s="23" t="n"/>
      <c r="E51" s="24" t="n"/>
      <c r="F51" s="24" t="n"/>
      <c r="G51" s="25" t="n"/>
      <c r="H51" s="22" t="n"/>
      <c r="I51" s="26" t="n"/>
      <c r="J51" s="27" t="n"/>
      <c r="K51" s="24" t="n"/>
      <c r="L51" s="28" t="n"/>
      <c r="M51" s="29">
        <f>IF(OR('計算（触らない）'!$W51=0,'計算（触らない）'!$AE51=1),"",'計算（触らない）'!$X51)</f>
        <v/>
      </c>
      <c r="N51" s="30">
        <f>IF(OR('計算（触らない）'!$W51=0,'計算（触らない）'!$AE51=1),"",IF('計算（触らない）'!$F51&gt;2,"―",IF('計算（触らない）'!$AB51=0,"",'計算（触らない）'!$AB51)))</f>
        <v/>
      </c>
      <c r="O51" s="31">
        <f>IF(OR('計算（触らない）'!$W51=0,'計算（触らない）'!$AE51=1),"",'計算（触らない）'!$AO51)</f>
        <v/>
      </c>
      <c r="P51" s="29">
        <f>IF(OR('計算（触らない）'!$W51=0,'計算（触らない）'!$AE51=1),"",'計算（触らない）'!$Z51)</f>
        <v/>
      </c>
      <c r="Q51" s="29">
        <f>IF(OR('計算（触らない）'!$W51=0,'計算（触らない）'!$AE51=1),"",'計算（触らない）'!$AC51)</f>
        <v/>
      </c>
      <c r="R51" s="29">
        <f>IF(OR('計算（触らない）'!$W51=0,'計算（触らない）'!$AE51=1),"",'計算（触らない）'!$Y51)</f>
        <v/>
      </c>
      <c r="S51" s="32">
        <f>IF('計算（触らない）'!$B51=0,"",IF('計算（触らない）'!$AH51&lt;&gt;"",'計算（触らない）'!$AH51,TRIM('計算（触らない）'!$AI51&amp;'計算（触らない）'!$AJ51&amp;'計算（触らない）'!$AK51)))</f>
        <v/>
      </c>
      <c r="T51" s="68">
        <f>IF(OR('計算（触らない）'!$AH51&lt;&gt;"",'計算（触らない）'!$AI51&lt;&gt;""),1,0)</f>
        <v/>
      </c>
    </row>
    <row r="52" ht="30" customHeight="1">
      <c r="A52" s="21" t="n">
        <v>47</v>
      </c>
      <c r="B52" s="22" t="n"/>
      <c r="C52" s="22" t="n"/>
      <c r="D52" s="23" t="n"/>
      <c r="E52" s="24" t="n"/>
      <c r="F52" s="24" t="n"/>
      <c r="G52" s="25" t="n"/>
      <c r="H52" s="22" t="n"/>
      <c r="I52" s="26" t="n"/>
      <c r="J52" s="27" t="n"/>
      <c r="K52" s="24" t="n"/>
      <c r="L52" s="28" t="n"/>
      <c r="M52" s="29">
        <f>IF(OR('計算（触らない）'!$W52=0,'計算（触らない）'!$AE52=1),"",'計算（触らない）'!$X52)</f>
        <v/>
      </c>
      <c r="N52" s="30">
        <f>IF(OR('計算（触らない）'!$W52=0,'計算（触らない）'!$AE52=1),"",IF('計算（触らない）'!$F52&gt;2,"―",IF('計算（触らない）'!$AB52=0,"",'計算（触らない）'!$AB52)))</f>
        <v/>
      </c>
      <c r="O52" s="31">
        <f>IF(OR('計算（触らない）'!$W52=0,'計算（触らない）'!$AE52=1),"",'計算（触らない）'!$AO52)</f>
        <v/>
      </c>
      <c r="P52" s="29">
        <f>IF(OR('計算（触らない）'!$W52=0,'計算（触らない）'!$AE52=1),"",'計算（触らない）'!$Z52)</f>
        <v/>
      </c>
      <c r="Q52" s="29">
        <f>IF(OR('計算（触らない）'!$W52=0,'計算（触らない）'!$AE52=1),"",'計算（触らない）'!$AC52)</f>
        <v/>
      </c>
      <c r="R52" s="29">
        <f>IF(OR('計算（触らない）'!$W52=0,'計算（触らない）'!$AE52=1),"",'計算（触らない）'!$Y52)</f>
        <v/>
      </c>
      <c r="S52" s="32">
        <f>IF('計算（触らない）'!$B52=0,"",IF('計算（触らない）'!$AH52&lt;&gt;"",'計算（触らない）'!$AH52,TRIM('計算（触らない）'!$AI52&amp;'計算（触らない）'!$AJ52&amp;'計算（触らない）'!$AK52)))</f>
        <v/>
      </c>
      <c r="T52" s="68">
        <f>IF(OR('計算（触らない）'!$AH52&lt;&gt;"",'計算（触らない）'!$AI52&lt;&gt;""),1,0)</f>
        <v/>
      </c>
    </row>
    <row r="53" ht="30" customHeight="1">
      <c r="A53" s="21" t="n">
        <v>48</v>
      </c>
      <c r="B53" s="22" t="n"/>
      <c r="C53" s="22" t="n"/>
      <c r="D53" s="23" t="n"/>
      <c r="E53" s="24" t="n"/>
      <c r="F53" s="24" t="n"/>
      <c r="G53" s="25" t="n"/>
      <c r="H53" s="22" t="n"/>
      <c r="I53" s="26" t="n"/>
      <c r="J53" s="27" t="n"/>
      <c r="K53" s="24" t="n"/>
      <c r="L53" s="28" t="n"/>
      <c r="M53" s="29">
        <f>IF(OR('計算（触らない）'!$W53=0,'計算（触らない）'!$AE53=1),"",'計算（触らない）'!$X53)</f>
        <v/>
      </c>
      <c r="N53" s="30">
        <f>IF(OR('計算（触らない）'!$W53=0,'計算（触らない）'!$AE53=1),"",IF('計算（触らない）'!$F53&gt;2,"―",IF('計算（触らない）'!$AB53=0,"",'計算（触らない）'!$AB53)))</f>
        <v/>
      </c>
      <c r="O53" s="31">
        <f>IF(OR('計算（触らない）'!$W53=0,'計算（触らない）'!$AE53=1),"",'計算（触らない）'!$AO53)</f>
        <v/>
      </c>
      <c r="P53" s="29">
        <f>IF(OR('計算（触らない）'!$W53=0,'計算（触らない）'!$AE53=1),"",'計算（触らない）'!$Z53)</f>
        <v/>
      </c>
      <c r="Q53" s="29">
        <f>IF(OR('計算（触らない）'!$W53=0,'計算（触らない）'!$AE53=1),"",'計算（触らない）'!$AC53)</f>
        <v/>
      </c>
      <c r="R53" s="29">
        <f>IF(OR('計算（触らない）'!$W53=0,'計算（触らない）'!$AE53=1),"",'計算（触らない）'!$Y53)</f>
        <v/>
      </c>
      <c r="S53" s="32">
        <f>IF('計算（触らない）'!$B53=0,"",IF('計算（触らない）'!$AH53&lt;&gt;"",'計算（触らない）'!$AH53,TRIM('計算（触らない）'!$AI53&amp;'計算（触らない）'!$AJ53&amp;'計算（触らない）'!$AK53)))</f>
        <v/>
      </c>
      <c r="T53" s="68">
        <f>IF(OR('計算（触らない）'!$AH53&lt;&gt;"",'計算（触らない）'!$AI53&lt;&gt;""),1,0)</f>
        <v/>
      </c>
    </row>
    <row r="54" ht="30" customHeight="1">
      <c r="A54" s="21" t="n">
        <v>49</v>
      </c>
      <c r="B54" s="22" t="n"/>
      <c r="C54" s="22" t="n"/>
      <c r="D54" s="23" t="n"/>
      <c r="E54" s="24" t="n"/>
      <c r="F54" s="24" t="n"/>
      <c r="G54" s="25" t="n"/>
      <c r="H54" s="22" t="n"/>
      <c r="I54" s="26" t="n"/>
      <c r="J54" s="27" t="n"/>
      <c r="K54" s="24" t="n"/>
      <c r="L54" s="28" t="n"/>
      <c r="M54" s="29">
        <f>IF(OR('計算（触らない）'!$W54=0,'計算（触らない）'!$AE54=1),"",'計算（触らない）'!$X54)</f>
        <v/>
      </c>
      <c r="N54" s="30">
        <f>IF(OR('計算（触らない）'!$W54=0,'計算（触らない）'!$AE54=1),"",IF('計算（触らない）'!$F54&gt;2,"―",IF('計算（触らない）'!$AB54=0,"",'計算（触らない）'!$AB54)))</f>
        <v/>
      </c>
      <c r="O54" s="31">
        <f>IF(OR('計算（触らない）'!$W54=0,'計算（触らない）'!$AE54=1),"",'計算（触らない）'!$AO54)</f>
        <v/>
      </c>
      <c r="P54" s="29">
        <f>IF(OR('計算（触らない）'!$W54=0,'計算（触らない）'!$AE54=1),"",'計算（触らない）'!$Z54)</f>
        <v/>
      </c>
      <c r="Q54" s="29">
        <f>IF(OR('計算（触らない）'!$W54=0,'計算（触らない）'!$AE54=1),"",'計算（触らない）'!$AC54)</f>
        <v/>
      </c>
      <c r="R54" s="29">
        <f>IF(OR('計算（触らない）'!$W54=0,'計算（触らない）'!$AE54=1),"",'計算（触らない）'!$Y54)</f>
        <v/>
      </c>
      <c r="S54" s="32">
        <f>IF('計算（触らない）'!$B54=0,"",IF('計算（触らない）'!$AH54&lt;&gt;"",'計算（触らない）'!$AH54,TRIM('計算（触らない）'!$AI54&amp;'計算（触らない）'!$AJ54&amp;'計算（触らない）'!$AK54)))</f>
        <v/>
      </c>
      <c r="T54" s="68">
        <f>IF(OR('計算（触らない）'!$AH54&lt;&gt;"",'計算（触らない）'!$AI54&lt;&gt;""),1,0)</f>
        <v/>
      </c>
    </row>
    <row r="55" ht="30" customHeight="1">
      <c r="A55" s="21" t="n">
        <v>50</v>
      </c>
      <c r="B55" s="22" t="n"/>
      <c r="C55" s="22" t="n"/>
      <c r="D55" s="23" t="n"/>
      <c r="E55" s="24" t="n"/>
      <c r="F55" s="24" t="n"/>
      <c r="G55" s="25" t="n"/>
      <c r="H55" s="22" t="n"/>
      <c r="I55" s="26" t="n"/>
      <c r="J55" s="27" t="n"/>
      <c r="K55" s="24" t="n"/>
      <c r="L55" s="28" t="n"/>
      <c r="M55" s="29">
        <f>IF(OR('計算（触らない）'!$W55=0,'計算（触らない）'!$AE55=1),"",'計算（触らない）'!$X55)</f>
        <v/>
      </c>
      <c r="N55" s="30">
        <f>IF(OR('計算（触らない）'!$W55=0,'計算（触らない）'!$AE55=1),"",IF('計算（触らない）'!$F55&gt;2,"―",IF('計算（触らない）'!$AB55=0,"",'計算（触らない）'!$AB55)))</f>
        <v/>
      </c>
      <c r="O55" s="31">
        <f>IF(OR('計算（触らない）'!$W55=0,'計算（触らない）'!$AE55=1),"",'計算（触らない）'!$AO55)</f>
        <v/>
      </c>
      <c r="P55" s="29">
        <f>IF(OR('計算（触らない）'!$W55=0,'計算（触らない）'!$AE55=1),"",'計算（触らない）'!$Z55)</f>
        <v/>
      </c>
      <c r="Q55" s="29">
        <f>IF(OR('計算（触らない）'!$W55=0,'計算（触らない）'!$AE55=1),"",'計算（触らない）'!$AC55)</f>
        <v/>
      </c>
      <c r="R55" s="29">
        <f>IF(OR('計算（触らない）'!$W55=0,'計算（触らない）'!$AE55=1),"",'計算（触らない）'!$Y55)</f>
        <v/>
      </c>
      <c r="S55" s="32">
        <f>IF('計算（触らない）'!$B55=0,"",IF('計算（触らない）'!$AH55&lt;&gt;"",'計算（触らない）'!$AH55,TRIM('計算（触らない）'!$AI55&amp;'計算（触らない）'!$AJ55&amp;'計算（触らない）'!$AK55)))</f>
        <v/>
      </c>
      <c r="T55" s="68">
        <f>IF(OR('計算（触らない）'!$AH55&lt;&gt;"",'計算（触らない）'!$AI55&lt;&gt;""),1,0)</f>
        <v/>
      </c>
    </row>
    <row r="56" ht="30" customHeight="1">
      <c r="A56" s="21" t="n">
        <v>51</v>
      </c>
      <c r="B56" s="22" t="n"/>
      <c r="C56" s="22" t="n"/>
      <c r="D56" s="23" t="n"/>
      <c r="E56" s="24" t="n"/>
      <c r="F56" s="24" t="n"/>
      <c r="G56" s="25" t="n"/>
      <c r="H56" s="22" t="n"/>
      <c r="I56" s="26" t="n"/>
      <c r="J56" s="27" t="n"/>
      <c r="K56" s="24" t="n"/>
      <c r="L56" s="28" t="n"/>
      <c r="M56" s="29">
        <f>IF(OR('計算（触らない）'!$W56=0,'計算（触らない）'!$AE56=1),"",'計算（触らない）'!$X56)</f>
        <v/>
      </c>
      <c r="N56" s="30">
        <f>IF(OR('計算（触らない）'!$W56=0,'計算（触らない）'!$AE56=1),"",IF('計算（触らない）'!$F56&gt;2,"―",IF('計算（触らない）'!$AB56=0,"",'計算（触らない）'!$AB56)))</f>
        <v/>
      </c>
      <c r="O56" s="31">
        <f>IF(OR('計算（触らない）'!$W56=0,'計算（触らない）'!$AE56=1),"",'計算（触らない）'!$AO56)</f>
        <v/>
      </c>
      <c r="P56" s="29">
        <f>IF(OR('計算（触らない）'!$W56=0,'計算（触らない）'!$AE56=1),"",'計算（触らない）'!$Z56)</f>
        <v/>
      </c>
      <c r="Q56" s="29">
        <f>IF(OR('計算（触らない）'!$W56=0,'計算（触らない）'!$AE56=1),"",'計算（触らない）'!$AC56)</f>
        <v/>
      </c>
      <c r="R56" s="29">
        <f>IF(OR('計算（触らない）'!$W56=0,'計算（触らない）'!$AE56=1),"",'計算（触らない）'!$Y56)</f>
        <v/>
      </c>
      <c r="S56" s="32">
        <f>IF('計算（触らない）'!$B56=0,"",IF('計算（触らない）'!$AH56&lt;&gt;"",'計算（触らない）'!$AH56,TRIM('計算（触らない）'!$AI56&amp;'計算（触らない）'!$AJ56&amp;'計算（触らない）'!$AK56)))</f>
        <v/>
      </c>
      <c r="T56" s="68">
        <f>IF(OR('計算（触らない）'!$AH56&lt;&gt;"",'計算（触らない）'!$AI56&lt;&gt;""),1,0)</f>
        <v/>
      </c>
    </row>
    <row r="57" ht="30" customHeight="1">
      <c r="A57" s="21" t="n">
        <v>52</v>
      </c>
      <c r="B57" s="22" t="n"/>
      <c r="C57" s="22" t="n"/>
      <c r="D57" s="23" t="n"/>
      <c r="E57" s="24" t="n"/>
      <c r="F57" s="24" t="n"/>
      <c r="G57" s="25" t="n"/>
      <c r="H57" s="22" t="n"/>
      <c r="I57" s="26" t="n"/>
      <c r="J57" s="27" t="n"/>
      <c r="K57" s="24" t="n"/>
      <c r="L57" s="28" t="n"/>
      <c r="M57" s="29">
        <f>IF(OR('計算（触らない）'!$W57=0,'計算（触らない）'!$AE57=1),"",'計算（触らない）'!$X57)</f>
        <v/>
      </c>
      <c r="N57" s="30">
        <f>IF(OR('計算（触らない）'!$W57=0,'計算（触らない）'!$AE57=1),"",IF('計算（触らない）'!$F57&gt;2,"―",IF('計算（触らない）'!$AB57=0,"",'計算（触らない）'!$AB57)))</f>
        <v/>
      </c>
      <c r="O57" s="31">
        <f>IF(OR('計算（触らない）'!$W57=0,'計算（触らない）'!$AE57=1),"",'計算（触らない）'!$AO57)</f>
        <v/>
      </c>
      <c r="P57" s="29">
        <f>IF(OR('計算（触らない）'!$W57=0,'計算（触らない）'!$AE57=1),"",'計算（触らない）'!$Z57)</f>
        <v/>
      </c>
      <c r="Q57" s="29">
        <f>IF(OR('計算（触らない）'!$W57=0,'計算（触らない）'!$AE57=1),"",'計算（触らない）'!$AC57)</f>
        <v/>
      </c>
      <c r="R57" s="29">
        <f>IF(OR('計算（触らない）'!$W57=0,'計算（触らない）'!$AE57=1),"",'計算（触らない）'!$Y57)</f>
        <v/>
      </c>
      <c r="S57" s="32">
        <f>IF('計算（触らない）'!$B57=0,"",IF('計算（触らない）'!$AH57&lt;&gt;"",'計算（触らない）'!$AH57,TRIM('計算（触らない）'!$AI57&amp;'計算（触らない）'!$AJ57&amp;'計算（触らない）'!$AK57)))</f>
        <v/>
      </c>
      <c r="T57" s="68">
        <f>IF(OR('計算（触らない）'!$AH57&lt;&gt;"",'計算（触らない）'!$AI57&lt;&gt;""),1,0)</f>
        <v/>
      </c>
    </row>
    <row r="58" ht="30" customHeight="1">
      <c r="A58" s="21" t="n">
        <v>53</v>
      </c>
      <c r="B58" s="22" t="n"/>
      <c r="C58" s="22" t="n"/>
      <c r="D58" s="23" t="n"/>
      <c r="E58" s="24" t="n"/>
      <c r="F58" s="24" t="n"/>
      <c r="G58" s="25" t="n"/>
      <c r="H58" s="22" t="n"/>
      <c r="I58" s="26" t="n"/>
      <c r="J58" s="27" t="n"/>
      <c r="K58" s="24" t="n"/>
      <c r="L58" s="28" t="n"/>
      <c r="M58" s="29">
        <f>IF(OR('計算（触らない）'!$W58=0,'計算（触らない）'!$AE58=1),"",'計算（触らない）'!$X58)</f>
        <v/>
      </c>
      <c r="N58" s="30">
        <f>IF(OR('計算（触らない）'!$W58=0,'計算（触らない）'!$AE58=1),"",IF('計算（触らない）'!$F58&gt;2,"―",IF('計算（触らない）'!$AB58=0,"",'計算（触らない）'!$AB58)))</f>
        <v/>
      </c>
      <c r="O58" s="31">
        <f>IF(OR('計算（触らない）'!$W58=0,'計算（触らない）'!$AE58=1),"",'計算（触らない）'!$AO58)</f>
        <v/>
      </c>
      <c r="P58" s="29">
        <f>IF(OR('計算（触らない）'!$W58=0,'計算（触らない）'!$AE58=1),"",'計算（触らない）'!$Z58)</f>
        <v/>
      </c>
      <c r="Q58" s="29">
        <f>IF(OR('計算（触らない）'!$W58=0,'計算（触らない）'!$AE58=1),"",'計算（触らない）'!$AC58)</f>
        <v/>
      </c>
      <c r="R58" s="29">
        <f>IF(OR('計算（触らない）'!$W58=0,'計算（触らない）'!$AE58=1),"",'計算（触らない）'!$Y58)</f>
        <v/>
      </c>
      <c r="S58" s="32">
        <f>IF('計算（触らない）'!$B58=0,"",IF('計算（触らない）'!$AH58&lt;&gt;"",'計算（触らない）'!$AH58,TRIM('計算（触らない）'!$AI58&amp;'計算（触らない）'!$AJ58&amp;'計算（触らない）'!$AK58)))</f>
        <v/>
      </c>
      <c r="T58" s="68">
        <f>IF(OR('計算（触らない）'!$AH58&lt;&gt;"",'計算（触らない）'!$AI58&lt;&gt;""),1,0)</f>
        <v/>
      </c>
    </row>
    <row r="59" ht="30" customHeight="1">
      <c r="A59" s="21" t="n">
        <v>54</v>
      </c>
      <c r="B59" s="22" t="n"/>
      <c r="C59" s="22" t="n"/>
      <c r="D59" s="23" t="n"/>
      <c r="E59" s="24" t="n"/>
      <c r="F59" s="24" t="n"/>
      <c r="G59" s="25" t="n"/>
      <c r="H59" s="22" t="n"/>
      <c r="I59" s="26" t="n"/>
      <c r="J59" s="27" t="n"/>
      <c r="K59" s="24" t="n"/>
      <c r="L59" s="28" t="n"/>
      <c r="M59" s="29">
        <f>IF(OR('計算（触らない）'!$W59=0,'計算（触らない）'!$AE59=1),"",'計算（触らない）'!$X59)</f>
        <v/>
      </c>
      <c r="N59" s="30">
        <f>IF(OR('計算（触らない）'!$W59=0,'計算（触らない）'!$AE59=1),"",IF('計算（触らない）'!$F59&gt;2,"―",IF('計算（触らない）'!$AB59=0,"",'計算（触らない）'!$AB59)))</f>
        <v/>
      </c>
      <c r="O59" s="31">
        <f>IF(OR('計算（触らない）'!$W59=0,'計算（触らない）'!$AE59=1),"",'計算（触らない）'!$AO59)</f>
        <v/>
      </c>
      <c r="P59" s="29">
        <f>IF(OR('計算（触らない）'!$W59=0,'計算（触らない）'!$AE59=1),"",'計算（触らない）'!$Z59)</f>
        <v/>
      </c>
      <c r="Q59" s="29">
        <f>IF(OR('計算（触らない）'!$W59=0,'計算（触らない）'!$AE59=1),"",'計算（触らない）'!$AC59)</f>
        <v/>
      </c>
      <c r="R59" s="29">
        <f>IF(OR('計算（触らない）'!$W59=0,'計算（触らない）'!$AE59=1),"",'計算（触らない）'!$Y59)</f>
        <v/>
      </c>
      <c r="S59" s="32">
        <f>IF('計算（触らない）'!$B59=0,"",IF('計算（触らない）'!$AH59&lt;&gt;"",'計算（触らない）'!$AH59,TRIM('計算（触らない）'!$AI59&amp;'計算（触らない）'!$AJ59&amp;'計算（触らない）'!$AK59)))</f>
        <v/>
      </c>
      <c r="T59" s="68">
        <f>IF(OR('計算（触らない）'!$AH59&lt;&gt;"",'計算（触らない）'!$AI59&lt;&gt;""),1,0)</f>
        <v/>
      </c>
    </row>
    <row r="60" ht="30" customHeight="1">
      <c r="A60" s="21" t="n">
        <v>55</v>
      </c>
      <c r="B60" s="22" t="n"/>
      <c r="C60" s="22" t="n"/>
      <c r="D60" s="23" t="n"/>
      <c r="E60" s="24" t="n"/>
      <c r="F60" s="24" t="n"/>
      <c r="G60" s="25" t="n"/>
      <c r="H60" s="22" t="n"/>
      <c r="I60" s="26" t="n"/>
      <c r="J60" s="27" t="n"/>
      <c r="K60" s="24" t="n"/>
      <c r="L60" s="28" t="n"/>
      <c r="M60" s="29">
        <f>IF(OR('計算（触らない）'!$W60=0,'計算（触らない）'!$AE60=1),"",'計算（触らない）'!$X60)</f>
        <v/>
      </c>
      <c r="N60" s="30">
        <f>IF(OR('計算（触らない）'!$W60=0,'計算（触らない）'!$AE60=1),"",IF('計算（触らない）'!$F60&gt;2,"―",IF('計算（触らない）'!$AB60=0,"",'計算（触らない）'!$AB60)))</f>
        <v/>
      </c>
      <c r="O60" s="31">
        <f>IF(OR('計算（触らない）'!$W60=0,'計算（触らない）'!$AE60=1),"",'計算（触らない）'!$AO60)</f>
        <v/>
      </c>
      <c r="P60" s="29">
        <f>IF(OR('計算（触らない）'!$W60=0,'計算（触らない）'!$AE60=1),"",'計算（触らない）'!$Z60)</f>
        <v/>
      </c>
      <c r="Q60" s="29">
        <f>IF(OR('計算（触らない）'!$W60=0,'計算（触らない）'!$AE60=1),"",'計算（触らない）'!$AC60)</f>
        <v/>
      </c>
      <c r="R60" s="29">
        <f>IF(OR('計算（触らない）'!$W60=0,'計算（触らない）'!$AE60=1),"",'計算（触らない）'!$Y60)</f>
        <v/>
      </c>
      <c r="S60" s="32">
        <f>IF('計算（触らない）'!$B60=0,"",IF('計算（触らない）'!$AH60&lt;&gt;"",'計算（触らない）'!$AH60,TRIM('計算（触らない）'!$AI60&amp;'計算（触らない）'!$AJ60&amp;'計算（触らない）'!$AK60)))</f>
        <v/>
      </c>
      <c r="T60" s="68">
        <f>IF(OR('計算（触らない）'!$AH60&lt;&gt;"",'計算（触らない）'!$AI60&lt;&gt;""),1,0)</f>
        <v/>
      </c>
    </row>
    <row r="61" ht="30" customHeight="1">
      <c r="A61" s="21" t="n">
        <v>56</v>
      </c>
      <c r="B61" s="22" t="n"/>
      <c r="C61" s="22" t="n"/>
      <c r="D61" s="23" t="n"/>
      <c r="E61" s="24" t="n"/>
      <c r="F61" s="24" t="n"/>
      <c r="G61" s="25" t="n"/>
      <c r="H61" s="22" t="n"/>
      <c r="I61" s="26" t="n"/>
      <c r="J61" s="27" t="n"/>
      <c r="K61" s="24" t="n"/>
      <c r="L61" s="28" t="n"/>
      <c r="M61" s="29">
        <f>IF(OR('計算（触らない）'!$W61=0,'計算（触らない）'!$AE61=1),"",'計算（触らない）'!$X61)</f>
        <v/>
      </c>
      <c r="N61" s="30">
        <f>IF(OR('計算（触らない）'!$W61=0,'計算（触らない）'!$AE61=1),"",IF('計算（触らない）'!$F61&gt;2,"―",IF('計算（触らない）'!$AB61=0,"",'計算（触らない）'!$AB61)))</f>
        <v/>
      </c>
      <c r="O61" s="31">
        <f>IF(OR('計算（触らない）'!$W61=0,'計算（触らない）'!$AE61=1),"",'計算（触らない）'!$AO61)</f>
        <v/>
      </c>
      <c r="P61" s="29">
        <f>IF(OR('計算（触らない）'!$W61=0,'計算（触らない）'!$AE61=1),"",'計算（触らない）'!$Z61)</f>
        <v/>
      </c>
      <c r="Q61" s="29">
        <f>IF(OR('計算（触らない）'!$W61=0,'計算（触らない）'!$AE61=1),"",'計算（触らない）'!$AC61)</f>
        <v/>
      </c>
      <c r="R61" s="29">
        <f>IF(OR('計算（触らない）'!$W61=0,'計算（触らない）'!$AE61=1),"",'計算（触らない）'!$Y61)</f>
        <v/>
      </c>
      <c r="S61" s="32">
        <f>IF('計算（触らない）'!$B61=0,"",IF('計算（触らない）'!$AH61&lt;&gt;"",'計算（触らない）'!$AH61,TRIM('計算（触らない）'!$AI61&amp;'計算（触らない）'!$AJ61&amp;'計算（触らない）'!$AK61)))</f>
        <v/>
      </c>
      <c r="T61" s="68">
        <f>IF(OR('計算（触らない）'!$AH61&lt;&gt;"",'計算（触らない）'!$AI61&lt;&gt;""),1,0)</f>
        <v/>
      </c>
    </row>
    <row r="62" ht="30" customHeight="1">
      <c r="A62" s="21" t="n">
        <v>57</v>
      </c>
      <c r="B62" s="22" t="n"/>
      <c r="C62" s="22" t="n"/>
      <c r="D62" s="23" t="n"/>
      <c r="E62" s="24" t="n"/>
      <c r="F62" s="24" t="n"/>
      <c r="G62" s="25" t="n"/>
      <c r="H62" s="22" t="n"/>
      <c r="I62" s="26" t="n"/>
      <c r="J62" s="27" t="n"/>
      <c r="K62" s="24" t="n"/>
      <c r="L62" s="28" t="n"/>
      <c r="M62" s="29">
        <f>IF(OR('計算（触らない）'!$W62=0,'計算（触らない）'!$AE62=1),"",'計算（触らない）'!$X62)</f>
        <v/>
      </c>
      <c r="N62" s="30">
        <f>IF(OR('計算（触らない）'!$W62=0,'計算（触らない）'!$AE62=1),"",IF('計算（触らない）'!$F62&gt;2,"―",IF('計算（触らない）'!$AB62=0,"",'計算（触らない）'!$AB62)))</f>
        <v/>
      </c>
      <c r="O62" s="31">
        <f>IF(OR('計算（触らない）'!$W62=0,'計算（触らない）'!$AE62=1),"",'計算（触らない）'!$AO62)</f>
        <v/>
      </c>
      <c r="P62" s="29">
        <f>IF(OR('計算（触らない）'!$W62=0,'計算（触らない）'!$AE62=1),"",'計算（触らない）'!$Z62)</f>
        <v/>
      </c>
      <c r="Q62" s="29">
        <f>IF(OR('計算（触らない）'!$W62=0,'計算（触らない）'!$AE62=1),"",'計算（触らない）'!$AC62)</f>
        <v/>
      </c>
      <c r="R62" s="29">
        <f>IF(OR('計算（触らない）'!$W62=0,'計算（触らない）'!$AE62=1),"",'計算（触らない）'!$Y62)</f>
        <v/>
      </c>
      <c r="S62" s="32">
        <f>IF('計算（触らない）'!$B62=0,"",IF('計算（触らない）'!$AH62&lt;&gt;"",'計算（触らない）'!$AH62,TRIM('計算（触らない）'!$AI62&amp;'計算（触らない）'!$AJ62&amp;'計算（触らない）'!$AK62)))</f>
        <v/>
      </c>
      <c r="T62" s="68">
        <f>IF(OR('計算（触らない）'!$AH62&lt;&gt;"",'計算（触らない）'!$AI62&lt;&gt;""),1,0)</f>
        <v/>
      </c>
    </row>
    <row r="63" ht="30" customHeight="1">
      <c r="A63" s="21" t="n">
        <v>58</v>
      </c>
      <c r="B63" s="22" t="n"/>
      <c r="C63" s="22" t="n"/>
      <c r="D63" s="23" t="n"/>
      <c r="E63" s="24" t="n"/>
      <c r="F63" s="24" t="n"/>
      <c r="G63" s="25" t="n"/>
      <c r="H63" s="22" t="n"/>
      <c r="I63" s="26" t="n"/>
      <c r="J63" s="27" t="n"/>
      <c r="K63" s="24" t="n"/>
      <c r="L63" s="28" t="n"/>
      <c r="M63" s="29">
        <f>IF(OR('計算（触らない）'!$W63=0,'計算（触らない）'!$AE63=1),"",'計算（触らない）'!$X63)</f>
        <v/>
      </c>
      <c r="N63" s="30">
        <f>IF(OR('計算（触らない）'!$W63=0,'計算（触らない）'!$AE63=1),"",IF('計算（触らない）'!$F63&gt;2,"―",IF('計算（触らない）'!$AB63=0,"",'計算（触らない）'!$AB63)))</f>
        <v/>
      </c>
      <c r="O63" s="31">
        <f>IF(OR('計算（触らない）'!$W63=0,'計算（触らない）'!$AE63=1),"",'計算（触らない）'!$AO63)</f>
        <v/>
      </c>
      <c r="P63" s="29">
        <f>IF(OR('計算（触らない）'!$W63=0,'計算（触らない）'!$AE63=1),"",'計算（触らない）'!$Z63)</f>
        <v/>
      </c>
      <c r="Q63" s="29">
        <f>IF(OR('計算（触らない）'!$W63=0,'計算（触らない）'!$AE63=1),"",'計算（触らない）'!$AC63)</f>
        <v/>
      </c>
      <c r="R63" s="29">
        <f>IF(OR('計算（触らない）'!$W63=0,'計算（触らない）'!$AE63=1),"",'計算（触らない）'!$Y63)</f>
        <v/>
      </c>
      <c r="S63" s="32">
        <f>IF('計算（触らない）'!$B63=0,"",IF('計算（触らない）'!$AH63&lt;&gt;"",'計算（触らない）'!$AH63,TRIM('計算（触らない）'!$AI63&amp;'計算（触らない）'!$AJ63&amp;'計算（触らない）'!$AK63)))</f>
        <v/>
      </c>
      <c r="T63" s="68">
        <f>IF(OR('計算（触らない）'!$AH63&lt;&gt;"",'計算（触らない）'!$AI63&lt;&gt;""),1,0)</f>
        <v/>
      </c>
    </row>
    <row r="64" ht="30" customHeight="1">
      <c r="A64" s="21" t="n">
        <v>59</v>
      </c>
      <c r="B64" s="22" t="n"/>
      <c r="C64" s="22" t="n"/>
      <c r="D64" s="23" t="n"/>
      <c r="E64" s="24" t="n"/>
      <c r="F64" s="24" t="n"/>
      <c r="G64" s="25" t="n"/>
      <c r="H64" s="22" t="n"/>
      <c r="I64" s="26" t="n"/>
      <c r="J64" s="27" t="n"/>
      <c r="K64" s="24" t="n"/>
      <c r="L64" s="28" t="n"/>
      <c r="M64" s="29">
        <f>IF(OR('計算（触らない）'!$W64=0,'計算（触らない）'!$AE64=1),"",'計算（触らない）'!$X64)</f>
        <v/>
      </c>
      <c r="N64" s="30">
        <f>IF(OR('計算（触らない）'!$W64=0,'計算（触らない）'!$AE64=1),"",IF('計算（触らない）'!$F64&gt;2,"―",IF('計算（触らない）'!$AB64=0,"",'計算（触らない）'!$AB64)))</f>
        <v/>
      </c>
      <c r="O64" s="31">
        <f>IF(OR('計算（触らない）'!$W64=0,'計算（触らない）'!$AE64=1),"",'計算（触らない）'!$AO64)</f>
        <v/>
      </c>
      <c r="P64" s="29">
        <f>IF(OR('計算（触らない）'!$W64=0,'計算（触らない）'!$AE64=1),"",'計算（触らない）'!$Z64)</f>
        <v/>
      </c>
      <c r="Q64" s="29">
        <f>IF(OR('計算（触らない）'!$W64=0,'計算（触らない）'!$AE64=1),"",'計算（触らない）'!$AC64)</f>
        <v/>
      </c>
      <c r="R64" s="29">
        <f>IF(OR('計算（触らない）'!$W64=0,'計算（触らない）'!$AE64=1),"",'計算（触らない）'!$Y64)</f>
        <v/>
      </c>
      <c r="S64" s="32">
        <f>IF('計算（触らない）'!$B64=0,"",IF('計算（触らない）'!$AH64&lt;&gt;"",'計算（触らない）'!$AH64,TRIM('計算（触らない）'!$AI64&amp;'計算（触らない）'!$AJ64&amp;'計算（触らない）'!$AK64)))</f>
        <v/>
      </c>
      <c r="T64" s="68">
        <f>IF(OR('計算（触らない）'!$AH64&lt;&gt;"",'計算（触らない）'!$AI64&lt;&gt;""),1,0)</f>
        <v/>
      </c>
    </row>
    <row r="65" ht="30" customHeight="1">
      <c r="A65" s="21" t="n">
        <v>60</v>
      </c>
      <c r="B65" s="22" t="n"/>
      <c r="C65" s="22" t="n"/>
      <c r="D65" s="23" t="n"/>
      <c r="E65" s="24" t="n"/>
      <c r="F65" s="24" t="n"/>
      <c r="G65" s="25" t="n"/>
      <c r="H65" s="22" t="n"/>
      <c r="I65" s="26" t="n"/>
      <c r="J65" s="27" t="n"/>
      <c r="K65" s="24" t="n"/>
      <c r="L65" s="28" t="n"/>
      <c r="M65" s="29">
        <f>IF(OR('計算（触らない）'!$W65=0,'計算（触らない）'!$AE65=1),"",'計算（触らない）'!$X65)</f>
        <v/>
      </c>
      <c r="N65" s="30">
        <f>IF(OR('計算（触らない）'!$W65=0,'計算（触らない）'!$AE65=1),"",IF('計算（触らない）'!$F65&gt;2,"―",IF('計算（触らない）'!$AB65=0,"",'計算（触らない）'!$AB65)))</f>
        <v/>
      </c>
      <c r="O65" s="31">
        <f>IF(OR('計算（触らない）'!$W65=0,'計算（触らない）'!$AE65=1),"",'計算（触らない）'!$AO65)</f>
        <v/>
      </c>
      <c r="P65" s="29">
        <f>IF(OR('計算（触らない）'!$W65=0,'計算（触らない）'!$AE65=1),"",'計算（触らない）'!$Z65)</f>
        <v/>
      </c>
      <c r="Q65" s="29">
        <f>IF(OR('計算（触らない）'!$W65=0,'計算（触らない）'!$AE65=1),"",'計算（触らない）'!$AC65)</f>
        <v/>
      </c>
      <c r="R65" s="29">
        <f>IF(OR('計算（触らない）'!$W65=0,'計算（触らない）'!$AE65=1),"",'計算（触らない）'!$Y65)</f>
        <v/>
      </c>
      <c r="S65" s="32">
        <f>IF('計算（触らない）'!$B65=0,"",IF('計算（触らない）'!$AH65&lt;&gt;"",'計算（触らない）'!$AH65,TRIM('計算（触らない）'!$AI65&amp;'計算（触らない）'!$AJ65&amp;'計算（触らない）'!$AK65)))</f>
        <v/>
      </c>
      <c r="T65" s="68">
        <f>IF(OR('計算（触らない）'!$AH65&lt;&gt;"",'計算（触らない）'!$AI65&lt;&gt;""),1,0)</f>
        <v/>
      </c>
    </row>
    <row r="66" ht="30" customHeight="1">
      <c r="A66" s="21" t="n">
        <v>61</v>
      </c>
      <c r="B66" s="22" t="n"/>
      <c r="C66" s="22" t="n"/>
      <c r="D66" s="23" t="n"/>
      <c r="E66" s="24" t="n"/>
      <c r="F66" s="24" t="n"/>
      <c r="G66" s="25" t="n"/>
      <c r="H66" s="22" t="n"/>
      <c r="I66" s="26" t="n"/>
      <c r="J66" s="27" t="n"/>
      <c r="K66" s="24" t="n"/>
      <c r="L66" s="28" t="n"/>
      <c r="M66" s="29">
        <f>IF(OR('計算（触らない）'!$W66=0,'計算（触らない）'!$AE66=1),"",'計算（触らない）'!$X66)</f>
        <v/>
      </c>
      <c r="N66" s="30">
        <f>IF(OR('計算（触らない）'!$W66=0,'計算（触らない）'!$AE66=1),"",IF('計算（触らない）'!$F66&gt;2,"―",IF('計算（触らない）'!$AB66=0,"",'計算（触らない）'!$AB66)))</f>
        <v/>
      </c>
      <c r="O66" s="31">
        <f>IF(OR('計算（触らない）'!$W66=0,'計算（触らない）'!$AE66=1),"",'計算（触らない）'!$AO66)</f>
        <v/>
      </c>
      <c r="P66" s="29">
        <f>IF(OR('計算（触らない）'!$W66=0,'計算（触らない）'!$AE66=1),"",'計算（触らない）'!$Z66)</f>
        <v/>
      </c>
      <c r="Q66" s="29">
        <f>IF(OR('計算（触らない）'!$W66=0,'計算（触らない）'!$AE66=1),"",'計算（触らない）'!$AC66)</f>
        <v/>
      </c>
      <c r="R66" s="29">
        <f>IF(OR('計算（触らない）'!$W66=0,'計算（触らない）'!$AE66=1),"",'計算（触らない）'!$Y66)</f>
        <v/>
      </c>
      <c r="S66" s="32">
        <f>IF('計算（触らない）'!$B66=0,"",IF('計算（触らない）'!$AH66&lt;&gt;"",'計算（触らない）'!$AH66,TRIM('計算（触らない）'!$AI66&amp;'計算（触らない）'!$AJ66&amp;'計算（触らない）'!$AK66)))</f>
        <v/>
      </c>
      <c r="T66" s="68">
        <f>IF(OR('計算（触らない）'!$AH66&lt;&gt;"",'計算（触らない）'!$AI66&lt;&gt;""),1,0)</f>
        <v/>
      </c>
    </row>
    <row r="67" ht="30" customHeight="1">
      <c r="A67" s="21" t="n">
        <v>62</v>
      </c>
      <c r="B67" s="22" t="n"/>
      <c r="C67" s="22" t="n"/>
      <c r="D67" s="23" t="n"/>
      <c r="E67" s="24" t="n"/>
      <c r="F67" s="24" t="n"/>
      <c r="G67" s="25" t="n"/>
      <c r="H67" s="22" t="n"/>
      <c r="I67" s="26" t="n"/>
      <c r="J67" s="27" t="n"/>
      <c r="K67" s="24" t="n"/>
      <c r="L67" s="28" t="n"/>
      <c r="M67" s="29">
        <f>IF(OR('計算（触らない）'!$W67=0,'計算（触らない）'!$AE67=1),"",'計算（触らない）'!$X67)</f>
        <v/>
      </c>
      <c r="N67" s="30">
        <f>IF(OR('計算（触らない）'!$W67=0,'計算（触らない）'!$AE67=1),"",IF('計算（触らない）'!$F67&gt;2,"―",IF('計算（触らない）'!$AB67=0,"",'計算（触らない）'!$AB67)))</f>
        <v/>
      </c>
      <c r="O67" s="31">
        <f>IF(OR('計算（触らない）'!$W67=0,'計算（触らない）'!$AE67=1),"",'計算（触らない）'!$AO67)</f>
        <v/>
      </c>
      <c r="P67" s="29">
        <f>IF(OR('計算（触らない）'!$W67=0,'計算（触らない）'!$AE67=1),"",'計算（触らない）'!$Z67)</f>
        <v/>
      </c>
      <c r="Q67" s="29">
        <f>IF(OR('計算（触らない）'!$W67=0,'計算（触らない）'!$AE67=1),"",'計算（触らない）'!$AC67)</f>
        <v/>
      </c>
      <c r="R67" s="29">
        <f>IF(OR('計算（触らない）'!$W67=0,'計算（触らない）'!$AE67=1),"",'計算（触らない）'!$Y67)</f>
        <v/>
      </c>
      <c r="S67" s="32">
        <f>IF('計算（触らない）'!$B67=0,"",IF('計算（触らない）'!$AH67&lt;&gt;"",'計算（触らない）'!$AH67,TRIM('計算（触らない）'!$AI67&amp;'計算（触らない）'!$AJ67&amp;'計算（触らない）'!$AK67)))</f>
        <v/>
      </c>
      <c r="T67" s="68">
        <f>IF(OR('計算（触らない）'!$AH67&lt;&gt;"",'計算（触らない）'!$AI67&lt;&gt;""),1,0)</f>
        <v/>
      </c>
    </row>
    <row r="68" ht="30" customHeight="1">
      <c r="A68" s="21" t="n">
        <v>63</v>
      </c>
      <c r="B68" s="22" t="n"/>
      <c r="C68" s="22" t="n"/>
      <c r="D68" s="23" t="n"/>
      <c r="E68" s="24" t="n"/>
      <c r="F68" s="24" t="n"/>
      <c r="G68" s="25" t="n"/>
      <c r="H68" s="22" t="n"/>
      <c r="I68" s="26" t="n"/>
      <c r="J68" s="27" t="n"/>
      <c r="K68" s="24" t="n"/>
      <c r="L68" s="28" t="n"/>
      <c r="M68" s="29">
        <f>IF(OR('計算（触らない）'!$W68=0,'計算（触らない）'!$AE68=1),"",'計算（触らない）'!$X68)</f>
        <v/>
      </c>
      <c r="N68" s="30">
        <f>IF(OR('計算（触らない）'!$W68=0,'計算（触らない）'!$AE68=1),"",IF('計算（触らない）'!$F68&gt;2,"―",IF('計算（触らない）'!$AB68=0,"",'計算（触らない）'!$AB68)))</f>
        <v/>
      </c>
      <c r="O68" s="31">
        <f>IF(OR('計算（触らない）'!$W68=0,'計算（触らない）'!$AE68=1),"",'計算（触らない）'!$AO68)</f>
        <v/>
      </c>
      <c r="P68" s="29">
        <f>IF(OR('計算（触らない）'!$W68=0,'計算（触らない）'!$AE68=1),"",'計算（触らない）'!$Z68)</f>
        <v/>
      </c>
      <c r="Q68" s="29">
        <f>IF(OR('計算（触らない）'!$W68=0,'計算（触らない）'!$AE68=1),"",'計算（触らない）'!$AC68)</f>
        <v/>
      </c>
      <c r="R68" s="29">
        <f>IF(OR('計算（触らない）'!$W68=0,'計算（触らない）'!$AE68=1),"",'計算（触らない）'!$Y68)</f>
        <v/>
      </c>
      <c r="S68" s="32">
        <f>IF('計算（触らない）'!$B68=0,"",IF('計算（触らない）'!$AH68&lt;&gt;"",'計算（触らない）'!$AH68,TRIM('計算（触らない）'!$AI68&amp;'計算（触らない）'!$AJ68&amp;'計算（触らない）'!$AK68)))</f>
        <v/>
      </c>
      <c r="T68" s="68">
        <f>IF(OR('計算（触らない）'!$AH68&lt;&gt;"",'計算（触らない）'!$AI68&lt;&gt;""),1,0)</f>
        <v/>
      </c>
    </row>
    <row r="69" ht="30" customHeight="1">
      <c r="A69" s="21" t="n">
        <v>64</v>
      </c>
      <c r="B69" s="22" t="n"/>
      <c r="C69" s="22" t="n"/>
      <c r="D69" s="23" t="n"/>
      <c r="E69" s="24" t="n"/>
      <c r="F69" s="24" t="n"/>
      <c r="G69" s="25" t="n"/>
      <c r="H69" s="22" t="n"/>
      <c r="I69" s="26" t="n"/>
      <c r="J69" s="27" t="n"/>
      <c r="K69" s="24" t="n"/>
      <c r="L69" s="28" t="n"/>
      <c r="M69" s="29">
        <f>IF(OR('計算（触らない）'!$W69=0,'計算（触らない）'!$AE69=1),"",'計算（触らない）'!$X69)</f>
        <v/>
      </c>
      <c r="N69" s="30">
        <f>IF(OR('計算（触らない）'!$W69=0,'計算（触らない）'!$AE69=1),"",IF('計算（触らない）'!$F69&gt;2,"―",IF('計算（触らない）'!$AB69=0,"",'計算（触らない）'!$AB69)))</f>
        <v/>
      </c>
      <c r="O69" s="31">
        <f>IF(OR('計算（触らない）'!$W69=0,'計算（触らない）'!$AE69=1),"",'計算（触らない）'!$AO69)</f>
        <v/>
      </c>
      <c r="P69" s="29">
        <f>IF(OR('計算（触らない）'!$W69=0,'計算（触らない）'!$AE69=1),"",'計算（触らない）'!$Z69)</f>
        <v/>
      </c>
      <c r="Q69" s="29">
        <f>IF(OR('計算（触らない）'!$W69=0,'計算（触らない）'!$AE69=1),"",'計算（触らない）'!$AC69)</f>
        <v/>
      </c>
      <c r="R69" s="29">
        <f>IF(OR('計算（触らない）'!$W69=0,'計算（触らない）'!$AE69=1),"",'計算（触らない）'!$Y69)</f>
        <v/>
      </c>
      <c r="S69" s="32">
        <f>IF('計算（触らない）'!$B69=0,"",IF('計算（触らない）'!$AH69&lt;&gt;"",'計算（触らない）'!$AH69,TRIM('計算（触らない）'!$AI69&amp;'計算（触らない）'!$AJ69&amp;'計算（触らない）'!$AK69)))</f>
        <v/>
      </c>
      <c r="T69" s="68">
        <f>IF(OR('計算（触らない）'!$AH69&lt;&gt;"",'計算（触らない）'!$AI69&lt;&gt;""),1,0)</f>
        <v/>
      </c>
    </row>
    <row r="70" ht="30" customHeight="1">
      <c r="A70" s="21" t="n">
        <v>65</v>
      </c>
      <c r="B70" s="22" t="n"/>
      <c r="C70" s="22" t="n"/>
      <c r="D70" s="23" t="n"/>
      <c r="E70" s="24" t="n"/>
      <c r="F70" s="24" t="n"/>
      <c r="G70" s="25" t="n"/>
      <c r="H70" s="22" t="n"/>
      <c r="I70" s="26" t="n"/>
      <c r="J70" s="27" t="n"/>
      <c r="K70" s="24" t="n"/>
      <c r="L70" s="28" t="n"/>
      <c r="M70" s="29">
        <f>IF(OR('計算（触らない）'!$W70=0,'計算（触らない）'!$AE70=1),"",'計算（触らない）'!$X70)</f>
        <v/>
      </c>
      <c r="N70" s="30">
        <f>IF(OR('計算（触らない）'!$W70=0,'計算（触らない）'!$AE70=1),"",IF('計算（触らない）'!$F70&gt;2,"―",IF('計算（触らない）'!$AB70=0,"",'計算（触らない）'!$AB70)))</f>
        <v/>
      </c>
      <c r="O70" s="31">
        <f>IF(OR('計算（触らない）'!$W70=0,'計算（触らない）'!$AE70=1),"",'計算（触らない）'!$AO70)</f>
        <v/>
      </c>
      <c r="P70" s="29">
        <f>IF(OR('計算（触らない）'!$W70=0,'計算（触らない）'!$AE70=1),"",'計算（触らない）'!$Z70)</f>
        <v/>
      </c>
      <c r="Q70" s="29">
        <f>IF(OR('計算（触らない）'!$W70=0,'計算（触らない）'!$AE70=1),"",'計算（触らない）'!$AC70)</f>
        <v/>
      </c>
      <c r="R70" s="29">
        <f>IF(OR('計算（触らない）'!$W70=0,'計算（触らない）'!$AE70=1),"",'計算（触らない）'!$Y70)</f>
        <v/>
      </c>
      <c r="S70" s="32">
        <f>IF('計算（触らない）'!$B70=0,"",IF('計算（触らない）'!$AH70&lt;&gt;"",'計算（触らない）'!$AH70,TRIM('計算（触らない）'!$AI70&amp;'計算（触らない）'!$AJ70&amp;'計算（触らない）'!$AK70)))</f>
        <v/>
      </c>
      <c r="T70" s="68">
        <f>IF(OR('計算（触らない）'!$AH70&lt;&gt;"",'計算（触らない）'!$AI70&lt;&gt;""),1,0)</f>
        <v/>
      </c>
    </row>
    <row r="71" ht="30" customHeight="1">
      <c r="A71" s="21" t="n">
        <v>66</v>
      </c>
      <c r="B71" s="22" t="n"/>
      <c r="C71" s="22" t="n"/>
      <c r="D71" s="23" t="n"/>
      <c r="E71" s="24" t="n"/>
      <c r="F71" s="24" t="n"/>
      <c r="G71" s="25" t="n"/>
      <c r="H71" s="22" t="n"/>
      <c r="I71" s="26" t="n"/>
      <c r="J71" s="27" t="n"/>
      <c r="K71" s="24" t="n"/>
      <c r="L71" s="28" t="n"/>
      <c r="M71" s="29">
        <f>IF(OR('計算（触らない）'!$W71=0,'計算（触らない）'!$AE71=1),"",'計算（触らない）'!$X71)</f>
        <v/>
      </c>
      <c r="N71" s="30">
        <f>IF(OR('計算（触らない）'!$W71=0,'計算（触らない）'!$AE71=1),"",IF('計算（触らない）'!$F71&gt;2,"―",IF('計算（触らない）'!$AB71=0,"",'計算（触らない）'!$AB71)))</f>
        <v/>
      </c>
      <c r="O71" s="31">
        <f>IF(OR('計算（触らない）'!$W71=0,'計算（触らない）'!$AE71=1),"",'計算（触らない）'!$AO71)</f>
        <v/>
      </c>
      <c r="P71" s="29">
        <f>IF(OR('計算（触らない）'!$W71=0,'計算（触らない）'!$AE71=1),"",'計算（触らない）'!$Z71)</f>
        <v/>
      </c>
      <c r="Q71" s="29">
        <f>IF(OR('計算（触らない）'!$W71=0,'計算（触らない）'!$AE71=1),"",'計算（触らない）'!$AC71)</f>
        <v/>
      </c>
      <c r="R71" s="29">
        <f>IF(OR('計算（触らない）'!$W71=0,'計算（触らない）'!$AE71=1),"",'計算（触らない）'!$Y71)</f>
        <v/>
      </c>
      <c r="S71" s="32">
        <f>IF('計算（触らない）'!$B71=0,"",IF('計算（触らない）'!$AH71&lt;&gt;"",'計算（触らない）'!$AH71,TRIM('計算（触らない）'!$AI71&amp;'計算（触らない）'!$AJ71&amp;'計算（触らない）'!$AK71)))</f>
        <v/>
      </c>
      <c r="T71" s="68">
        <f>IF(OR('計算（触らない）'!$AH71&lt;&gt;"",'計算（触らない）'!$AI71&lt;&gt;""),1,0)</f>
        <v/>
      </c>
    </row>
    <row r="72" ht="30" customHeight="1">
      <c r="A72" s="21" t="n">
        <v>67</v>
      </c>
      <c r="B72" s="22" t="n"/>
      <c r="C72" s="22" t="n"/>
      <c r="D72" s="23" t="n"/>
      <c r="E72" s="24" t="n"/>
      <c r="F72" s="24" t="n"/>
      <c r="G72" s="25" t="n"/>
      <c r="H72" s="22" t="n"/>
      <c r="I72" s="26" t="n"/>
      <c r="J72" s="27" t="n"/>
      <c r="K72" s="24" t="n"/>
      <c r="L72" s="28" t="n"/>
      <c r="M72" s="29">
        <f>IF(OR('計算（触らない）'!$W72=0,'計算（触らない）'!$AE72=1),"",'計算（触らない）'!$X72)</f>
        <v/>
      </c>
      <c r="N72" s="30">
        <f>IF(OR('計算（触らない）'!$W72=0,'計算（触らない）'!$AE72=1),"",IF('計算（触らない）'!$F72&gt;2,"―",IF('計算（触らない）'!$AB72=0,"",'計算（触らない）'!$AB72)))</f>
        <v/>
      </c>
      <c r="O72" s="31">
        <f>IF(OR('計算（触らない）'!$W72=0,'計算（触らない）'!$AE72=1),"",'計算（触らない）'!$AO72)</f>
        <v/>
      </c>
      <c r="P72" s="29">
        <f>IF(OR('計算（触らない）'!$W72=0,'計算（触らない）'!$AE72=1),"",'計算（触らない）'!$Z72)</f>
        <v/>
      </c>
      <c r="Q72" s="29">
        <f>IF(OR('計算（触らない）'!$W72=0,'計算（触らない）'!$AE72=1),"",'計算（触らない）'!$AC72)</f>
        <v/>
      </c>
      <c r="R72" s="29">
        <f>IF(OR('計算（触らない）'!$W72=0,'計算（触らない）'!$AE72=1),"",'計算（触らない）'!$Y72)</f>
        <v/>
      </c>
      <c r="S72" s="32">
        <f>IF('計算（触らない）'!$B72=0,"",IF('計算（触らない）'!$AH72&lt;&gt;"",'計算（触らない）'!$AH72,TRIM('計算（触らない）'!$AI72&amp;'計算（触らない）'!$AJ72&amp;'計算（触らない）'!$AK72)))</f>
        <v/>
      </c>
      <c r="T72" s="68">
        <f>IF(OR('計算（触らない）'!$AH72&lt;&gt;"",'計算（触らない）'!$AI72&lt;&gt;""),1,0)</f>
        <v/>
      </c>
    </row>
    <row r="73" ht="30" customHeight="1">
      <c r="A73" s="21" t="n">
        <v>68</v>
      </c>
      <c r="B73" s="22" t="n"/>
      <c r="C73" s="22" t="n"/>
      <c r="D73" s="23" t="n"/>
      <c r="E73" s="24" t="n"/>
      <c r="F73" s="24" t="n"/>
      <c r="G73" s="25" t="n"/>
      <c r="H73" s="22" t="n"/>
      <c r="I73" s="26" t="n"/>
      <c r="J73" s="27" t="n"/>
      <c r="K73" s="24" t="n"/>
      <c r="L73" s="28" t="n"/>
      <c r="M73" s="29">
        <f>IF(OR('計算（触らない）'!$W73=0,'計算（触らない）'!$AE73=1),"",'計算（触らない）'!$X73)</f>
        <v/>
      </c>
      <c r="N73" s="30">
        <f>IF(OR('計算（触らない）'!$W73=0,'計算（触らない）'!$AE73=1),"",IF('計算（触らない）'!$F73&gt;2,"―",IF('計算（触らない）'!$AB73=0,"",'計算（触らない）'!$AB73)))</f>
        <v/>
      </c>
      <c r="O73" s="31">
        <f>IF(OR('計算（触らない）'!$W73=0,'計算（触らない）'!$AE73=1),"",'計算（触らない）'!$AO73)</f>
        <v/>
      </c>
      <c r="P73" s="29">
        <f>IF(OR('計算（触らない）'!$W73=0,'計算（触らない）'!$AE73=1),"",'計算（触らない）'!$Z73)</f>
        <v/>
      </c>
      <c r="Q73" s="29">
        <f>IF(OR('計算（触らない）'!$W73=0,'計算（触らない）'!$AE73=1),"",'計算（触らない）'!$AC73)</f>
        <v/>
      </c>
      <c r="R73" s="29">
        <f>IF(OR('計算（触らない）'!$W73=0,'計算（触らない）'!$AE73=1),"",'計算（触らない）'!$Y73)</f>
        <v/>
      </c>
      <c r="S73" s="32">
        <f>IF('計算（触らない）'!$B73=0,"",IF('計算（触らない）'!$AH73&lt;&gt;"",'計算（触らない）'!$AH73,TRIM('計算（触らない）'!$AI73&amp;'計算（触らない）'!$AJ73&amp;'計算（触らない）'!$AK73)))</f>
        <v/>
      </c>
      <c r="T73" s="68">
        <f>IF(OR('計算（触らない）'!$AH73&lt;&gt;"",'計算（触らない）'!$AI73&lt;&gt;""),1,0)</f>
        <v/>
      </c>
    </row>
    <row r="74" ht="30" customHeight="1">
      <c r="A74" s="21" t="n">
        <v>69</v>
      </c>
      <c r="B74" s="22" t="n"/>
      <c r="C74" s="22" t="n"/>
      <c r="D74" s="23" t="n"/>
      <c r="E74" s="24" t="n"/>
      <c r="F74" s="24" t="n"/>
      <c r="G74" s="25" t="n"/>
      <c r="H74" s="22" t="n"/>
      <c r="I74" s="26" t="n"/>
      <c r="J74" s="27" t="n"/>
      <c r="K74" s="24" t="n"/>
      <c r="L74" s="28" t="n"/>
      <c r="M74" s="29">
        <f>IF(OR('計算（触らない）'!$W74=0,'計算（触らない）'!$AE74=1),"",'計算（触らない）'!$X74)</f>
        <v/>
      </c>
      <c r="N74" s="30">
        <f>IF(OR('計算（触らない）'!$W74=0,'計算（触らない）'!$AE74=1),"",IF('計算（触らない）'!$F74&gt;2,"―",IF('計算（触らない）'!$AB74=0,"",'計算（触らない）'!$AB74)))</f>
        <v/>
      </c>
      <c r="O74" s="31">
        <f>IF(OR('計算（触らない）'!$W74=0,'計算（触らない）'!$AE74=1),"",'計算（触らない）'!$AO74)</f>
        <v/>
      </c>
      <c r="P74" s="29">
        <f>IF(OR('計算（触らない）'!$W74=0,'計算（触らない）'!$AE74=1),"",'計算（触らない）'!$Z74)</f>
        <v/>
      </c>
      <c r="Q74" s="29">
        <f>IF(OR('計算（触らない）'!$W74=0,'計算（触らない）'!$AE74=1),"",'計算（触らない）'!$AC74)</f>
        <v/>
      </c>
      <c r="R74" s="29">
        <f>IF(OR('計算（触らない）'!$W74=0,'計算（触らない）'!$AE74=1),"",'計算（触らない）'!$Y74)</f>
        <v/>
      </c>
      <c r="S74" s="32">
        <f>IF('計算（触らない）'!$B74=0,"",IF('計算（触らない）'!$AH74&lt;&gt;"",'計算（触らない）'!$AH74,TRIM('計算（触らない）'!$AI74&amp;'計算（触らない）'!$AJ74&amp;'計算（触らない）'!$AK74)))</f>
        <v/>
      </c>
      <c r="T74" s="68">
        <f>IF(OR('計算（触らない）'!$AH74&lt;&gt;"",'計算（触らない）'!$AI74&lt;&gt;""),1,0)</f>
        <v/>
      </c>
    </row>
    <row r="75" ht="30" customHeight="1">
      <c r="A75" s="21" t="n">
        <v>70</v>
      </c>
      <c r="B75" s="22" t="n"/>
      <c r="C75" s="22" t="n"/>
      <c r="D75" s="23" t="n"/>
      <c r="E75" s="24" t="n"/>
      <c r="F75" s="24" t="n"/>
      <c r="G75" s="25" t="n"/>
      <c r="H75" s="22" t="n"/>
      <c r="I75" s="26" t="n"/>
      <c r="J75" s="27" t="n"/>
      <c r="K75" s="24" t="n"/>
      <c r="L75" s="28" t="n"/>
      <c r="M75" s="29">
        <f>IF(OR('計算（触らない）'!$W75=0,'計算（触らない）'!$AE75=1),"",'計算（触らない）'!$X75)</f>
        <v/>
      </c>
      <c r="N75" s="30">
        <f>IF(OR('計算（触らない）'!$W75=0,'計算（触らない）'!$AE75=1),"",IF('計算（触らない）'!$F75&gt;2,"―",IF('計算（触らない）'!$AB75=0,"",'計算（触らない）'!$AB75)))</f>
        <v/>
      </c>
      <c r="O75" s="31">
        <f>IF(OR('計算（触らない）'!$W75=0,'計算（触らない）'!$AE75=1),"",'計算（触らない）'!$AO75)</f>
        <v/>
      </c>
      <c r="P75" s="29">
        <f>IF(OR('計算（触らない）'!$W75=0,'計算（触らない）'!$AE75=1),"",'計算（触らない）'!$Z75)</f>
        <v/>
      </c>
      <c r="Q75" s="29">
        <f>IF(OR('計算（触らない）'!$W75=0,'計算（触らない）'!$AE75=1),"",'計算（触らない）'!$AC75)</f>
        <v/>
      </c>
      <c r="R75" s="29">
        <f>IF(OR('計算（触らない）'!$W75=0,'計算（触らない）'!$AE75=1),"",'計算（触らない）'!$Y75)</f>
        <v/>
      </c>
      <c r="S75" s="32">
        <f>IF('計算（触らない）'!$B75=0,"",IF('計算（触らない）'!$AH75&lt;&gt;"",'計算（触らない）'!$AH75,TRIM('計算（触らない）'!$AI75&amp;'計算（触らない）'!$AJ75&amp;'計算（触らない）'!$AK75)))</f>
        <v/>
      </c>
      <c r="T75" s="68">
        <f>IF(OR('計算（触らない）'!$AH75&lt;&gt;"",'計算（触らない）'!$AI75&lt;&gt;""),1,0)</f>
        <v/>
      </c>
    </row>
    <row r="76" ht="30" customHeight="1">
      <c r="A76" s="21" t="n">
        <v>71</v>
      </c>
      <c r="B76" s="22" t="n"/>
      <c r="C76" s="22" t="n"/>
      <c r="D76" s="23" t="n"/>
      <c r="E76" s="24" t="n"/>
      <c r="F76" s="24" t="n"/>
      <c r="G76" s="25" t="n"/>
      <c r="H76" s="22" t="n"/>
      <c r="I76" s="26" t="n"/>
      <c r="J76" s="27" t="n"/>
      <c r="K76" s="24" t="n"/>
      <c r="L76" s="28" t="n"/>
      <c r="M76" s="29">
        <f>IF(OR('計算（触らない）'!$W76=0,'計算（触らない）'!$AE76=1),"",'計算（触らない）'!$X76)</f>
        <v/>
      </c>
      <c r="N76" s="30">
        <f>IF(OR('計算（触らない）'!$W76=0,'計算（触らない）'!$AE76=1),"",IF('計算（触らない）'!$F76&gt;2,"―",IF('計算（触らない）'!$AB76=0,"",'計算（触らない）'!$AB76)))</f>
        <v/>
      </c>
      <c r="O76" s="31">
        <f>IF(OR('計算（触らない）'!$W76=0,'計算（触らない）'!$AE76=1),"",'計算（触らない）'!$AO76)</f>
        <v/>
      </c>
      <c r="P76" s="29">
        <f>IF(OR('計算（触らない）'!$W76=0,'計算（触らない）'!$AE76=1),"",'計算（触らない）'!$Z76)</f>
        <v/>
      </c>
      <c r="Q76" s="29">
        <f>IF(OR('計算（触らない）'!$W76=0,'計算（触らない）'!$AE76=1),"",'計算（触らない）'!$AC76)</f>
        <v/>
      </c>
      <c r="R76" s="29">
        <f>IF(OR('計算（触らない）'!$W76=0,'計算（触らない）'!$AE76=1),"",'計算（触らない）'!$Y76)</f>
        <v/>
      </c>
      <c r="S76" s="32">
        <f>IF('計算（触らない）'!$B76=0,"",IF('計算（触らない）'!$AH76&lt;&gt;"",'計算（触らない）'!$AH76,TRIM('計算（触らない）'!$AI76&amp;'計算（触らない）'!$AJ76&amp;'計算（触らない）'!$AK76)))</f>
        <v/>
      </c>
      <c r="T76" s="68">
        <f>IF(OR('計算（触らない）'!$AH76&lt;&gt;"",'計算（触らない）'!$AI76&lt;&gt;""),1,0)</f>
        <v/>
      </c>
    </row>
    <row r="77" ht="30" customHeight="1">
      <c r="A77" s="21" t="n">
        <v>72</v>
      </c>
      <c r="B77" s="22" t="n"/>
      <c r="C77" s="22" t="n"/>
      <c r="D77" s="23" t="n"/>
      <c r="E77" s="24" t="n"/>
      <c r="F77" s="24" t="n"/>
      <c r="G77" s="25" t="n"/>
      <c r="H77" s="22" t="n"/>
      <c r="I77" s="26" t="n"/>
      <c r="J77" s="27" t="n"/>
      <c r="K77" s="24" t="n"/>
      <c r="L77" s="28" t="n"/>
      <c r="M77" s="29">
        <f>IF(OR('計算（触らない）'!$W77=0,'計算（触らない）'!$AE77=1),"",'計算（触らない）'!$X77)</f>
        <v/>
      </c>
      <c r="N77" s="30">
        <f>IF(OR('計算（触らない）'!$W77=0,'計算（触らない）'!$AE77=1),"",IF('計算（触らない）'!$F77&gt;2,"―",IF('計算（触らない）'!$AB77=0,"",'計算（触らない）'!$AB77)))</f>
        <v/>
      </c>
      <c r="O77" s="31">
        <f>IF(OR('計算（触らない）'!$W77=0,'計算（触らない）'!$AE77=1),"",'計算（触らない）'!$AO77)</f>
        <v/>
      </c>
      <c r="P77" s="29">
        <f>IF(OR('計算（触らない）'!$W77=0,'計算（触らない）'!$AE77=1),"",'計算（触らない）'!$Z77)</f>
        <v/>
      </c>
      <c r="Q77" s="29">
        <f>IF(OR('計算（触らない）'!$W77=0,'計算（触らない）'!$AE77=1),"",'計算（触らない）'!$AC77)</f>
        <v/>
      </c>
      <c r="R77" s="29">
        <f>IF(OR('計算（触らない）'!$W77=0,'計算（触らない）'!$AE77=1),"",'計算（触らない）'!$Y77)</f>
        <v/>
      </c>
      <c r="S77" s="32">
        <f>IF('計算（触らない）'!$B77=0,"",IF('計算（触らない）'!$AH77&lt;&gt;"",'計算（触らない）'!$AH77,TRIM('計算（触らない）'!$AI77&amp;'計算（触らない）'!$AJ77&amp;'計算（触らない）'!$AK77)))</f>
        <v/>
      </c>
      <c r="T77" s="68">
        <f>IF(OR('計算（触らない）'!$AH77&lt;&gt;"",'計算（触らない）'!$AI77&lt;&gt;""),1,0)</f>
        <v/>
      </c>
    </row>
    <row r="78" ht="30" customHeight="1">
      <c r="A78" s="21" t="n">
        <v>73</v>
      </c>
      <c r="B78" s="22" t="n"/>
      <c r="C78" s="22" t="n"/>
      <c r="D78" s="23" t="n"/>
      <c r="E78" s="24" t="n"/>
      <c r="F78" s="24" t="n"/>
      <c r="G78" s="25" t="n"/>
      <c r="H78" s="22" t="n"/>
      <c r="I78" s="26" t="n"/>
      <c r="J78" s="27" t="n"/>
      <c r="K78" s="24" t="n"/>
      <c r="L78" s="28" t="n"/>
      <c r="M78" s="29">
        <f>IF(OR('計算（触らない）'!$W78=0,'計算（触らない）'!$AE78=1),"",'計算（触らない）'!$X78)</f>
        <v/>
      </c>
      <c r="N78" s="30">
        <f>IF(OR('計算（触らない）'!$W78=0,'計算（触らない）'!$AE78=1),"",IF('計算（触らない）'!$F78&gt;2,"―",IF('計算（触らない）'!$AB78=0,"",'計算（触らない）'!$AB78)))</f>
        <v/>
      </c>
      <c r="O78" s="31">
        <f>IF(OR('計算（触らない）'!$W78=0,'計算（触らない）'!$AE78=1),"",'計算（触らない）'!$AO78)</f>
        <v/>
      </c>
      <c r="P78" s="29">
        <f>IF(OR('計算（触らない）'!$W78=0,'計算（触らない）'!$AE78=1),"",'計算（触らない）'!$Z78)</f>
        <v/>
      </c>
      <c r="Q78" s="29">
        <f>IF(OR('計算（触らない）'!$W78=0,'計算（触らない）'!$AE78=1),"",'計算（触らない）'!$AC78)</f>
        <v/>
      </c>
      <c r="R78" s="29">
        <f>IF(OR('計算（触らない）'!$W78=0,'計算（触らない）'!$AE78=1),"",'計算（触らない）'!$Y78)</f>
        <v/>
      </c>
      <c r="S78" s="32">
        <f>IF('計算（触らない）'!$B78=0,"",IF('計算（触らない）'!$AH78&lt;&gt;"",'計算（触らない）'!$AH78,TRIM('計算（触らない）'!$AI78&amp;'計算（触らない）'!$AJ78&amp;'計算（触らない）'!$AK78)))</f>
        <v/>
      </c>
      <c r="T78" s="68">
        <f>IF(OR('計算（触らない）'!$AH78&lt;&gt;"",'計算（触らない）'!$AI78&lt;&gt;""),1,0)</f>
        <v/>
      </c>
    </row>
    <row r="79" ht="30" customHeight="1">
      <c r="A79" s="21" t="n">
        <v>74</v>
      </c>
      <c r="B79" s="22" t="n"/>
      <c r="C79" s="22" t="n"/>
      <c r="D79" s="23" t="n"/>
      <c r="E79" s="24" t="n"/>
      <c r="F79" s="24" t="n"/>
      <c r="G79" s="25" t="n"/>
      <c r="H79" s="22" t="n"/>
      <c r="I79" s="26" t="n"/>
      <c r="J79" s="27" t="n"/>
      <c r="K79" s="24" t="n"/>
      <c r="L79" s="28" t="n"/>
      <c r="M79" s="29">
        <f>IF(OR('計算（触らない）'!$W79=0,'計算（触らない）'!$AE79=1),"",'計算（触らない）'!$X79)</f>
        <v/>
      </c>
      <c r="N79" s="30">
        <f>IF(OR('計算（触らない）'!$W79=0,'計算（触らない）'!$AE79=1),"",IF('計算（触らない）'!$F79&gt;2,"―",IF('計算（触らない）'!$AB79=0,"",'計算（触らない）'!$AB79)))</f>
        <v/>
      </c>
      <c r="O79" s="31">
        <f>IF(OR('計算（触らない）'!$W79=0,'計算（触らない）'!$AE79=1),"",'計算（触らない）'!$AO79)</f>
        <v/>
      </c>
      <c r="P79" s="29">
        <f>IF(OR('計算（触らない）'!$W79=0,'計算（触らない）'!$AE79=1),"",'計算（触らない）'!$Z79)</f>
        <v/>
      </c>
      <c r="Q79" s="29">
        <f>IF(OR('計算（触らない）'!$W79=0,'計算（触らない）'!$AE79=1),"",'計算（触らない）'!$AC79)</f>
        <v/>
      </c>
      <c r="R79" s="29">
        <f>IF(OR('計算（触らない）'!$W79=0,'計算（触らない）'!$AE79=1),"",'計算（触らない）'!$Y79)</f>
        <v/>
      </c>
      <c r="S79" s="32">
        <f>IF('計算（触らない）'!$B79=0,"",IF('計算（触らない）'!$AH79&lt;&gt;"",'計算（触らない）'!$AH79,TRIM('計算（触らない）'!$AI79&amp;'計算（触らない）'!$AJ79&amp;'計算（触らない）'!$AK79)))</f>
        <v/>
      </c>
      <c r="T79" s="68">
        <f>IF(OR('計算（触らない）'!$AH79&lt;&gt;"",'計算（触らない）'!$AI79&lt;&gt;""),1,0)</f>
        <v/>
      </c>
    </row>
    <row r="80" ht="30" customHeight="1">
      <c r="A80" s="21" t="n">
        <v>75</v>
      </c>
      <c r="B80" s="22" t="n"/>
      <c r="C80" s="22" t="n"/>
      <c r="D80" s="23" t="n"/>
      <c r="E80" s="24" t="n"/>
      <c r="F80" s="24" t="n"/>
      <c r="G80" s="25" t="n"/>
      <c r="H80" s="22" t="n"/>
      <c r="I80" s="26" t="n"/>
      <c r="J80" s="27" t="n"/>
      <c r="K80" s="24" t="n"/>
      <c r="L80" s="28" t="n"/>
      <c r="M80" s="29">
        <f>IF(OR('計算（触らない）'!$W80=0,'計算（触らない）'!$AE80=1),"",'計算（触らない）'!$X80)</f>
        <v/>
      </c>
      <c r="N80" s="30">
        <f>IF(OR('計算（触らない）'!$W80=0,'計算（触らない）'!$AE80=1),"",IF('計算（触らない）'!$F80&gt;2,"―",IF('計算（触らない）'!$AB80=0,"",'計算（触らない）'!$AB80)))</f>
        <v/>
      </c>
      <c r="O80" s="31">
        <f>IF(OR('計算（触らない）'!$W80=0,'計算（触らない）'!$AE80=1),"",'計算（触らない）'!$AO80)</f>
        <v/>
      </c>
      <c r="P80" s="29">
        <f>IF(OR('計算（触らない）'!$W80=0,'計算（触らない）'!$AE80=1),"",'計算（触らない）'!$Z80)</f>
        <v/>
      </c>
      <c r="Q80" s="29">
        <f>IF(OR('計算（触らない）'!$W80=0,'計算（触らない）'!$AE80=1),"",'計算（触らない）'!$AC80)</f>
        <v/>
      </c>
      <c r="R80" s="29">
        <f>IF(OR('計算（触らない）'!$W80=0,'計算（触らない）'!$AE80=1),"",'計算（触らない）'!$Y80)</f>
        <v/>
      </c>
      <c r="S80" s="32">
        <f>IF('計算（触らない）'!$B80=0,"",IF('計算（触らない）'!$AH80&lt;&gt;"",'計算（触らない）'!$AH80,TRIM('計算（触らない）'!$AI80&amp;'計算（触らない）'!$AJ80&amp;'計算（触らない）'!$AK80)))</f>
        <v/>
      </c>
      <c r="T80" s="68">
        <f>IF(OR('計算（触らない）'!$AH80&lt;&gt;"",'計算（触らない）'!$AI80&lt;&gt;""),1,0)</f>
        <v/>
      </c>
    </row>
    <row r="81" ht="30" customHeight="1">
      <c r="A81" s="21" t="n">
        <v>76</v>
      </c>
      <c r="B81" s="22" t="n"/>
      <c r="C81" s="22" t="n"/>
      <c r="D81" s="23" t="n"/>
      <c r="E81" s="24" t="n"/>
      <c r="F81" s="24" t="n"/>
      <c r="G81" s="25" t="n"/>
      <c r="H81" s="22" t="n"/>
      <c r="I81" s="26" t="n"/>
      <c r="J81" s="27" t="n"/>
      <c r="K81" s="24" t="n"/>
      <c r="L81" s="28" t="n"/>
      <c r="M81" s="29">
        <f>IF(OR('計算（触らない）'!$W81=0,'計算（触らない）'!$AE81=1),"",'計算（触らない）'!$X81)</f>
        <v/>
      </c>
      <c r="N81" s="30">
        <f>IF(OR('計算（触らない）'!$W81=0,'計算（触らない）'!$AE81=1),"",IF('計算（触らない）'!$F81&gt;2,"―",IF('計算（触らない）'!$AB81=0,"",'計算（触らない）'!$AB81)))</f>
        <v/>
      </c>
      <c r="O81" s="31">
        <f>IF(OR('計算（触らない）'!$W81=0,'計算（触らない）'!$AE81=1),"",'計算（触らない）'!$AO81)</f>
        <v/>
      </c>
      <c r="P81" s="29">
        <f>IF(OR('計算（触らない）'!$W81=0,'計算（触らない）'!$AE81=1),"",'計算（触らない）'!$Z81)</f>
        <v/>
      </c>
      <c r="Q81" s="29">
        <f>IF(OR('計算（触らない）'!$W81=0,'計算（触らない）'!$AE81=1),"",'計算（触らない）'!$AC81)</f>
        <v/>
      </c>
      <c r="R81" s="29">
        <f>IF(OR('計算（触らない）'!$W81=0,'計算（触らない）'!$AE81=1),"",'計算（触らない）'!$Y81)</f>
        <v/>
      </c>
      <c r="S81" s="32">
        <f>IF('計算（触らない）'!$B81=0,"",IF('計算（触らない）'!$AH81&lt;&gt;"",'計算（触らない）'!$AH81,TRIM('計算（触らない）'!$AI81&amp;'計算（触らない）'!$AJ81&amp;'計算（触らない）'!$AK81)))</f>
        <v/>
      </c>
      <c r="T81" s="68">
        <f>IF(OR('計算（触らない）'!$AH81&lt;&gt;"",'計算（触らない）'!$AI81&lt;&gt;""),1,0)</f>
        <v/>
      </c>
    </row>
    <row r="82" ht="30" customHeight="1">
      <c r="A82" s="21" t="n">
        <v>77</v>
      </c>
      <c r="B82" s="22" t="n"/>
      <c r="C82" s="22" t="n"/>
      <c r="D82" s="23" t="n"/>
      <c r="E82" s="24" t="n"/>
      <c r="F82" s="24" t="n"/>
      <c r="G82" s="25" t="n"/>
      <c r="H82" s="22" t="n"/>
      <c r="I82" s="26" t="n"/>
      <c r="J82" s="27" t="n"/>
      <c r="K82" s="24" t="n"/>
      <c r="L82" s="28" t="n"/>
      <c r="M82" s="29">
        <f>IF(OR('計算（触らない）'!$W82=0,'計算（触らない）'!$AE82=1),"",'計算（触らない）'!$X82)</f>
        <v/>
      </c>
      <c r="N82" s="30">
        <f>IF(OR('計算（触らない）'!$W82=0,'計算（触らない）'!$AE82=1),"",IF('計算（触らない）'!$F82&gt;2,"―",IF('計算（触らない）'!$AB82=0,"",'計算（触らない）'!$AB82)))</f>
        <v/>
      </c>
      <c r="O82" s="31">
        <f>IF(OR('計算（触らない）'!$W82=0,'計算（触らない）'!$AE82=1),"",'計算（触らない）'!$AO82)</f>
        <v/>
      </c>
      <c r="P82" s="29">
        <f>IF(OR('計算（触らない）'!$W82=0,'計算（触らない）'!$AE82=1),"",'計算（触らない）'!$Z82)</f>
        <v/>
      </c>
      <c r="Q82" s="29">
        <f>IF(OR('計算（触らない）'!$W82=0,'計算（触らない）'!$AE82=1),"",'計算（触らない）'!$AC82)</f>
        <v/>
      </c>
      <c r="R82" s="29">
        <f>IF(OR('計算（触らない）'!$W82=0,'計算（触らない）'!$AE82=1),"",'計算（触らない）'!$Y82)</f>
        <v/>
      </c>
      <c r="S82" s="32">
        <f>IF('計算（触らない）'!$B82=0,"",IF('計算（触らない）'!$AH82&lt;&gt;"",'計算（触らない）'!$AH82,TRIM('計算（触らない）'!$AI82&amp;'計算（触らない）'!$AJ82&amp;'計算（触らない）'!$AK82)))</f>
        <v/>
      </c>
      <c r="T82" s="68">
        <f>IF(OR('計算（触らない）'!$AH82&lt;&gt;"",'計算（触らない）'!$AI82&lt;&gt;""),1,0)</f>
        <v/>
      </c>
    </row>
    <row r="83" ht="30" customHeight="1">
      <c r="A83" s="21" t="n">
        <v>78</v>
      </c>
      <c r="B83" s="22" t="n"/>
      <c r="C83" s="22" t="n"/>
      <c r="D83" s="23" t="n"/>
      <c r="E83" s="24" t="n"/>
      <c r="F83" s="24" t="n"/>
      <c r="G83" s="25" t="n"/>
      <c r="H83" s="22" t="n"/>
      <c r="I83" s="26" t="n"/>
      <c r="J83" s="27" t="n"/>
      <c r="K83" s="24" t="n"/>
      <c r="L83" s="28" t="n"/>
      <c r="M83" s="29">
        <f>IF(OR('計算（触らない）'!$W83=0,'計算（触らない）'!$AE83=1),"",'計算（触らない）'!$X83)</f>
        <v/>
      </c>
      <c r="N83" s="30">
        <f>IF(OR('計算（触らない）'!$W83=0,'計算（触らない）'!$AE83=1),"",IF('計算（触らない）'!$F83&gt;2,"―",IF('計算（触らない）'!$AB83=0,"",'計算（触らない）'!$AB83)))</f>
        <v/>
      </c>
      <c r="O83" s="31">
        <f>IF(OR('計算（触らない）'!$W83=0,'計算（触らない）'!$AE83=1),"",'計算（触らない）'!$AO83)</f>
        <v/>
      </c>
      <c r="P83" s="29">
        <f>IF(OR('計算（触らない）'!$W83=0,'計算（触らない）'!$AE83=1),"",'計算（触らない）'!$Z83)</f>
        <v/>
      </c>
      <c r="Q83" s="29">
        <f>IF(OR('計算（触らない）'!$W83=0,'計算（触らない）'!$AE83=1),"",'計算（触らない）'!$AC83)</f>
        <v/>
      </c>
      <c r="R83" s="29">
        <f>IF(OR('計算（触らない）'!$W83=0,'計算（触らない）'!$AE83=1),"",'計算（触らない）'!$Y83)</f>
        <v/>
      </c>
      <c r="S83" s="32">
        <f>IF('計算（触らない）'!$B83=0,"",IF('計算（触らない）'!$AH83&lt;&gt;"",'計算（触らない）'!$AH83,TRIM('計算（触らない）'!$AI83&amp;'計算（触らない）'!$AJ83&amp;'計算（触らない）'!$AK83)))</f>
        <v/>
      </c>
      <c r="T83" s="68">
        <f>IF(OR('計算（触らない）'!$AH83&lt;&gt;"",'計算（触らない）'!$AI83&lt;&gt;""),1,0)</f>
        <v/>
      </c>
    </row>
    <row r="84" ht="30" customHeight="1">
      <c r="A84" s="21" t="n">
        <v>79</v>
      </c>
      <c r="B84" s="22" t="n"/>
      <c r="C84" s="22" t="n"/>
      <c r="D84" s="23" t="n"/>
      <c r="E84" s="24" t="n"/>
      <c r="F84" s="24" t="n"/>
      <c r="G84" s="25" t="n"/>
      <c r="H84" s="22" t="n"/>
      <c r="I84" s="26" t="n"/>
      <c r="J84" s="27" t="n"/>
      <c r="K84" s="24" t="n"/>
      <c r="L84" s="28" t="n"/>
      <c r="M84" s="29">
        <f>IF(OR('計算（触らない）'!$W84=0,'計算（触らない）'!$AE84=1),"",'計算（触らない）'!$X84)</f>
        <v/>
      </c>
      <c r="N84" s="30">
        <f>IF(OR('計算（触らない）'!$W84=0,'計算（触らない）'!$AE84=1),"",IF('計算（触らない）'!$F84&gt;2,"―",IF('計算（触らない）'!$AB84=0,"",'計算（触らない）'!$AB84)))</f>
        <v/>
      </c>
      <c r="O84" s="31">
        <f>IF(OR('計算（触らない）'!$W84=0,'計算（触らない）'!$AE84=1),"",'計算（触らない）'!$AO84)</f>
        <v/>
      </c>
      <c r="P84" s="29">
        <f>IF(OR('計算（触らない）'!$W84=0,'計算（触らない）'!$AE84=1),"",'計算（触らない）'!$Z84)</f>
        <v/>
      </c>
      <c r="Q84" s="29">
        <f>IF(OR('計算（触らない）'!$W84=0,'計算（触らない）'!$AE84=1),"",'計算（触らない）'!$AC84)</f>
        <v/>
      </c>
      <c r="R84" s="29">
        <f>IF(OR('計算（触らない）'!$W84=0,'計算（触らない）'!$AE84=1),"",'計算（触らない）'!$Y84)</f>
        <v/>
      </c>
      <c r="S84" s="32">
        <f>IF('計算（触らない）'!$B84=0,"",IF('計算（触らない）'!$AH84&lt;&gt;"",'計算（触らない）'!$AH84,TRIM('計算（触らない）'!$AI84&amp;'計算（触らない）'!$AJ84&amp;'計算（触らない）'!$AK84)))</f>
        <v/>
      </c>
      <c r="T84" s="68">
        <f>IF(OR('計算（触らない）'!$AH84&lt;&gt;"",'計算（触らない）'!$AI84&lt;&gt;""),1,0)</f>
        <v/>
      </c>
    </row>
    <row r="85" ht="30" customHeight="1">
      <c r="A85" s="21" t="n">
        <v>80</v>
      </c>
      <c r="B85" s="22" t="n"/>
      <c r="C85" s="22" t="n"/>
      <c r="D85" s="23" t="n"/>
      <c r="E85" s="24" t="n"/>
      <c r="F85" s="24" t="n"/>
      <c r="G85" s="25" t="n"/>
      <c r="H85" s="22" t="n"/>
      <c r="I85" s="26" t="n"/>
      <c r="J85" s="27" t="n"/>
      <c r="K85" s="24" t="n"/>
      <c r="L85" s="28" t="n"/>
      <c r="M85" s="29">
        <f>IF(OR('計算（触らない）'!$W85=0,'計算（触らない）'!$AE85=1),"",'計算（触らない）'!$X85)</f>
        <v/>
      </c>
      <c r="N85" s="30">
        <f>IF(OR('計算（触らない）'!$W85=0,'計算（触らない）'!$AE85=1),"",IF('計算（触らない）'!$F85&gt;2,"―",IF('計算（触らない）'!$AB85=0,"",'計算（触らない）'!$AB85)))</f>
        <v/>
      </c>
      <c r="O85" s="31">
        <f>IF(OR('計算（触らない）'!$W85=0,'計算（触らない）'!$AE85=1),"",'計算（触らない）'!$AO85)</f>
        <v/>
      </c>
      <c r="P85" s="29">
        <f>IF(OR('計算（触らない）'!$W85=0,'計算（触らない）'!$AE85=1),"",'計算（触らない）'!$Z85)</f>
        <v/>
      </c>
      <c r="Q85" s="29">
        <f>IF(OR('計算（触らない）'!$W85=0,'計算（触らない）'!$AE85=1),"",'計算（触らない）'!$AC85)</f>
        <v/>
      </c>
      <c r="R85" s="29">
        <f>IF(OR('計算（触らない）'!$W85=0,'計算（触らない）'!$AE85=1),"",'計算（触らない）'!$Y85)</f>
        <v/>
      </c>
      <c r="S85" s="32">
        <f>IF('計算（触らない）'!$B85=0,"",IF('計算（触らない）'!$AH85&lt;&gt;"",'計算（触らない）'!$AH85,TRIM('計算（触らない）'!$AI85&amp;'計算（触らない）'!$AJ85&amp;'計算（触らない）'!$AK85)))</f>
        <v/>
      </c>
      <c r="T85" s="68">
        <f>IF(OR('計算（触らない）'!$AH85&lt;&gt;"",'計算（触らない）'!$AI85&lt;&gt;""),1,0)</f>
        <v/>
      </c>
    </row>
    <row r="86" ht="30" customHeight="1">
      <c r="A86" s="21" t="n">
        <v>81</v>
      </c>
      <c r="B86" s="22" t="n"/>
      <c r="C86" s="22" t="n"/>
      <c r="D86" s="23" t="n"/>
      <c r="E86" s="24" t="n"/>
      <c r="F86" s="24" t="n"/>
      <c r="G86" s="25" t="n"/>
      <c r="H86" s="22" t="n"/>
      <c r="I86" s="26" t="n"/>
      <c r="J86" s="27" t="n"/>
      <c r="K86" s="24" t="n"/>
      <c r="L86" s="28" t="n"/>
      <c r="M86" s="29">
        <f>IF(OR('計算（触らない）'!$W86=0,'計算（触らない）'!$AE86=1),"",'計算（触らない）'!$X86)</f>
        <v/>
      </c>
      <c r="N86" s="30">
        <f>IF(OR('計算（触らない）'!$W86=0,'計算（触らない）'!$AE86=1),"",IF('計算（触らない）'!$F86&gt;2,"―",IF('計算（触らない）'!$AB86=0,"",'計算（触らない）'!$AB86)))</f>
        <v/>
      </c>
      <c r="O86" s="31">
        <f>IF(OR('計算（触らない）'!$W86=0,'計算（触らない）'!$AE86=1),"",'計算（触らない）'!$AO86)</f>
        <v/>
      </c>
      <c r="P86" s="29">
        <f>IF(OR('計算（触らない）'!$W86=0,'計算（触らない）'!$AE86=1),"",'計算（触らない）'!$Z86)</f>
        <v/>
      </c>
      <c r="Q86" s="29">
        <f>IF(OR('計算（触らない）'!$W86=0,'計算（触らない）'!$AE86=1),"",'計算（触らない）'!$AC86)</f>
        <v/>
      </c>
      <c r="R86" s="29">
        <f>IF(OR('計算（触らない）'!$W86=0,'計算（触らない）'!$AE86=1),"",'計算（触らない）'!$Y86)</f>
        <v/>
      </c>
      <c r="S86" s="32">
        <f>IF('計算（触らない）'!$B86=0,"",IF('計算（触らない）'!$AH86&lt;&gt;"",'計算（触らない）'!$AH86,TRIM('計算（触らない）'!$AI86&amp;'計算（触らない）'!$AJ86&amp;'計算（触らない）'!$AK86)))</f>
        <v/>
      </c>
      <c r="T86" s="68">
        <f>IF(OR('計算（触らない）'!$AH86&lt;&gt;"",'計算（触らない）'!$AI86&lt;&gt;""),1,0)</f>
        <v/>
      </c>
    </row>
    <row r="87" ht="30" customHeight="1">
      <c r="A87" s="21" t="n">
        <v>82</v>
      </c>
      <c r="B87" s="22" t="n"/>
      <c r="C87" s="22" t="n"/>
      <c r="D87" s="23" t="n"/>
      <c r="E87" s="24" t="n"/>
      <c r="F87" s="24" t="n"/>
      <c r="G87" s="25" t="n"/>
      <c r="H87" s="22" t="n"/>
      <c r="I87" s="26" t="n"/>
      <c r="J87" s="27" t="n"/>
      <c r="K87" s="24" t="n"/>
      <c r="L87" s="28" t="n"/>
      <c r="M87" s="29">
        <f>IF(OR('計算（触らない）'!$W87=0,'計算（触らない）'!$AE87=1),"",'計算（触らない）'!$X87)</f>
        <v/>
      </c>
      <c r="N87" s="30">
        <f>IF(OR('計算（触らない）'!$W87=0,'計算（触らない）'!$AE87=1),"",IF('計算（触らない）'!$F87&gt;2,"―",IF('計算（触らない）'!$AB87=0,"",'計算（触らない）'!$AB87)))</f>
        <v/>
      </c>
      <c r="O87" s="31">
        <f>IF(OR('計算（触らない）'!$W87=0,'計算（触らない）'!$AE87=1),"",'計算（触らない）'!$AO87)</f>
        <v/>
      </c>
      <c r="P87" s="29">
        <f>IF(OR('計算（触らない）'!$W87=0,'計算（触らない）'!$AE87=1),"",'計算（触らない）'!$Z87)</f>
        <v/>
      </c>
      <c r="Q87" s="29">
        <f>IF(OR('計算（触らない）'!$W87=0,'計算（触らない）'!$AE87=1),"",'計算（触らない）'!$AC87)</f>
        <v/>
      </c>
      <c r="R87" s="29">
        <f>IF(OR('計算（触らない）'!$W87=0,'計算（触らない）'!$AE87=1),"",'計算（触らない）'!$Y87)</f>
        <v/>
      </c>
      <c r="S87" s="32">
        <f>IF('計算（触らない）'!$B87=0,"",IF('計算（触らない）'!$AH87&lt;&gt;"",'計算（触らない）'!$AH87,TRIM('計算（触らない）'!$AI87&amp;'計算（触らない）'!$AJ87&amp;'計算（触らない）'!$AK87)))</f>
        <v/>
      </c>
      <c r="T87" s="68">
        <f>IF(OR('計算（触らない）'!$AH87&lt;&gt;"",'計算（触らない）'!$AI87&lt;&gt;""),1,0)</f>
        <v/>
      </c>
    </row>
    <row r="88" ht="30" customHeight="1">
      <c r="A88" s="21" t="n">
        <v>83</v>
      </c>
      <c r="B88" s="22" t="n"/>
      <c r="C88" s="22" t="n"/>
      <c r="D88" s="23" t="n"/>
      <c r="E88" s="24" t="n"/>
      <c r="F88" s="24" t="n"/>
      <c r="G88" s="25" t="n"/>
      <c r="H88" s="22" t="n"/>
      <c r="I88" s="26" t="n"/>
      <c r="J88" s="27" t="n"/>
      <c r="K88" s="24" t="n"/>
      <c r="L88" s="28" t="n"/>
      <c r="M88" s="29">
        <f>IF(OR('計算（触らない）'!$W88=0,'計算（触らない）'!$AE88=1),"",'計算（触らない）'!$X88)</f>
        <v/>
      </c>
      <c r="N88" s="30">
        <f>IF(OR('計算（触らない）'!$W88=0,'計算（触らない）'!$AE88=1),"",IF('計算（触らない）'!$F88&gt;2,"―",IF('計算（触らない）'!$AB88=0,"",'計算（触らない）'!$AB88)))</f>
        <v/>
      </c>
      <c r="O88" s="31">
        <f>IF(OR('計算（触らない）'!$W88=0,'計算（触らない）'!$AE88=1),"",'計算（触らない）'!$AO88)</f>
        <v/>
      </c>
      <c r="P88" s="29">
        <f>IF(OR('計算（触らない）'!$W88=0,'計算（触らない）'!$AE88=1),"",'計算（触らない）'!$Z88)</f>
        <v/>
      </c>
      <c r="Q88" s="29">
        <f>IF(OR('計算（触らない）'!$W88=0,'計算（触らない）'!$AE88=1),"",'計算（触らない）'!$AC88)</f>
        <v/>
      </c>
      <c r="R88" s="29">
        <f>IF(OR('計算（触らない）'!$W88=0,'計算（触らない）'!$AE88=1),"",'計算（触らない）'!$Y88)</f>
        <v/>
      </c>
      <c r="S88" s="32">
        <f>IF('計算（触らない）'!$B88=0,"",IF('計算（触らない）'!$AH88&lt;&gt;"",'計算（触らない）'!$AH88,TRIM('計算（触らない）'!$AI88&amp;'計算（触らない）'!$AJ88&amp;'計算（触らない）'!$AK88)))</f>
        <v/>
      </c>
      <c r="T88" s="68">
        <f>IF(OR('計算（触らない）'!$AH88&lt;&gt;"",'計算（触らない）'!$AI88&lt;&gt;""),1,0)</f>
        <v/>
      </c>
    </row>
    <row r="89" ht="30" customHeight="1">
      <c r="A89" s="21" t="n">
        <v>84</v>
      </c>
      <c r="B89" s="22" t="n"/>
      <c r="C89" s="22" t="n"/>
      <c r="D89" s="23" t="n"/>
      <c r="E89" s="24" t="n"/>
      <c r="F89" s="24" t="n"/>
      <c r="G89" s="25" t="n"/>
      <c r="H89" s="22" t="n"/>
      <c r="I89" s="26" t="n"/>
      <c r="J89" s="27" t="n"/>
      <c r="K89" s="24" t="n"/>
      <c r="L89" s="28" t="n"/>
      <c r="M89" s="29">
        <f>IF(OR('計算（触らない）'!$W89=0,'計算（触らない）'!$AE89=1),"",'計算（触らない）'!$X89)</f>
        <v/>
      </c>
      <c r="N89" s="30">
        <f>IF(OR('計算（触らない）'!$W89=0,'計算（触らない）'!$AE89=1),"",IF('計算（触らない）'!$F89&gt;2,"―",IF('計算（触らない）'!$AB89=0,"",'計算（触らない）'!$AB89)))</f>
        <v/>
      </c>
      <c r="O89" s="31">
        <f>IF(OR('計算（触らない）'!$W89=0,'計算（触らない）'!$AE89=1),"",'計算（触らない）'!$AO89)</f>
        <v/>
      </c>
      <c r="P89" s="29">
        <f>IF(OR('計算（触らない）'!$W89=0,'計算（触らない）'!$AE89=1),"",'計算（触らない）'!$Z89)</f>
        <v/>
      </c>
      <c r="Q89" s="29">
        <f>IF(OR('計算（触らない）'!$W89=0,'計算（触らない）'!$AE89=1),"",'計算（触らない）'!$AC89)</f>
        <v/>
      </c>
      <c r="R89" s="29">
        <f>IF(OR('計算（触らない）'!$W89=0,'計算（触らない）'!$AE89=1),"",'計算（触らない）'!$Y89)</f>
        <v/>
      </c>
      <c r="S89" s="32">
        <f>IF('計算（触らない）'!$B89=0,"",IF('計算（触らない）'!$AH89&lt;&gt;"",'計算（触らない）'!$AH89,TRIM('計算（触らない）'!$AI89&amp;'計算（触らない）'!$AJ89&amp;'計算（触らない）'!$AK89)))</f>
        <v/>
      </c>
      <c r="T89" s="68">
        <f>IF(OR('計算（触らない）'!$AH89&lt;&gt;"",'計算（触らない）'!$AI89&lt;&gt;""),1,0)</f>
        <v/>
      </c>
    </row>
    <row r="90" ht="30" customHeight="1">
      <c r="A90" s="21" t="n">
        <v>85</v>
      </c>
      <c r="B90" s="22" t="n"/>
      <c r="C90" s="22" t="n"/>
      <c r="D90" s="23" t="n"/>
      <c r="E90" s="24" t="n"/>
      <c r="F90" s="24" t="n"/>
      <c r="G90" s="25" t="n"/>
      <c r="H90" s="22" t="n"/>
      <c r="I90" s="26" t="n"/>
      <c r="J90" s="27" t="n"/>
      <c r="K90" s="24" t="n"/>
      <c r="L90" s="28" t="n"/>
      <c r="M90" s="29">
        <f>IF(OR('計算（触らない）'!$W90=0,'計算（触らない）'!$AE90=1),"",'計算（触らない）'!$X90)</f>
        <v/>
      </c>
      <c r="N90" s="30">
        <f>IF(OR('計算（触らない）'!$W90=0,'計算（触らない）'!$AE90=1),"",IF('計算（触らない）'!$F90&gt;2,"―",IF('計算（触らない）'!$AB90=0,"",'計算（触らない）'!$AB90)))</f>
        <v/>
      </c>
      <c r="O90" s="31">
        <f>IF(OR('計算（触らない）'!$W90=0,'計算（触らない）'!$AE90=1),"",'計算（触らない）'!$AO90)</f>
        <v/>
      </c>
      <c r="P90" s="29">
        <f>IF(OR('計算（触らない）'!$W90=0,'計算（触らない）'!$AE90=1),"",'計算（触らない）'!$Z90)</f>
        <v/>
      </c>
      <c r="Q90" s="29">
        <f>IF(OR('計算（触らない）'!$W90=0,'計算（触らない）'!$AE90=1),"",'計算（触らない）'!$AC90)</f>
        <v/>
      </c>
      <c r="R90" s="29">
        <f>IF(OR('計算（触らない）'!$W90=0,'計算（触らない）'!$AE90=1),"",'計算（触らない）'!$Y90)</f>
        <v/>
      </c>
      <c r="S90" s="32">
        <f>IF('計算（触らない）'!$B90=0,"",IF('計算（触らない）'!$AH90&lt;&gt;"",'計算（触らない）'!$AH90,TRIM('計算（触らない）'!$AI90&amp;'計算（触らない）'!$AJ90&amp;'計算（触らない）'!$AK90)))</f>
        <v/>
      </c>
      <c r="T90" s="68">
        <f>IF(OR('計算（触らない）'!$AH90&lt;&gt;"",'計算（触らない）'!$AI90&lt;&gt;""),1,0)</f>
        <v/>
      </c>
    </row>
    <row r="91" ht="30" customHeight="1">
      <c r="A91" s="21" t="n">
        <v>86</v>
      </c>
      <c r="B91" s="22" t="n"/>
      <c r="C91" s="22" t="n"/>
      <c r="D91" s="23" t="n"/>
      <c r="E91" s="24" t="n"/>
      <c r="F91" s="24" t="n"/>
      <c r="G91" s="25" t="n"/>
      <c r="H91" s="22" t="n"/>
      <c r="I91" s="26" t="n"/>
      <c r="J91" s="27" t="n"/>
      <c r="K91" s="24" t="n"/>
      <c r="L91" s="28" t="n"/>
      <c r="M91" s="29">
        <f>IF(OR('計算（触らない）'!$W91=0,'計算（触らない）'!$AE91=1),"",'計算（触らない）'!$X91)</f>
        <v/>
      </c>
      <c r="N91" s="30">
        <f>IF(OR('計算（触らない）'!$W91=0,'計算（触らない）'!$AE91=1),"",IF('計算（触らない）'!$F91&gt;2,"―",IF('計算（触らない）'!$AB91=0,"",'計算（触らない）'!$AB91)))</f>
        <v/>
      </c>
      <c r="O91" s="31">
        <f>IF(OR('計算（触らない）'!$W91=0,'計算（触らない）'!$AE91=1),"",'計算（触らない）'!$AO91)</f>
        <v/>
      </c>
      <c r="P91" s="29">
        <f>IF(OR('計算（触らない）'!$W91=0,'計算（触らない）'!$AE91=1),"",'計算（触らない）'!$Z91)</f>
        <v/>
      </c>
      <c r="Q91" s="29">
        <f>IF(OR('計算（触らない）'!$W91=0,'計算（触らない）'!$AE91=1),"",'計算（触らない）'!$AC91)</f>
        <v/>
      </c>
      <c r="R91" s="29">
        <f>IF(OR('計算（触らない）'!$W91=0,'計算（触らない）'!$AE91=1),"",'計算（触らない）'!$Y91)</f>
        <v/>
      </c>
      <c r="S91" s="32">
        <f>IF('計算（触らない）'!$B91=0,"",IF('計算（触らない）'!$AH91&lt;&gt;"",'計算（触らない）'!$AH91,TRIM('計算（触らない）'!$AI91&amp;'計算（触らない）'!$AJ91&amp;'計算（触らない）'!$AK91)))</f>
        <v/>
      </c>
      <c r="T91" s="68">
        <f>IF(OR('計算（触らない）'!$AH91&lt;&gt;"",'計算（触らない）'!$AI91&lt;&gt;""),1,0)</f>
        <v/>
      </c>
    </row>
    <row r="92" ht="30" customHeight="1">
      <c r="A92" s="21" t="n">
        <v>87</v>
      </c>
      <c r="B92" s="22" t="n"/>
      <c r="C92" s="22" t="n"/>
      <c r="D92" s="23" t="n"/>
      <c r="E92" s="24" t="n"/>
      <c r="F92" s="24" t="n"/>
      <c r="G92" s="25" t="n"/>
      <c r="H92" s="22" t="n"/>
      <c r="I92" s="26" t="n"/>
      <c r="J92" s="27" t="n"/>
      <c r="K92" s="24" t="n"/>
      <c r="L92" s="28" t="n"/>
      <c r="M92" s="29">
        <f>IF(OR('計算（触らない）'!$W92=0,'計算（触らない）'!$AE92=1),"",'計算（触らない）'!$X92)</f>
        <v/>
      </c>
      <c r="N92" s="30">
        <f>IF(OR('計算（触らない）'!$W92=0,'計算（触らない）'!$AE92=1),"",IF('計算（触らない）'!$F92&gt;2,"―",IF('計算（触らない）'!$AB92=0,"",'計算（触らない）'!$AB92)))</f>
        <v/>
      </c>
      <c r="O92" s="31">
        <f>IF(OR('計算（触らない）'!$W92=0,'計算（触らない）'!$AE92=1),"",'計算（触らない）'!$AO92)</f>
        <v/>
      </c>
      <c r="P92" s="29">
        <f>IF(OR('計算（触らない）'!$W92=0,'計算（触らない）'!$AE92=1),"",'計算（触らない）'!$Z92)</f>
        <v/>
      </c>
      <c r="Q92" s="29">
        <f>IF(OR('計算（触らない）'!$W92=0,'計算（触らない）'!$AE92=1),"",'計算（触らない）'!$AC92)</f>
        <v/>
      </c>
      <c r="R92" s="29">
        <f>IF(OR('計算（触らない）'!$W92=0,'計算（触らない）'!$AE92=1),"",'計算（触らない）'!$Y92)</f>
        <v/>
      </c>
      <c r="S92" s="32">
        <f>IF('計算（触らない）'!$B92=0,"",IF('計算（触らない）'!$AH92&lt;&gt;"",'計算（触らない）'!$AH92,TRIM('計算（触らない）'!$AI92&amp;'計算（触らない）'!$AJ92&amp;'計算（触らない）'!$AK92)))</f>
        <v/>
      </c>
      <c r="T92" s="68">
        <f>IF(OR('計算（触らない）'!$AH92&lt;&gt;"",'計算（触らない）'!$AI92&lt;&gt;""),1,0)</f>
        <v/>
      </c>
    </row>
    <row r="93" ht="30" customHeight="1">
      <c r="A93" s="21" t="n">
        <v>88</v>
      </c>
      <c r="B93" s="22" t="n"/>
      <c r="C93" s="22" t="n"/>
      <c r="D93" s="23" t="n"/>
      <c r="E93" s="24" t="n"/>
      <c r="F93" s="24" t="n"/>
      <c r="G93" s="25" t="n"/>
      <c r="H93" s="22" t="n"/>
      <c r="I93" s="26" t="n"/>
      <c r="J93" s="27" t="n"/>
      <c r="K93" s="24" t="n"/>
      <c r="L93" s="28" t="n"/>
      <c r="M93" s="29">
        <f>IF(OR('計算（触らない）'!$W93=0,'計算（触らない）'!$AE93=1),"",'計算（触らない）'!$X93)</f>
        <v/>
      </c>
      <c r="N93" s="30">
        <f>IF(OR('計算（触らない）'!$W93=0,'計算（触らない）'!$AE93=1),"",IF('計算（触らない）'!$F93&gt;2,"―",IF('計算（触らない）'!$AB93=0,"",'計算（触らない）'!$AB93)))</f>
        <v/>
      </c>
      <c r="O93" s="31">
        <f>IF(OR('計算（触らない）'!$W93=0,'計算（触らない）'!$AE93=1),"",'計算（触らない）'!$AO93)</f>
        <v/>
      </c>
      <c r="P93" s="29">
        <f>IF(OR('計算（触らない）'!$W93=0,'計算（触らない）'!$AE93=1),"",'計算（触らない）'!$Z93)</f>
        <v/>
      </c>
      <c r="Q93" s="29">
        <f>IF(OR('計算（触らない）'!$W93=0,'計算（触らない）'!$AE93=1),"",'計算（触らない）'!$AC93)</f>
        <v/>
      </c>
      <c r="R93" s="29">
        <f>IF(OR('計算（触らない）'!$W93=0,'計算（触らない）'!$AE93=1),"",'計算（触らない）'!$Y93)</f>
        <v/>
      </c>
      <c r="S93" s="32">
        <f>IF('計算（触らない）'!$B93=0,"",IF('計算（触らない）'!$AH93&lt;&gt;"",'計算（触らない）'!$AH93,TRIM('計算（触らない）'!$AI93&amp;'計算（触らない）'!$AJ93&amp;'計算（触らない）'!$AK93)))</f>
        <v/>
      </c>
      <c r="T93" s="68">
        <f>IF(OR('計算（触らない）'!$AH93&lt;&gt;"",'計算（触らない）'!$AI93&lt;&gt;""),1,0)</f>
        <v/>
      </c>
    </row>
    <row r="94" ht="30" customHeight="1">
      <c r="A94" s="21" t="n">
        <v>89</v>
      </c>
      <c r="B94" s="22" t="n"/>
      <c r="C94" s="22" t="n"/>
      <c r="D94" s="23" t="n"/>
      <c r="E94" s="24" t="n"/>
      <c r="F94" s="24" t="n"/>
      <c r="G94" s="25" t="n"/>
      <c r="H94" s="22" t="n"/>
      <c r="I94" s="26" t="n"/>
      <c r="J94" s="27" t="n"/>
      <c r="K94" s="24" t="n"/>
      <c r="L94" s="28" t="n"/>
      <c r="M94" s="29">
        <f>IF(OR('計算（触らない）'!$W94=0,'計算（触らない）'!$AE94=1),"",'計算（触らない）'!$X94)</f>
        <v/>
      </c>
      <c r="N94" s="30">
        <f>IF(OR('計算（触らない）'!$W94=0,'計算（触らない）'!$AE94=1),"",IF('計算（触らない）'!$F94&gt;2,"―",IF('計算（触らない）'!$AB94=0,"",'計算（触らない）'!$AB94)))</f>
        <v/>
      </c>
      <c r="O94" s="31">
        <f>IF(OR('計算（触らない）'!$W94=0,'計算（触らない）'!$AE94=1),"",'計算（触らない）'!$AO94)</f>
        <v/>
      </c>
      <c r="P94" s="29">
        <f>IF(OR('計算（触らない）'!$W94=0,'計算（触らない）'!$AE94=1),"",'計算（触らない）'!$Z94)</f>
        <v/>
      </c>
      <c r="Q94" s="29">
        <f>IF(OR('計算（触らない）'!$W94=0,'計算（触らない）'!$AE94=1),"",'計算（触らない）'!$AC94)</f>
        <v/>
      </c>
      <c r="R94" s="29">
        <f>IF(OR('計算（触らない）'!$W94=0,'計算（触らない）'!$AE94=1),"",'計算（触らない）'!$Y94)</f>
        <v/>
      </c>
      <c r="S94" s="32">
        <f>IF('計算（触らない）'!$B94=0,"",IF('計算（触らない）'!$AH94&lt;&gt;"",'計算（触らない）'!$AH94,TRIM('計算（触らない）'!$AI94&amp;'計算（触らない）'!$AJ94&amp;'計算（触らない）'!$AK94)))</f>
        <v/>
      </c>
      <c r="T94" s="68">
        <f>IF(OR('計算（触らない）'!$AH94&lt;&gt;"",'計算（触らない）'!$AI94&lt;&gt;""),1,0)</f>
        <v/>
      </c>
    </row>
    <row r="95" ht="30" customHeight="1">
      <c r="A95" s="21" t="n">
        <v>90</v>
      </c>
      <c r="B95" s="22" t="n"/>
      <c r="C95" s="22" t="n"/>
      <c r="D95" s="23" t="n"/>
      <c r="E95" s="24" t="n"/>
      <c r="F95" s="24" t="n"/>
      <c r="G95" s="25" t="n"/>
      <c r="H95" s="22" t="n"/>
      <c r="I95" s="26" t="n"/>
      <c r="J95" s="27" t="n"/>
      <c r="K95" s="24" t="n"/>
      <c r="L95" s="28" t="n"/>
      <c r="M95" s="29">
        <f>IF(OR('計算（触らない）'!$W95=0,'計算（触らない）'!$AE95=1),"",'計算（触らない）'!$X95)</f>
        <v/>
      </c>
      <c r="N95" s="30">
        <f>IF(OR('計算（触らない）'!$W95=0,'計算（触らない）'!$AE95=1),"",IF('計算（触らない）'!$F95&gt;2,"―",IF('計算（触らない）'!$AB95=0,"",'計算（触らない）'!$AB95)))</f>
        <v/>
      </c>
      <c r="O95" s="31">
        <f>IF(OR('計算（触らない）'!$W95=0,'計算（触らない）'!$AE95=1),"",'計算（触らない）'!$AO95)</f>
        <v/>
      </c>
      <c r="P95" s="29">
        <f>IF(OR('計算（触らない）'!$W95=0,'計算（触らない）'!$AE95=1),"",'計算（触らない）'!$Z95)</f>
        <v/>
      </c>
      <c r="Q95" s="29">
        <f>IF(OR('計算（触らない）'!$W95=0,'計算（触らない）'!$AE95=1),"",'計算（触らない）'!$AC95)</f>
        <v/>
      </c>
      <c r="R95" s="29">
        <f>IF(OR('計算（触らない）'!$W95=0,'計算（触らない）'!$AE95=1),"",'計算（触らない）'!$Y95)</f>
        <v/>
      </c>
      <c r="S95" s="32">
        <f>IF('計算（触らない）'!$B95=0,"",IF('計算（触らない）'!$AH95&lt;&gt;"",'計算（触らない）'!$AH95,TRIM('計算（触らない）'!$AI95&amp;'計算（触らない）'!$AJ95&amp;'計算（触らない）'!$AK95)))</f>
        <v/>
      </c>
      <c r="T95" s="68">
        <f>IF(OR('計算（触らない）'!$AH95&lt;&gt;"",'計算（触らない）'!$AI95&lt;&gt;""),1,0)</f>
        <v/>
      </c>
    </row>
    <row r="96" ht="30" customHeight="1">
      <c r="A96" s="21" t="n">
        <v>91</v>
      </c>
      <c r="B96" s="22" t="n"/>
      <c r="C96" s="22" t="n"/>
      <c r="D96" s="23" t="n"/>
      <c r="E96" s="24" t="n"/>
      <c r="F96" s="24" t="n"/>
      <c r="G96" s="25" t="n"/>
      <c r="H96" s="22" t="n"/>
      <c r="I96" s="26" t="n"/>
      <c r="J96" s="27" t="n"/>
      <c r="K96" s="24" t="n"/>
      <c r="L96" s="28" t="n"/>
      <c r="M96" s="29">
        <f>IF(OR('計算（触らない）'!$W96=0,'計算（触らない）'!$AE96=1),"",'計算（触らない）'!$X96)</f>
        <v/>
      </c>
      <c r="N96" s="30">
        <f>IF(OR('計算（触らない）'!$W96=0,'計算（触らない）'!$AE96=1),"",IF('計算（触らない）'!$F96&gt;2,"―",IF('計算（触らない）'!$AB96=0,"",'計算（触らない）'!$AB96)))</f>
        <v/>
      </c>
      <c r="O96" s="31">
        <f>IF(OR('計算（触らない）'!$W96=0,'計算（触らない）'!$AE96=1),"",'計算（触らない）'!$AO96)</f>
        <v/>
      </c>
      <c r="P96" s="29">
        <f>IF(OR('計算（触らない）'!$W96=0,'計算（触らない）'!$AE96=1),"",'計算（触らない）'!$Z96)</f>
        <v/>
      </c>
      <c r="Q96" s="29">
        <f>IF(OR('計算（触らない）'!$W96=0,'計算（触らない）'!$AE96=1),"",'計算（触らない）'!$AC96)</f>
        <v/>
      </c>
      <c r="R96" s="29">
        <f>IF(OR('計算（触らない）'!$W96=0,'計算（触らない）'!$AE96=1),"",'計算（触らない）'!$Y96)</f>
        <v/>
      </c>
      <c r="S96" s="32">
        <f>IF('計算（触らない）'!$B96=0,"",IF('計算（触らない）'!$AH96&lt;&gt;"",'計算（触らない）'!$AH96,TRIM('計算（触らない）'!$AI96&amp;'計算（触らない）'!$AJ96&amp;'計算（触らない）'!$AK96)))</f>
        <v/>
      </c>
      <c r="T96" s="68">
        <f>IF(OR('計算（触らない）'!$AH96&lt;&gt;"",'計算（触らない）'!$AI96&lt;&gt;""),1,0)</f>
        <v/>
      </c>
    </row>
    <row r="97" ht="30" customHeight="1">
      <c r="A97" s="21" t="n">
        <v>92</v>
      </c>
      <c r="B97" s="22" t="n"/>
      <c r="C97" s="22" t="n"/>
      <c r="D97" s="23" t="n"/>
      <c r="E97" s="24" t="n"/>
      <c r="F97" s="24" t="n"/>
      <c r="G97" s="25" t="n"/>
      <c r="H97" s="22" t="n"/>
      <c r="I97" s="26" t="n"/>
      <c r="J97" s="27" t="n"/>
      <c r="K97" s="24" t="n"/>
      <c r="L97" s="28" t="n"/>
      <c r="M97" s="29">
        <f>IF(OR('計算（触らない）'!$W97=0,'計算（触らない）'!$AE97=1),"",'計算（触らない）'!$X97)</f>
        <v/>
      </c>
      <c r="N97" s="30">
        <f>IF(OR('計算（触らない）'!$W97=0,'計算（触らない）'!$AE97=1),"",IF('計算（触らない）'!$F97&gt;2,"―",IF('計算（触らない）'!$AB97=0,"",'計算（触らない）'!$AB97)))</f>
        <v/>
      </c>
      <c r="O97" s="31">
        <f>IF(OR('計算（触らない）'!$W97=0,'計算（触らない）'!$AE97=1),"",'計算（触らない）'!$AO97)</f>
        <v/>
      </c>
      <c r="P97" s="29">
        <f>IF(OR('計算（触らない）'!$W97=0,'計算（触らない）'!$AE97=1),"",'計算（触らない）'!$Z97)</f>
        <v/>
      </c>
      <c r="Q97" s="29">
        <f>IF(OR('計算（触らない）'!$W97=0,'計算（触らない）'!$AE97=1),"",'計算（触らない）'!$AC97)</f>
        <v/>
      </c>
      <c r="R97" s="29">
        <f>IF(OR('計算（触らない）'!$W97=0,'計算（触らない）'!$AE97=1),"",'計算（触らない）'!$Y97)</f>
        <v/>
      </c>
      <c r="S97" s="32">
        <f>IF('計算（触らない）'!$B97=0,"",IF('計算（触らない）'!$AH97&lt;&gt;"",'計算（触らない）'!$AH97,TRIM('計算（触らない）'!$AI97&amp;'計算（触らない）'!$AJ97&amp;'計算（触らない）'!$AK97)))</f>
        <v/>
      </c>
      <c r="T97" s="68">
        <f>IF(OR('計算（触らない）'!$AH97&lt;&gt;"",'計算（触らない）'!$AI97&lt;&gt;""),1,0)</f>
        <v/>
      </c>
    </row>
    <row r="98" ht="30" customHeight="1">
      <c r="A98" s="21" t="n">
        <v>93</v>
      </c>
      <c r="B98" s="22" t="n"/>
      <c r="C98" s="22" t="n"/>
      <c r="D98" s="23" t="n"/>
      <c r="E98" s="24" t="n"/>
      <c r="F98" s="24" t="n"/>
      <c r="G98" s="25" t="n"/>
      <c r="H98" s="22" t="n"/>
      <c r="I98" s="26" t="n"/>
      <c r="J98" s="27" t="n"/>
      <c r="K98" s="24" t="n"/>
      <c r="L98" s="28" t="n"/>
      <c r="M98" s="29">
        <f>IF(OR('計算（触らない）'!$W98=0,'計算（触らない）'!$AE98=1),"",'計算（触らない）'!$X98)</f>
        <v/>
      </c>
      <c r="N98" s="30">
        <f>IF(OR('計算（触らない）'!$W98=0,'計算（触らない）'!$AE98=1),"",IF('計算（触らない）'!$F98&gt;2,"―",IF('計算（触らない）'!$AB98=0,"",'計算（触らない）'!$AB98)))</f>
        <v/>
      </c>
      <c r="O98" s="31">
        <f>IF(OR('計算（触らない）'!$W98=0,'計算（触らない）'!$AE98=1),"",'計算（触らない）'!$AO98)</f>
        <v/>
      </c>
      <c r="P98" s="29">
        <f>IF(OR('計算（触らない）'!$W98=0,'計算（触らない）'!$AE98=1),"",'計算（触らない）'!$Z98)</f>
        <v/>
      </c>
      <c r="Q98" s="29">
        <f>IF(OR('計算（触らない）'!$W98=0,'計算（触らない）'!$AE98=1),"",'計算（触らない）'!$AC98)</f>
        <v/>
      </c>
      <c r="R98" s="29">
        <f>IF(OR('計算（触らない）'!$W98=0,'計算（触らない）'!$AE98=1),"",'計算（触らない）'!$Y98)</f>
        <v/>
      </c>
      <c r="S98" s="32">
        <f>IF('計算（触らない）'!$B98=0,"",IF('計算（触らない）'!$AH98&lt;&gt;"",'計算（触らない）'!$AH98,TRIM('計算（触らない）'!$AI98&amp;'計算（触らない）'!$AJ98&amp;'計算（触らない）'!$AK98)))</f>
        <v/>
      </c>
      <c r="T98" s="68">
        <f>IF(OR('計算（触らない）'!$AH98&lt;&gt;"",'計算（触らない）'!$AI98&lt;&gt;""),1,0)</f>
        <v/>
      </c>
    </row>
    <row r="99" ht="30" customHeight="1">
      <c r="A99" s="21" t="n">
        <v>94</v>
      </c>
      <c r="B99" s="22" t="n"/>
      <c r="C99" s="22" t="n"/>
      <c r="D99" s="23" t="n"/>
      <c r="E99" s="24" t="n"/>
      <c r="F99" s="24" t="n"/>
      <c r="G99" s="25" t="n"/>
      <c r="H99" s="22" t="n"/>
      <c r="I99" s="26" t="n"/>
      <c r="J99" s="27" t="n"/>
      <c r="K99" s="24" t="n"/>
      <c r="L99" s="28" t="n"/>
      <c r="M99" s="29">
        <f>IF(OR('計算（触らない）'!$W99=0,'計算（触らない）'!$AE99=1),"",'計算（触らない）'!$X99)</f>
        <v/>
      </c>
      <c r="N99" s="30">
        <f>IF(OR('計算（触らない）'!$W99=0,'計算（触らない）'!$AE99=1),"",IF('計算（触らない）'!$F99&gt;2,"―",IF('計算（触らない）'!$AB99=0,"",'計算（触らない）'!$AB99)))</f>
        <v/>
      </c>
      <c r="O99" s="31">
        <f>IF(OR('計算（触らない）'!$W99=0,'計算（触らない）'!$AE99=1),"",'計算（触らない）'!$AO99)</f>
        <v/>
      </c>
      <c r="P99" s="29">
        <f>IF(OR('計算（触らない）'!$W99=0,'計算（触らない）'!$AE99=1),"",'計算（触らない）'!$Z99)</f>
        <v/>
      </c>
      <c r="Q99" s="29">
        <f>IF(OR('計算（触らない）'!$W99=0,'計算（触らない）'!$AE99=1),"",'計算（触らない）'!$AC99)</f>
        <v/>
      </c>
      <c r="R99" s="29">
        <f>IF(OR('計算（触らない）'!$W99=0,'計算（触らない）'!$AE99=1),"",'計算（触らない）'!$Y99)</f>
        <v/>
      </c>
      <c r="S99" s="32">
        <f>IF('計算（触らない）'!$B99=0,"",IF('計算（触らない）'!$AH99&lt;&gt;"",'計算（触らない）'!$AH99,TRIM('計算（触らない）'!$AI99&amp;'計算（触らない）'!$AJ99&amp;'計算（触らない）'!$AK99)))</f>
        <v/>
      </c>
      <c r="T99" s="68">
        <f>IF(OR('計算（触らない）'!$AH99&lt;&gt;"",'計算（触らない）'!$AI99&lt;&gt;""),1,0)</f>
        <v/>
      </c>
    </row>
    <row r="100" ht="30" customHeight="1">
      <c r="A100" s="21" t="n">
        <v>95</v>
      </c>
      <c r="B100" s="22" t="n"/>
      <c r="C100" s="22" t="n"/>
      <c r="D100" s="23" t="n"/>
      <c r="E100" s="24" t="n"/>
      <c r="F100" s="24" t="n"/>
      <c r="G100" s="25" t="n"/>
      <c r="H100" s="22" t="n"/>
      <c r="I100" s="26" t="n"/>
      <c r="J100" s="27" t="n"/>
      <c r="K100" s="24" t="n"/>
      <c r="L100" s="28" t="n"/>
      <c r="M100" s="29">
        <f>IF(OR('計算（触らない）'!$W100=0,'計算（触らない）'!$AE100=1),"",'計算（触らない）'!$X100)</f>
        <v/>
      </c>
      <c r="N100" s="30">
        <f>IF(OR('計算（触らない）'!$W100=0,'計算（触らない）'!$AE100=1),"",IF('計算（触らない）'!$F100&gt;2,"―",IF('計算（触らない）'!$AB100=0,"",'計算（触らない）'!$AB100)))</f>
        <v/>
      </c>
      <c r="O100" s="31">
        <f>IF(OR('計算（触らない）'!$W100=0,'計算（触らない）'!$AE100=1),"",'計算（触らない）'!$AO100)</f>
        <v/>
      </c>
      <c r="P100" s="29">
        <f>IF(OR('計算（触らない）'!$W100=0,'計算（触らない）'!$AE100=1),"",'計算（触らない）'!$Z100)</f>
        <v/>
      </c>
      <c r="Q100" s="29">
        <f>IF(OR('計算（触らない）'!$W100=0,'計算（触らない）'!$AE100=1),"",'計算（触らない）'!$AC100)</f>
        <v/>
      </c>
      <c r="R100" s="29">
        <f>IF(OR('計算（触らない）'!$W100=0,'計算（触らない）'!$AE100=1),"",'計算（触らない）'!$Y100)</f>
        <v/>
      </c>
      <c r="S100" s="32">
        <f>IF('計算（触らない）'!$B100=0,"",IF('計算（触らない）'!$AH100&lt;&gt;"",'計算（触らない）'!$AH100,TRIM('計算（触らない）'!$AI100&amp;'計算（触らない）'!$AJ100&amp;'計算（触らない）'!$AK100)))</f>
        <v/>
      </c>
      <c r="T100" s="68">
        <f>IF(OR('計算（触らない）'!$AH100&lt;&gt;"",'計算（触らない）'!$AI100&lt;&gt;""),1,0)</f>
        <v/>
      </c>
    </row>
    <row r="101" ht="30" customHeight="1">
      <c r="A101" s="21" t="n">
        <v>96</v>
      </c>
      <c r="B101" s="22" t="n"/>
      <c r="C101" s="22" t="n"/>
      <c r="D101" s="23" t="n"/>
      <c r="E101" s="24" t="n"/>
      <c r="F101" s="24" t="n"/>
      <c r="G101" s="25" t="n"/>
      <c r="H101" s="22" t="n"/>
      <c r="I101" s="26" t="n"/>
      <c r="J101" s="27" t="n"/>
      <c r="K101" s="24" t="n"/>
      <c r="L101" s="28" t="n"/>
      <c r="M101" s="29">
        <f>IF(OR('計算（触らない）'!$W101=0,'計算（触らない）'!$AE101=1),"",'計算（触らない）'!$X101)</f>
        <v/>
      </c>
      <c r="N101" s="30">
        <f>IF(OR('計算（触らない）'!$W101=0,'計算（触らない）'!$AE101=1),"",IF('計算（触らない）'!$F101&gt;2,"―",IF('計算（触らない）'!$AB101=0,"",'計算（触らない）'!$AB101)))</f>
        <v/>
      </c>
      <c r="O101" s="31">
        <f>IF(OR('計算（触らない）'!$W101=0,'計算（触らない）'!$AE101=1),"",'計算（触らない）'!$AO101)</f>
        <v/>
      </c>
      <c r="P101" s="29">
        <f>IF(OR('計算（触らない）'!$W101=0,'計算（触らない）'!$AE101=1),"",'計算（触らない）'!$Z101)</f>
        <v/>
      </c>
      <c r="Q101" s="29">
        <f>IF(OR('計算（触らない）'!$W101=0,'計算（触らない）'!$AE101=1),"",'計算（触らない）'!$AC101)</f>
        <v/>
      </c>
      <c r="R101" s="29">
        <f>IF(OR('計算（触らない）'!$W101=0,'計算（触らない）'!$AE101=1),"",'計算（触らない）'!$Y101)</f>
        <v/>
      </c>
      <c r="S101" s="32">
        <f>IF('計算（触らない）'!$B101=0,"",IF('計算（触らない）'!$AH101&lt;&gt;"",'計算（触らない）'!$AH101,TRIM('計算（触らない）'!$AI101&amp;'計算（触らない）'!$AJ101&amp;'計算（触らない）'!$AK101)))</f>
        <v/>
      </c>
      <c r="T101" s="68">
        <f>IF(OR('計算（触らない）'!$AH101&lt;&gt;"",'計算（触らない）'!$AI101&lt;&gt;""),1,0)</f>
        <v/>
      </c>
    </row>
    <row r="102" ht="30" customHeight="1">
      <c r="A102" s="21" t="n">
        <v>97</v>
      </c>
      <c r="B102" s="22" t="n"/>
      <c r="C102" s="22" t="n"/>
      <c r="D102" s="23" t="n"/>
      <c r="E102" s="24" t="n"/>
      <c r="F102" s="24" t="n"/>
      <c r="G102" s="25" t="n"/>
      <c r="H102" s="22" t="n"/>
      <c r="I102" s="26" t="n"/>
      <c r="J102" s="27" t="n"/>
      <c r="K102" s="24" t="n"/>
      <c r="L102" s="28" t="n"/>
      <c r="M102" s="29">
        <f>IF(OR('計算（触らない）'!$W102=0,'計算（触らない）'!$AE102=1),"",'計算（触らない）'!$X102)</f>
        <v/>
      </c>
      <c r="N102" s="30">
        <f>IF(OR('計算（触らない）'!$W102=0,'計算（触らない）'!$AE102=1),"",IF('計算（触らない）'!$F102&gt;2,"―",IF('計算（触らない）'!$AB102=0,"",'計算（触らない）'!$AB102)))</f>
        <v/>
      </c>
      <c r="O102" s="31">
        <f>IF(OR('計算（触らない）'!$W102=0,'計算（触らない）'!$AE102=1),"",'計算（触らない）'!$AO102)</f>
        <v/>
      </c>
      <c r="P102" s="29">
        <f>IF(OR('計算（触らない）'!$W102=0,'計算（触らない）'!$AE102=1),"",'計算（触らない）'!$Z102)</f>
        <v/>
      </c>
      <c r="Q102" s="29">
        <f>IF(OR('計算（触らない）'!$W102=0,'計算（触らない）'!$AE102=1),"",'計算（触らない）'!$AC102)</f>
        <v/>
      </c>
      <c r="R102" s="29">
        <f>IF(OR('計算（触らない）'!$W102=0,'計算（触らない）'!$AE102=1),"",'計算（触らない）'!$Y102)</f>
        <v/>
      </c>
      <c r="S102" s="32">
        <f>IF('計算（触らない）'!$B102=0,"",IF('計算（触らない）'!$AH102&lt;&gt;"",'計算（触らない）'!$AH102,TRIM('計算（触らない）'!$AI102&amp;'計算（触らない）'!$AJ102&amp;'計算（触らない）'!$AK102)))</f>
        <v/>
      </c>
      <c r="T102" s="68">
        <f>IF(OR('計算（触らない）'!$AH102&lt;&gt;"",'計算（触らない）'!$AI102&lt;&gt;""),1,0)</f>
        <v/>
      </c>
    </row>
    <row r="103" ht="30" customHeight="1">
      <c r="A103" s="21" t="n">
        <v>98</v>
      </c>
      <c r="B103" s="22" t="n"/>
      <c r="C103" s="22" t="n"/>
      <c r="D103" s="23" t="n"/>
      <c r="E103" s="24" t="n"/>
      <c r="F103" s="24" t="n"/>
      <c r="G103" s="25" t="n"/>
      <c r="H103" s="22" t="n"/>
      <c r="I103" s="26" t="n"/>
      <c r="J103" s="27" t="n"/>
      <c r="K103" s="24" t="n"/>
      <c r="L103" s="28" t="n"/>
      <c r="M103" s="29">
        <f>IF(OR('計算（触らない）'!$W103=0,'計算（触らない）'!$AE103=1),"",'計算（触らない）'!$X103)</f>
        <v/>
      </c>
      <c r="N103" s="30">
        <f>IF(OR('計算（触らない）'!$W103=0,'計算（触らない）'!$AE103=1),"",IF('計算（触らない）'!$F103&gt;2,"―",IF('計算（触らない）'!$AB103=0,"",'計算（触らない）'!$AB103)))</f>
        <v/>
      </c>
      <c r="O103" s="31">
        <f>IF(OR('計算（触らない）'!$W103=0,'計算（触らない）'!$AE103=1),"",'計算（触らない）'!$AO103)</f>
        <v/>
      </c>
      <c r="P103" s="29">
        <f>IF(OR('計算（触らない）'!$W103=0,'計算（触らない）'!$AE103=1),"",'計算（触らない）'!$Z103)</f>
        <v/>
      </c>
      <c r="Q103" s="29">
        <f>IF(OR('計算（触らない）'!$W103=0,'計算（触らない）'!$AE103=1),"",'計算（触らない）'!$AC103)</f>
        <v/>
      </c>
      <c r="R103" s="29">
        <f>IF(OR('計算（触らない）'!$W103=0,'計算（触らない）'!$AE103=1),"",'計算（触らない）'!$Y103)</f>
        <v/>
      </c>
      <c r="S103" s="32">
        <f>IF('計算（触らない）'!$B103=0,"",IF('計算（触らない）'!$AH103&lt;&gt;"",'計算（触らない）'!$AH103,TRIM('計算（触らない）'!$AI103&amp;'計算（触らない）'!$AJ103&amp;'計算（触らない）'!$AK103)))</f>
        <v/>
      </c>
      <c r="T103" s="68">
        <f>IF(OR('計算（触らない）'!$AH103&lt;&gt;"",'計算（触らない）'!$AI103&lt;&gt;""),1,0)</f>
        <v/>
      </c>
    </row>
    <row r="104" ht="30" customHeight="1">
      <c r="A104" s="21" t="n">
        <v>99</v>
      </c>
      <c r="B104" s="22" t="n"/>
      <c r="C104" s="22" t="n"/>
      <c r="D104" s="23" t="n"/>
      <c r="E104" s="24" t="n"/>
      <c r="F104" s="24" t="n"/>
      <c r="G104" s="25" t="n"/>
      <c r="H104" s="22" t="n"/>
      <c r="I104" s="26" t="n"/>
      <c r="J104" s="27" t="n"/>
      <c r="K104" s="24" t="n"/>
      <c r="L104" s="28" t="n"/>
      <c r="M104" s="29">
        <f>IF(OR('計算（触らない）'!$W104=0,'計算（触らない）'!$AE104=1),"",'計算（触らない）'!$X104)</f>
        <v/>
      </c>
      <c r="N104" s="30">
        <f>IF(OR('計算（触らない）'!$W104=0,'計算（触らない）'!$AE104=1),"",IF('計算（触らない）'!$F104&gt;2,"―",IF('計算（触らない）'!$AB104=0,"",'計算（触らない）'!$AB104)))</f>
        <v/>
      </c>
      <c r="O104" s="31">
        <f>IF(OR('計算（触らない）'!$W104=0,'計算（触らない）'!$AE104=1),"",'計算（触らない）'!$AO104)</f>
        <v/>
      </c>
      <c r="P104" s="29">
        <f>IF(OR('計算（触らない）'!$W104=0,'計算（触らない）'!$AE104=1),"",'計算（触らない）'!$Z104)</f>
        <v/>
      </c>
      <c r="Q104" s="29">
        <f>IF(OR('計算（触らない）'!$W104=0,'計算（触らない）'!$AE104=1),"",'計算（触らない）'!$AC104)</f>
        <v/>
      </c>
      <c r="R104" s="29">
        <f>IF(OR('計算（触らない）'!$W104=0,'計算（触らない）'!$AE104=1),"",'計算（触らない）'!$Y104)</f>
        <v/>
      </c>
      <c r="S104" s="32">
        <f>IF('計算（触らない）'!$B104=0,"",IF('計算（触らない）'!$AH104&lt;&gt;"",'計算（触らない）'!$AH104,TRIM('計算（触らない）'!$AI104&amp;'計算（触らない）'!$AJ104&amp;'計算（触らない）'!$AK104)))</f>
        <v/>
      </c>
      <c r="T104" s="68">
        <f>IF(OR('計算（触らない）'!$AH104&lt;&gt;"",'計算（触らない）'!$AI104&lt;&gt;""),1,0)</f>
        <v/>
      </c>
    </row>
    <row r="105" ht="30" customHeight="1">
      <c r="A105" s="21" t="n">
        <v>100</v>
      </c>
      <c r="B105" s="22" t="n"/>
      <c r="C105" s="22" t="n"/>
      <c r="D105" s="23" t="n"/>
      <c r="E105" s="24" t="n"/>
      <c r="F105" s="24" t="n"/>
      <c r="G105" s="25" t="n"/>
      <c r="H105" s="22" t="n"/>
      <c r="I105" s="26" t="n"/>
      <c r="J105" s="27" t="n"/>
      <c r="K105" s="24" t="n"/>
      <c r="L105" s="28" t="n"/>
      <c r="M105" s="29">
        <f>IF(OR('計算（触らない）'!$W105=0,'計算（触らない）'!$AE105=1),"",'計算（触らない）'!$X105)</f>
        <v/>
      </c>
      <c r="N105" s="30">
        <f>IF(OR('計算（触らない）'!$W105=0,'計算（触らない）'!$AE105=1),"",IF('計算（触らない）'!$F105&gt;2,"―",IF('計算（触らない）'!$AB105=0,"",'計算（触らない）'!$AB105)))</f>
        <v/>
      </c>
      <c r="O105" s="31">
        <f>IF(OR('計算（触らない）'!$W105=0,'計算（触らない）'!$AE105=1),"",'計算（触らない）'!$AO105)</f>
        <v/>
      </c>
      <c r="P105" s="29">
        <f>IF(OR('計算（触らない）'!$W105=0,'計算（触らない）'!$AE105=1),"",'計算（触らない）'!$Z105)</f>
        <v/>
      </c>
      <c r="Q105" s="29">
        <f>IF(OR('計算（触らない）'!$W105=0,'計算（触らない）'!$AE105=1),"",'計算（触らない）'!$AC105)</f>
        <v/>
      </c>
      <c r="R105" s="29">
        <f>IF(OR('計算（触らない）'!$W105=0,'計算（触らない）'!$AE105=1),"",'計算（触らない）'!$Y105)</f>
        <v/>
      </c>
      <c r="S105" s="32">
        <f>IF('計算（触らない）'!$B105=0,"",IF('計算（触らない）'!$AH105&lt;&gt;"",'計算（触らない）'!$AH105,TRIM('計算（触らない）'!$AI105&amp;'計算（触らない）'!$AJ105&amp;'計算（触らない）'!$AK105)))</f>
        <v/>
      </c>
      <c r="T105" s="68">
        <f>IF(OR('計算（触らない）'!$AH105&lt;&gt;"",'計算（触らない）'!$AI105&lt;&gt;""),1,0)</f>
        <v/>
      </c>
    </row>
  </sheetData>
  <mergeCells count="7">
    <mergeCell ref="M4:O4"/>
    <mergeCell ref="A1:S1"/>
    <mergeCell ref="M3:O3"/>
    <mergeCell ref="A3:L3"/>
    <mergeCell ref="A2:S2"/>
    <mergeCell ref="A4:L4"/>
    <mergeCell ref="Q3:S3"/>
  </mergeCells>
  <conditionalFormatting sqref="S6:S105">
    <cfRule type="expression" priority="1" dxfId="0">
      <formula>$T6=1</formula>
    </cfRule>
  </conditionalFormatting>
  <conditionalFormatting sqref="P3">
    <cfRule type="expression" priority="2" dxfId="0">
      <formula>$P$3&gt;3000000</formula>
    </cfRule>
  </conditionalFormatting>
  <dataValidations count="7">
    <dataValidation sqref="C6:C105" showDropDown="0" showInputMessage="0" showErrorMessage="0" allowBlank="1" errorTitle="一覧から選んでください" error="建物・建物附属設備・構築物・機械装置・車両運搬具・工具・器具備品・無形固定資産・その他 から選びます。" promptTitle="選んでください" type="list">
      <formula1>"建物,建物附属設備,構築物,機械装置,車両運搬具,工具,器具備品,無形固定資産,その他"</formula1>
    </dataValidation>
    <dataValidation sqref="H6:H105" showDropDown="0" showInputMessage="0" showErrorMessage="0" allowBlank="1" errorTitle="一覧から選んでください" error="定額法・定率法・定率法（200%）・定率法（250%）・一括償却（3年）・少額特例 から選びます。" promptTitle="選んでください" type="list">
      <formula1>"定額法,定率法,定率法（200%）,定率法（250%）,一括償却（3年）,少額特例"</formula1>
    </dataValidation>
    <dataValidation sqref="E6:F105" showDropDown="0" showInputMessage="0" showErrorMessage="0" allowBlank="1" errorTitle="日付を入れてください" error="2026/4/1 のように日付で入れます（1990年〜2100年）。" type="date" errorStyle="warning" operator="between">
      <formula1>32874</formula1>
      <formula2>73415</formula2>
    </dataValidation>
    <dataValidation sqref="K6:K105" showDropDown="0" showInputMessage="0" showErrorMessage="0" allowBlank="1" errorTitle="日付を入れてください" error="2026/4/1 のように日付で入れます（1990年〜2100年）。" type="date" errorStyle="warning" operator="between">
      <formula1>32874</formula1>
      <formula2>73415</formula2>
    </dataValidation>
    <dataValidation sqref="G6:G105" showDropDown="0" showInputMessage="0" showErrorMessage="0" allowBlank="1" errorTitle="入力を確かめてください" error="取得価額は1円以上の整数で入れます。" type="whole" operator="between">
      <formula1>1</formula1>
      <formula2>9999999999</formula2>
    </dataValidation>
    <dataValidation sqref="I6:I105" showDropDown="0" showInputMessage="0" showErrorMessage="0" allowBlank="1" errorTitle="入力を確かめてください" error="耐用年数は 2〜100 の整数で入れます。" type="whole" operator="between">
      <formula1>2</formula1>
      <formula2>100</formula2>
    </dataValidation>
    <dataValidation sqref="J6:J105" showDropDown="0" showInputMessage="0" showErrorMessage="0" allowBlank="1" errorTitle="入力を確かめてください" error="事業専用割合は 1%〜100% で入れます（80% なら 80% と入力）。" type="decimal" operator="between">
      <formula1>0.01</formula1>
      <formula2>1</formula2>
    </dataValidation>
  </dataValidations>
  <printOptions horizontalCentered="1"/>
  <pageMargins left="0.4" right="0.4" top="0.45" bottom="0.45" header="0.2" footer="0.2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T108"/>
  <sheetViews>
    <sheetView showGridLines="0" tabSelected="0"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7" customWidth="1" min="3" max="3"/>
    <col width="9" customWidth="1" min="4" max="4"/>
    <col width="11" customWidth="1" min="5" max="5"/>
    <col width="10.5" customWidth="1" min="6" max="6"/>
    <col width="11" customWidth="1" min="7" max="7"/>
    <col width="7" customWidth="1" min="8" max="8"/>
    <col width="5.5" customWidth="1" min="9" max="9"/>
    <col width="7.5" customWidth="1" min="10" max="10"/>
    <col width="6.5" customWidth="1" min="11" max="11"/>
    <col width="11" customWidth="1" min="12" max="12"/>
    <col width="7" customWidth="1" min="13" max="13"/>
    <col width="11" customWidth="1" min="14" max="14"/>
    <col width="7" customWidth="1" min="15" max="15"/>
    <col width="11" customWidth="1" min="16" max="16"/>
    <col width="11" customWidth="1" min="17" max="17"/>
    <col width="22" customWidth="1" min="18" max="18"/>
    <col hidden="1" width="13" customWidth="1" min="20" max="20"/>
  </cols>
  <sheetData>
    <row r="1" ht="26" customHeight="1">
      <c r="A1" s="67">
        <f>IF(TRIM('設定'!$B$3)="","決算書への転記（減価償却費の計算）","決算書への転記（減価償却費の計算）　"&amp;TRIM('設定'!$B$3))</f>
        <v/>
      </c>
      <c r="B1" s="68" t="n"/>
      <c r="C1" s="68" t="n"/>
      <c r="D1" s="68" t="n"/>
      <c r="E1" s="68" t="n"/>
      <c r="F1" s="68" t="n"/>
      <c r="G1" s="68" t="n"/>
      <c r="H1" s="68" t="n"/>
      <c r="I1" s="68" t="n"/>
      <c r="J1" s="68" t="n"/>
      <c r="K1" s="68" t="n"/>
      <c r="L1" s="68" t="n"/>
      <c r="M1" s="68" t="n"/>
      <c r="N1" s="68" t="n"/>
      <c r="O1" s="68" t="n"/>
      <c r="P1" s="68" t="n"/>
      <c r="Q1" s="68" t="n"/>
      <c r="R1" s="68" t="n"/>
      <c r="S1" s="68" t="n"/>
      <c r="T1" s="68" t="n"/>
    </row>
    <row r="2">
      <c r="A2" s="76">
        <f>"計算する期間："&amp;'設定'!$B$10&amp;"　／　この年に償却した資産と、売却・除却した資産を台帳の順に並べています。"</f>
        <v/>
      </c>
      <c r="B2" s="68" t="n"/>
      <c r="C2" s="68" t="n"/>
      <c r="D2" s="68" t="n"/>
      <c r="E2" s="68" t="n"/>
      <c r="F2" s="68" t="n"/>
      <c r="G2" s="68" t="n"/>
      <c r="H2" s="68" t="n"/>
      <c r="I2" s="68" t="n"/>
      <c r="J2" s="68" t="n"/>
      <c r="K2" s="68" t="n"/>
      <c r="L2" s="68" t="n"/>
      <c r="M2" s="68" t="n"/>
      <c r="N2" s="68" t="n"/>
      <c r="O2" s="68" t="n"/>
      <c r="P2" s="68" t="n"/>
      <c r="Q2" s="68" t="n"/>
      <c r="R2" s="68" t="n"/>
      <c r="S2" s="68" t="n"/>
      <c r="T2" s="68" t="n"/>
    </row>
    <row r="3" ht="32" customHeight="1">
      <c r="A3" s="78">
        <f>IF('計算（触らない）'!$B$1=1,"法人は、法人税申告書の別表十六（一）（定額法）・別表十六（二）（定率法）・別表十六（七）（少額特例）・別表十六（八）（一括償却資産）に書きます。この表は計算の確認用です。","（リ）の計 "&amp;TEXT(P6,"#,##0")&amp;"円を、損益計算書の「減価償却費」（⑱）に書きます。青色申告決算書3ページ「減価償却費の計算」欄へは、下の値を欄の名前どおりに写します。中古の資産は、摘要に「中古」と書き足してください。")</f>
        <v/>
      </c>
      <c r="B3" s="68" t="n"/>
      <c r="C3" s="68" t="n"/>
      <c r="D3" s="68" t="n"/>
      <c r="E3" s="68" t="n"/>
      <c r="F3" s="68" t="n"/>
      <c r="G3" s="68" t="n"/>
      <c r="H3" s="68" t="n"/>
      <c r="I3" s="68" t="n"/>
      <c r="J3" s="68" t="n"/>
      <c r="K3" s="68" t="n"/>
      <c r="L3" s="68" t="n"/>
      <c r="M3" s="68" t="n"/>
      <c r="N3" s="68" t="n"/>
      <c r="O3" s="68" t="n"/>
      <c r="P3" s="68" t="n"/>
      <c r="Q3" s="68" t="n"/>
      <c r="R3" s="68" t="n"/>
      <c r="S3" s="68" t="n"/>
      <c r="T3" s="68" t="n"/>
    </row>
    <row r="4">
      <c r="A4" s="68" t="n"/>
      <c r="B4" s="68" t="n"/>
      <c r="C4" s="68" t="n"/>
      <c r="D4" s="68" t="n"/>
      <c r="E4" s="68" t="n"/>
      <c r="F4" s="68" t="n"/>
      <c r="G4" s="68" t="n"/>
      <c r="H4" s="68" t="n"/>
      <c r="I4" s="68" t="n"/>
      <c r="J4" s="68" t="n"/>
      <c r="K4" s="68" t="n"/>
      <c r="L4" s="68" t="n"/>
      <c r="M4" s="68" t="n"/>
      <c r="N4" s="68" t="n"/>
      <c r="O4" s="68" t="n"/>
      <c r="P4" s="68" t="n"/>
      <c r="Q4" s="68" t="n"/>
      <c r="R4" s="68" t="n"/>
      <c r="S4" s="68" t="n"/>
      <c r="T4" s="68" t="n"/>
    </row>
    <row r="5" ht="54" customHeight="1">
      <c r="A5" s="20" t="inlineStr">
        <is>
          <t>台帳の番号</t>
        </is>
      </c>
      <c r="B5" s="20" t="inlineStr">
        <is>
          <t>減価償却資産の名称等</t>
        </is>
      </c>
      <c r="C5" s="20" t="inlineStr">
        <is>
          <t>面積又は数量</t>
        </is>
      </c>
      <c r="D5" s="20" t="inlineStr">
        <is>
          <t>取得年月</t>
        </is>
      </c>
      <c r="E5" s="20" t="inlineStr">
        <is>
          <t>（イ）取得価額</t>
        </is>
      </c>
      <c r="F5" s="20" t="inlineStr">
        <is>
          <t>（イ）下段
償却保証額
（定率法）</t>
        </is>
      </c>
      <c r="G5" s="20" t="inlineStr">
        <is>
          <t>（ロ）償却の基礎になる金額</t>
        </is>
      </c>
      <c r="H5" s="20" t="inlineStr">
        <is>
          <t>償却方法</t>
        </is>
      </c>
      <c r="I5" s="20" t="inlineStr">
        <is>
          <t>耐用年数</t>
        </is>
      </c>
      <c r="J5" s="20" t="inlineStr">
        <is>
          <t>（ハ）償却率又は改定償却率</t>
        </is>
      </c>
      <c r="K5" s="20" t="inlineStr">
        <is>
          <t>（ニ）本年中の償却期間</t>
        </is>
      </c>
      <c r="L5" s="20" t="inlineStr">
        <is>
          <t>（ホ）本年分の普通償却費</t>
        </is>
      </c>
      <c r="M5" s="20" t="inlineStr">
        <is>
          <t>（ヘ）割増（特別）償却費</t>
        </is>
      </c>
      <c r="N5" s="20" t="inlineStr">
        <is>
          <t>（ト）本年分の償却費合計</t>
        </is>
      </c>
      <c r="O5" s="20" t="inlineStr">
        <is>
          <t>（チ）事業専用割合</t>
        </is>
      </c>
      <c r="P5" s="20" t="inlineStr">
        <is>
          <t>（リ）本年分の必要経費算入額</t>
        </is>
      </c>
      <c r="Q5" s="20" t="inlineStr">
        <is>
          <t>（ヌ）未償却残高（期末残高）</t>
        </is>
      </c>
      <c r="R5" s="20" t="inlineStr">
        <is>
          <t>摘要</t>
        </is>
      </c>
      <c r="S5" s="68" t="n"/>
      <c r="T5" s="68" t="n"/>
    </row>
    <row r="6">
      <c r="A6" s="79" t="inlineStr">
        <is>
          <t>計</t>
        </is>
      </c>
      <c r="B6" s="77" t="n"/>
      <c r="C6" s="77" t="n"/>
      <c r="D6" s="77" t="n"/>
      <c r="E6" s="77" t="n"/>
      <c r="F6" s="77" t="n"/>
      <c r="G6" s="77" t="n"/>
      <c r="H6" s="77" t="n"/>
      <c r="I6" s="77" t="n"/>
      <c r="J6" s="77" t="n"/>
      <c r="K6" s="74" t="n"/>
      <c r="L6" s="15">
        <f>SUM(L7:L106)</f>
        <v/>
      </c>
      <c r="M6" s="36" t="n"/>
      <c r="N6" s="15">
        <f>SUM(N7:N106)</f>
        <v/>
      </c>
      <c r="O6" s="36" t="n"/>
      <c r="P6" s="15">
        <f>SUM(P7:P106)</f>
        <v/>
      </c>
      <c r="Q6" s="15">
        <f>SUM(Q7:Q106)</f>
        <v/>
      </c>
      <c r="R6" s="36" t="n"/>
      <c r="S6" s="68" t="n"/>
      <c r="T6" s="68" t="n"/>
    </row>
    <row r="7" ht="20" customHeight="1">
      <c r="A7" s="37">
        <f>IF($T7=0,"",INDEX('計算（触らない）'!$A$6:$A$105,$T7))</f>
        <v/>
      </c>
      <c r="B7" s="38">
        <f>IF($T7=0,"",INDEX('固定資産台帳'!$B$6:$B$105,$T7)&amp;"")</f>
        <v/>
      </c>
      <c r="C7" s="37">
        <f>IF($T7=0,"",INDEX('固定資産台帳'!$D$6:$D$105,$T7)&amp;"")</f>
        <v/>
      </c>
      <c r="D7" s="39">
        <f>IF($T7=0,"",INDEX('計算（触らない）'!$D$6:$D$105,$T7))</f>
        <v/>
      </c>
      <c r="E7" s="40">
        <f>IF($T7=0,"",INDEX('計算（触らない）'!$C$6:$C$105,$T7))</f>
        <v/>
      </c>
      <c r="F7" s="41">
        <f>IF($T7=0,"",IF(INDEX('計算（触らない）'!$F$6:$F$105,$T7)=2,INDEX('計算（触らない）'!$AM$6:$AM$105,$T7),""))</f>
        <v/>
      </c>
      <c r="G7" s="40">
        <f>IF($T7=0,"",IF(INDEX('計算（触らない）'!$F$6:$F$105,$T7)=4,"―",INDEX('計算（触らない）'!$AN$6:$AN$105,$T7)))</f>
        <v/>
      </c>
      <c r="H7" s="37">
        <f>IF($T7=0,"",CHOOSE(INDEX('計算（触らない）'!$F$6:$F$105,$T7),"定額法","定率法","―","―"))</f>
        <v/>
      </c>
      <c r="I7" s="37">
        <f>IF($T7=0,"",IF(INDEX('計算（触らない）'!$F$6:$F$105,$T7)&lt;=2,INDEX('計算（触らない）'!$H$6:$H$105,$T7),"―"))</f>
        <v/>
      </c>
      <c r="J7" s="42">
        <f>IF($T7=0,"",INDEX('計算（触らない）'!$AO$6:$AO$105,$T7))</f>
        <v/>
      </c>
      <c r="K7" s="37">
        <f>IF($T7=0,"",IF(AND(INDEX('計算（触らない）'!$F$6:$F$105,$T7)&lt;=2,INDEX('計算（触らない）'!$AB$6:$AB$105,$T7)&gt;0),INDEX('計算（触らない）'!$AB$6:$AB$105,$T7)&amp;"/12","―"))</f>
        <v/>
      </c>
      <c r="L7" s="40">
        <f>IF($T7=0,"",IF(INDEX('計算（触らない）'!$F$6:$F$105,$T7)=4,"―",INDEX('計算（触らない）'!$Z$6:$Z$105,$T7)))</f>
        <v/>
      </c>
      <c r="M7" s="37">
        <f>IF($T7=0,"","―")</f>
        <v/>
      </c>
      <c r="N7" s="40">
        <f>IF($T7=0,"",IF(INDEX('計算（触らない）'!$F$6:$F$105,$T7)=4,"―",INDEX('計算（触らない）'!$Z$6:$Z$105,$T7)))</f>
        <v/>
      </c>
      <c r="O7" s="43">
        <f>IF($T7=0,"",IF(AND(INDEX('計算（触らない）'!$F$6:$F$105,$T7)=4,INDEX('計算（触らない）'!$N$6:$N$105,$T7)=1),"―",INDEX('計算（触らない）'!$N$6:$N$105,$T7)))</f>
        <v/>
      </c>
      <c r="P7" s="40">
        <f>IF($T7=0,"",INDEX('計算（触らない）'!$AC$6:$AC$105,$T7))</f>
        <v/>
      </c>
      <c r="Q7" s="40">
        <f>IF($T7=0,"",IF(INDEX('計算（触らない）'!$F$6:$F$105,$T7)=4,"―",INDEX('計算（触らない）'!$Y$6:$Y$105,$T7)))</f>
        <v/>
      </c>
      <c r="R7" s="38">
        <f>IF($T7=0,"",TRIM(IF(INDEX('計算（触らない）'!$F$6:$F$105,$T7)=4,IF('計算（触らない）'!$B$1=1,"措法67の5","措法28の2"),"")&amp;IF(INDEX('計算（触らない）'!$AA$6:$AA$105,$T7)&gt;0,"改定償却","")&amp;IF(INDEX('計算（触らない）'!$AD$6:$AD$105,$T7)=1," "&amp;YEAR(INDEX('計算（触らない）'!$Q$6:$Q$105,$T7))&amp;"年"&amp;MONTH(INDEX('計算（触らない）'!$Q$6:$Q$105,$T7))&amp;"月"&amp;DAY(INDEX('計算（触らない）'!$Q$6:$Q$105,$T7))&amp;"日 売却・除却","")))</f>
        <v/>
      </c>
      <c r="S7" s="68" t="n"/>
      <c r="T7" s="68">
        <f>IFERROR(MATCH(1,'計算（触らない）'!$AG$6:$AG$105,0),0)</f>
        <v/>
      </c>
    </row>
    <row r="8" ht="20" customHeight="1">
      <c r="A8" s="37">
        <f>IF($T8=0,"",INDEX('計算（触らない）'!$A$6:$A$105,$T8))</f>
        <v/>
      </c>
      <c r="B8" s="38">
        <f>IF($T8=0,"",INDEX('固定資産台帳'!$B$6:$B$105,$T8)&amp;"")</f>
        <v/>
      </c>
      <c r="C8" s="37">
        <f>IF($T8=0,"",INDEX('固定資産台帳'!$D$6:$D$105,$T8)&amp;"")</f>
        <v/>
      </c>
      <c r="D8" s="39">
        <f>IF($T8=0,"",INDEX('計算（触らない）'!$D$6:$D$105,$T8))</f>
        <v/>
      </c>
      <c r="E8" s="40">
        <f>IF($T8=0,"",INDEX('計算（触らない）'!$C$6:$C$105,$T8))</f>
        <v/>
      </c>
      <c r="F8" s="41">
        <f>IF($T8=0,"",IF(INDEX('計算（触らない）'!$F$6:$F$105,$T8)=2,INDEX('計算（触らない）'!$AM$6:$AM$105,$T8),""))</f>
        <v/>
      </c>
      <c r="G8" s="40">
        <f>IF($T8=0,"",IF(INDEX('計算（触らない）'!$F$6:$F$105,$T8)=4,"―",INDEX('計算（触らない）'!$AN$6:$AN$105,$T8)))</f>
        <v/>
      </c>
      <c r="H8" s="37">
        <f>IF($T8=0,"",CHOOSE(INDEX('計算（触らない）'!$F$6:$F$105,$T8),"定額法","定率法","―","―"))</f>
        <v/>
      </c>
      <c r="I8" s="37">
        <f>IF($T8=0,"",IF(INDEX('計算（触らない）'!$F$6:$F$105,$T8)&lt;=2,INDEX('計算（触らない）'!$H$6:$H$105,$T8),"―"))</f>
        <v/>
      </c>
      <c r="J8" s="42">
        <f>IF($T8=0,"",INDEX('計算（触らない）'!$AO$6:$AO$105,$T8))</f>
        <v/>
      </c>
      <c r="K8" s="37">
        <f>IF($T8=0,"",IF(AND(INDEX('計算（触らない）'!$F$6:$F$105,$T8)&lt;=2,INDEX('計算（触らない）'!$AB$6:$AB$105,$T8)&gt;0),INDEX('計算（触らない）'!$AB$6:$AB$105,$T8)&amp;"/12","―"))</f>
        <v/>
      </c>
      <c r="L8" s="40">
        <f>IF($T8=0,"",IF(INDEX('計算（触らない）'!$F$6:$F$105,$T8)=4,"―",INDEX('計算（触らない）'!$Z$6:$Z$105,$T8)))</f>
        <v/>
      </c>
      <c r="M8" s="37">
        <f>IF($T8=0,"","―")</f>
        <v/>
      </c>
      <c r="N8" s="40">
        <f>IF($T8=0,"",IF(INDEX('計算（触らない）'!$F$6:$F$105,$T8)=4,"―",INDEX('計算（触らない）'!$Z$6:$Z$105,$T8)))</f>
        <v/>
      </c>
      <c r="O8" s="43">
        <f>IF($T8=0,"",IF(AND(INDEX('計算（触らない）'!$F$6:$F$105,$T8)=4,INDEX('計算（触らない）'!$N$6:$N$105,$T8)=1),"―",INDEX('計算（触らない）'!$N$6:$N$105,$T8)))</f>
        <v/>
      </c>
      <c r="P8" s="40">
        <f>IF($T8=0,"",INDEX('計算（触らない）'!$AC$6:$AC$105,$T8))</f>
        <v/>
      </c>
      <c r="Q8" s="40">
        <f>IF($T8=0,"",IF(INDEX('計算（触らない）'!$F$6:$F$105,$T8)=4,"―",INDEX('計算（触らない）'!$Y$6:$Y$105,$T8)))</f>
        <v/>
      </c>
      <c r="R8" s="38">
        <f>IF($T8=0,"",TRIM(IF(INDEX('計算（触らない）'!$F$6:$F$105,$T8)=4,IF('計算（触らない）'!$B$1=1,"措法67の5","措法28の2"),"")&amp;IF(INDEX('計算（触らない）'!$AA$6:$AA$105,$T8)&gt;0,"改定償却","")&amp;IF(INDEX('計算（触らない）'!$AD$6:$AD$105,$T8)=1," "&amp;YEAR(INDEX('計算（触らない）'!$Q$6:$Q$105,$T8))&amp;"年"&amp;MONTH(INDEX('計算（触らない）'!$Q$6:$Q$105,$T8))&amp;"月"&amp;DAY(INDEX('計算（触らない）'!$Q$6:$Q$105,$T8))&amp;"日 売却・除却","")))</f>
        <v/>
      </c>
      <c r="S8" s="68" t="n"/>
      <c r="T8" s="68">
        <f>IFERROR(MATCH(2,'計算（触らない）'!$AG$6:$AG$105,0),0)</f>
        <v/>
      </c>
    </row>
    <row r="9" ht="20" customHeight="1">
      <c r="A9" s="37">
        <f>IF($T9=0,"",INDEX('計算（触らない）'!$A$6:$A$105,$T9))</f>
        <v/>
      </c>
      <c r="B9" s="38">
        <f>IF($T9=0,"",INDEX('固定資産台帳'!$B$6:$B$105,$T9)&amp;"")</f>
        <v/>
      </c>
      <c r="C9" s="37">
        <f>IF($T9=0,"",INDEX('固定資産台帳'!$D$6:$D$105,$T9)&amp;"")</f>
        <v/>
      </c>
      <c r="D9" s="39">
        <f>IF($T9=0,"",INDEX('計算（触らない）'!$D$6:$D$105,$T9))</f>
        <v/>
      </c>
      <c r="E9" s="40">
        <f>IF($T9=0,"",INDEX('計算（触らない）'!$C$6:$C$105,$T9))</f>
        <v/>
      </c>
      <c r="F9" s="41">
        <f>IF($T9=0,"",IF(INDEX('計算（触らない）'!$F$6:$F$105,$T9)=2,INDEX('計算（触らない）'!$AM$6:$AM$105,$T9),""))</f>
        <v/>
      </c>
      <c r="G9" s="40">
        <f>IF($T9=0,"",IF(INDEX('計算（触らない）'!$F$6:$F$105,$T9)=4,"―",INDEX('計算（触らない）'!$AN$6:$AN$105,$T9)))</f>
        <v/>
      </c>
      <c r="H9" s="37">
        <f>IF($T9=0,"",CHOOSE(INDEX('計算（触らない）'!$F$6:$F$105,$T9),"定額法","定率法","―","―"))</f>
        <v/>
      </c>
      <c r="I9" s="37">
        <f>IF($T9=0,"",IF(INDEX('計算（触らない）'!$F$6:$F$105,$T9)&lt;=2,INDEX('計算（触らない）'!$H$6:$H$105,$T9),"―"))</f>
        <v/>
      </c>
      <c r="J9" s="42">
        <f>IF($T9=0,"",INDEX('計算（触らない）'!$AO$6:$AO$105,$T9))</f>
        <v/>
      </c>
      <c r="K9" s="37">
        <f>IF($T9=0,"",IF(AND(INDEX('計算（触らない）'!$F$6:$F$105,$T9)&lt;=2,INDEX('計算（触らない）'!$AB$6:$AB$105,$T9)&gt;0),INDEX('計算（触らない）'!$AB$6:$AB$105,$T9)&amp;"/12","―"))</f>
        <v/>
      </c>
      <c r="L9" s="40">
        <f>IF($T9=0,"",IF(INDEX('計算（触らない）'!$F$6:$F$105,$T9)=4,"―",INDEX('計算（触らない）'!$Z$6:$Z$105,$T9)))</f>
        <v/>
      </c>
      <c r="M9" s="37">
        <f>IF($T9=0,"","―")</f>
        <v/>
      </c>
      <c r="N9" s="40">
        <f>IF($T9=0,"",IF(INDEX('計算（触らない）'!$F$6:$F$105,$T9)=4,"―",INDEX('計算（触らない）'!$Z$6:$Z$105,$T9)))</f>
        <v/>
      </c>
      <c r="O9" s="43">
        <f>IF($T9=0,"",IF(AND(INDEX('計算（触らない）'!$F$6:$F$105,$T9)=4,INDEX('計算（触らない）'!$N$6:$N$105,$T9)=1),"―",INDEX('計算（触らない）'!$N$6:$N$105,$T9)))</f>
        <v/>
      </c>
      <c r="P9" s="40">
        <f>IF($T9=0,"",INDEX('計算（触らない）'!$AC$6:$AC$105,$T9))</f>
        <v/>
      </c>
      <c r="Q9" s="40">
        <f>IF($T9=0,"",IF(INDEX('計算（触らない）'!$F$6:$F$105,$T9)=4,"―",INDEX('計算（触らない）'!$Y$6:$Y$105,$T9)))</f>
        <v/>
      </c>
      <c r="R9" s="38">
        <f>IF($T9=0,"",TRIM(IF(INDEX('計算（触らない）'!$F$6:$F$105,$T9)=4,IF('計算（触らない）'!$B$1=1,"措法67の5","措法28の2"),"")&amp;IF(INDEX('計算（触らない）'!$AA$6:$AA$105,$T9)&gt;0,"改定償却","")&amp;IF(INDEX('計算（触らない）'!$AD$6:$AD$105,$T9)=1," "&amp;YEAR(INDEX('計算（触らない）'!$Q$6:$Q$105,$T9))&amp;"年"&amp;MONTH(INDEX('計算（触らない）'!$Q$6:$Q$105,$T9))&amp;"月"&amp;DAY(INDEX('計算（触らない）'!$Q$6:$Q$105,$T9))&amp;"日 売却・除却","")))</f>
        <v/>
      </c>
      <c r="S9" s="68" t="n"/>
      <c r="T9" s="68">
        <f>IFERROR(MATCH(3,'計算（触らない）'!$AG$6:$AG$105,0),0)</f>
        <v/>
      </c>
    </row>
    <row r="10" ht="20" customHeight="1">
      <c r="A10" s="37">
        <f>IF($T10=0,"",INDEX('計算（触らない）'!$A$6:$A$105,$T10))</f>
        <v/>
      </c>
      <c r="B10" s="38">
        <f>IF($T10=0,"",INDEX('固定資産台帳'!$B$6:$B$105,$T10)&amp;"")</f>
        <v/>
      </c>
      <c r="C10" s="37">
        <f>IF($T10=0,"",INDEX('固定資産台帳'!$D$6:$D$105,$T10)&amp;"")</f>
        <v/>
      </c>
      <c r="D10" s="39">
        <f>IF($T10=0,"",INDEX('計算（触らない）'!$D$6:$D$105,$T10))</f>
        <v/>
      </c>
      <c r="E10" s="40">
        <f>IF($T10=0,"",INDEX('計算（触らない）'!$C$6:$C$105,$T10))</f>
        <v/>
      </c>
      <c r="F10" s="41">
        <f>IF($T10=0,"",IF(INDEX('計算（触らない）'!$F$6:$F$105,$T10)=2,INDEX('計算（触らない）'!$AM$6:$AM$105,$T10),""))</f>
        <v/>
      </c>
      <c r="G10" s="40">
        <f>IF($T10=0,"",IF(INDEX('計算（触らない）'!$F$6:$F$105,$T10)=4,"―",INDEX('計算（触らない）'!$AN$6:$AN$105,$T10)))</f>
        <v/>
      </c>
      <c r="H10" s="37">
        <f>IF($T10=0,"",CHOOSE(INDEX('計算（触らない）'!$F$6:$F$105,$T10),"定額法","定率法","―","―"))</f>
        <v/>
      </c>
      <c r="I10" s="37">
        <f>IF($T10=0,"",IF(INDEX('計算（触らない）'!$F$6:$F$105,$T10)&lt;=2,INDEX('計算（触らない）'!$H$6:$H$105,$T10),"―"))</f>
        <v/>
      </c>
      <c r="J10" s="42">
        <f>IF($T10=0,"",INDEX('計算（触らない）'!$AO$6:$AO$105,$T10))</f>
        <v/>
      </c>
      <c r="K10" s="37">
        <f>IF($T10=0,"",IF(AND(INDEX('計算（触らない）'!$F$6:$F$105,$T10)&lt;=2,INDEX('計算（触らない）'!$AB$6:$AB$105,$T10)&gt;0),INDEX('計算（触らない）'!$AB$6:$AB$105,$T10)&amp;"/12","―"))</f>
        <v/>
      </c>
      <c r="L10" s="40">
        <f>IF($T10=0,"",IF(INDEX('計算（触らない）'!$F$6:$F$105,$T10)=4,"―",INDEX('計算（触らない）'!$Z$6:$Z$105,$T10)))</f>
        <v/>
      </c>
      <c r="M10" s="37">
        <f>IF($T10=0,"","―")</f>
        <v/>
      </c>
      <c r="N10" s="40">
        <f>IF($T10=0,"",IF(INDEX('計算（触らない）'!$F$6:$F$105,$T10)=4,"―",INDEX('計算（触らない）'!$Z$6:$Z$105,$T10)))</f>
        <v/>
      </c>
      <c r="O10" s="43">
        <f>IF($T10=0,"",IF(AND(INDEX('計算（触らない）'!$F$6:$F$105,$T10)=4,INDEX('計算（触らない）'!$N$6:$N$105,$T10)=1),"―",INDEX('計算（触らない）'!$N$6:$N$105,$T10)))</f>
        <v/>
      </c>
      <c r="P10" s="40">
        <f>IF($T10=0,"",INDEX('計算（触らない）'!$AC$6:$AC$105,$T10))</f>
        <v/>
      </c>
      <c r="Q10" s="40">
        <f>IF($T10=0,"",IF(INDEX('計算（触らない）'!$F$6:$F$105,$T10)=4,"―",INDEX('計算（触らない）'!$Y$6:$Y$105,$T10)))</f>
        <v/>
      </c>
      <c r="R10" s="38">
        <f>IF($T10=0,"",TRIM(IF(INDEX('計算（触らない）'!$F$6:$F$105,$T10)=4,IF('計算（触らない）'!$B$1=1,"措法67の5","措法28の2"),"")&amp;IF(INDEX('計算（触らない）'!$AA$6:$AA$105,$T10)&gt;0,"改定償却","")&amp;IF(INDEX('計算（触らない）'!$AD$6:$AD$105,$T10)=1," "&amp;YEAR(INDEX('計算（触らない）'!$Q$6:$Q$105,$T10))&amp;"年"&amp;MONTH(INDEX('計算（触らない）'!$Q$6:$Q$105,$T10))&amp;"月"&amp;DAY(INDEX('計算（触らない）'!$Q$6:$Q$105,$T10))&amp;"日 売却・除却","")))</f>
        <v/>
      </c>
      <c r="S10" s="68" t="n"/>
      <c r="T10" s="68">
        <f>IFERROR(MATCH(4,'計算（触らない）'!$AG$6:$AG$105,0),0)</f>
        <v/>
      </c>
    </row>
    <row r="11" ht="20" customHeight="1">
      <c r="A11" s="37">
        <f>IF($T11=0,"",INDEX('計算（触らない）'!$A$6:$A$105,$T11))</f>
        <v/>
      </c>
      <c r="B11" s="38">
        <f>IF($T11=0,"",INDEX('固定資産台帳'!$B$6:$B$105,$T11)&amp;"")</f>
        <v/>
      </c>
      <c r="C11" s="37">
        <f>IF($T11=0,"",INDEX('固定資産台帳'!$D$6:$D$105,$T11)&amp;"")</f>
        <v/>
      </c>
      <c r="D11" s="39">
        <f>IF($T11=0,"",INDEX('計算（触らない）'!$D$6:$D$105,$T11))</f>
        <v/>
      </c>
      <c r="E11" s="40">
        <f>IF($T11=0,"",INDEX('計算（触らない）'!$C$6:$C$105,$T11))</f>
        <v/>
      </c>
      <c r="F11" s="41">
        <f>IF($T11=0,"",IF(INDEX('計算（触らない）'!$F$6:$F$105,$T11)=2,INDEX('計算（触らない）'!$AM$6:$AM$105,$T11),""))</f>
        <v/>
      </c>
      <c r="G11" s="40">
        <f>IF($T11=0,"",IF(INDEX('計算（触らない）'!$F$6:$F$105,$T11)=4,"―",INDEX('計算（触らない）'!$AN$6:$AN$105,$T11)))</f>
        <v/>
      </c>
      <c r="H11" s="37">
        <f>IF($T11=0,"",CHOOSE(INDEX('計算（触らない）'!$F$6:$F$105,$T11),"定額法","定率法","―","―"))</f>
        <v/>
      </c>
      <c r="I11" s="37">
        <f>IF($T11=0,"",IF(INDEX('計算（触らない）'!$F$6:$F$105,$T11)&lt;=2,INDEX('計算（触らない）'!$H$6:$H$105,$T11),"―"))</f>
        <v/>
      </c>
      <c r="J11" s="42">
        <f>IF($T11=0,"",INDEX('計算（触らない）'!$AO$6:$AO$105,$T11))</f>
        <v/>
      </c>
      <c r="K11" s="37">
        <f>IF($T11=0,"",IF(AND(INDEX('計算（触らない）'!$F$6:$F$105,$T11)&lt;=2,INDEX('計算（触らない）'!$AB$6:$AB$105,$T11)&gt;0),INDEX('計算（触らない）'!$AB$6:$AB$105,$T11)&amp;"/12","―"))</f>
        <v/>
      </c>
      <c r="L11" s="40">
        <f>IF($T11=0,"",IF(INDEX('計算（触らない）'!$F$6:$F$105,$T11)=4,"―",INDEX('計算（触らない）'!$Z$6:$Z$105,$T11)))</f>
        <v/>
      </c>
      <c r="M11" s="37">
        <f>IF($T11=0,"","―")</f>
        <v/>
      </c>
      <c r="N11" s="40">
        <f>IF($T11=0,"",IF(INDEX('計算（触らない）'!$F$6:$F$105,$T11)=4,"―",INDEX('計算（触らない）'!$Z$6:$Z$105,$T11)))</f>
        <v/>
      </c>
      <c r="O11" s="43">
        <f>IF($T11=0,"",IF(AND(INDEX('計算（触らない）'!$F$6:$F$105,$T11)=4,INDEX('計算（触らない）'!$N$6:$N$105,$T11)=1),"―",INDEX('計算（触らない）'!$N$6:$N$105,$T11)))</f>
        <v/>
      </c>
      <c r="P11" s="40">
        <f>IF($T11=0,"",INDEX('計算（触らない）'!$AC$6:$AC$105,$T11))</f>
        <v/>
      </c>
      <c r="Q11" s="40">
        <f>IF($T11=0,"",IF(INDEX('計算（触らない）'!$F$6:$F$105,$T11)=4,"―",INDEX('計算（触らない）'!$Y$6:$Y$105,$T11)))</f>
        <v/>
      </c>
      <c r="R11" s="38">
        <f>IF($T11=0,"",TRIM(IF(INDEX('計算（触らない）'!$F$6:$F$105,$T11)=4,IF('計算（触らない）'!$B$1=1,"措法67の5","措法28の2"),"")&amp;IF(INDEX('計算（触らない）'!$AA$6:$AA$105,$T11)&gt;0,"改定償却","")&amp;IF(INDEX('計算（触らない）'!$AD$6:$AD$105,$T11)=1," "&amp;YEAR(INDEX('計算（触らない）'!$Q$6:$Q$105,$T11))&amp;"年"&amp;MONTH(INDEX('計算（触らない）'!$Q$6:$Q$105,$T11))&amp;"月"&amp;DAY(INDEX('計算（触らない）'!$Q$6:$Q$105,$T11))&amp;"日 売却・除却","")))</f>
        <v/>
      </c>
      <c r="S11" s="68" t="n"/>
      <c r="T11" s="68">
        <f>IFERROR(MATCH(5,'計算（触らない）'!$AG$6:$AG$105,0),0)</f>
        <v/>
      </c>
    </row>
    <row r="12" ht="20" customHeight="1">
      <c r="A12" s="37">
        <f>IF($T12=0,"",INDEX('計算（触らない）'!$A$6:$A$105,$T12))</f>
        <v/>
      </c>
      <c r="B12" s="38">
        <f>IF($T12=0,"",INDEX('固定資産台帳'!$B$6:$B$105,$T12)&amp;"")</f>
        <v/>
      </c>
      <c r="C12" s="37">
        <f>IF($T12=0,"",INDEX('固定資産台帳'!$D$6:$D$105,$T12)&amp;"")</f>
        <v/>
      </c>
      <c r="D12" s="39">
        <f>IF($T12=0,"",INDEX('計算（触らない）'!$D$6:$D$105,$T12))</f>
        <v/>
      </c>
      <c r="E12" s="40">
        <f>IF($T12=0,"",INDEX('計算（触らない）'!$C$6:$C$105,$T12))</f>
        <v/>
      </c>
      <c r="F12" s="41">
        <f>IF($T12=0,"",IF(INDEX('計算（触らない）'!$F$6:$F$105,$T12)=2,INDEX('計算（触らない）'!$AM$6:$AM$105,$T12),""))</f>
        <v/>
      </c>
      <c r="G12" s="40">
        <f>IF($T12=0,"",IF(INDEX('計算（触らない）'!$F$6:$F$105,$T12)=4,"―",INDEX('計算（触らない）'!$AN$6:$AN$105,$T12)))</f>
        <v/>
      </c>
      <c r="H12" s="37">
        <f>IF($T12=0,"",CHOOSE(INDEX('計算（触らない）'!$F$6:$F$105,$T12),"定額法","定率法","―","―"))</f>
        <v/>
      </c>
      <c r="I12" s="37">
        <f>IF($T12=0,"",IF(INDEX('計算（触らない）'!$F$6:$F$105,$T12)&lt;=2,INDEX('計算（触らない）'!$H$6:$H$105,$T12),"―"))</f>
        <v/>
      </c>
      <c r="J12" s="42">
        <f>IF($T12=0,"",INDEX('計算（触らない）'!$AO$6:$AO$105,$T12))</f>
        <v/>
      </c>
      <c r="K12" s="37">
        <f>IF($T12=0,"",IF(AND(INDEX('計算（触らない）'!$F$6:$F$105,$T12)&lt;=2,INDEX('計算（触らない）'!$AB$6:$AB$105,$T12)&gt;0),INDEX('計算（触らない）'!$AB$6:$AB$105,$T12)&amp;"/12","―"))</f>
        <v/>
      </c>
      <c r="L12" s="40">
        <f>IF($T12=0,"",IF(INDEX('計算（触らない）'!$F$6:$F$105,$T12)=4,"―",INDEX('計算（触らない）'!$Z$6:$Z$105,$T12)))</f>
        <v/>
      </c>
      <c r="M12" s="37">
        <f>IF($T12=0,"","―")</f>
        <v/>
      </c>
      <c r="N12" s="40">
        <f>IF($T12=0,"",IF(INDEX('計算（触らない）'!$F$6:$F$105,$T12)=4,"―",INDEX('計算（触らない）'!$Z$6:$Z$105,$T12)))</f>
        <v/>
      </c>
      <c r="O12" s="43">
        <f>IF($T12=0,"",IF(AND(INDEX('計算（触らない）'!$F$6:$F$105,$T12)=4,INDEX('計算（触らない）'!$N$6:$N$105,$T12)=1),"―",INDEX('計算（触らない）'!$N$6:$N$105,$T12)))</f>
        <v/>
      </c>
      <c r="P12" s="40">
        <f>IF($T12=0,"",INDEX('計算（触らない）'!$AC$6:$AC$105,$T12))</f>
        <v/>
      </c>
      <c r="Q12" s="40">
        <f>IF($T12=0,"",IF(INDEX('計算（触らない）'!$F$6:$F$105,$T12)=4,"―",INDEX('計算（触らない）'!$Y$6:$Y$105,$T12)))</f>
        <v/>
      </c>
      <c r="R12" s="38">
        <f>IF($T12=0,"",TRIM(IF(INDEX('計算（触らない）'!$F$6:$F$105,$T12)=4,IF('計算（触らない）'!$B$1=1,"措法67の5","措法28の2"),"")&amp;IF(INDEX('計算（触らない）'!$AA$6:$AA$105,$T12)&gt;0,"改定償却","")&amp;IF(INDEX('計算（触らない）'!$AD$6:$AD$105,$T12)=1," "&amp;YEAR(INDEX('計算（触らない）'!$Q$6:$Q$105,$T12))&amp;"年"&amp;MONTH(INDEX('計算（触らない）'!$Q$6:$Q$105,$T12))&amp;"月"&amp;DAY(INDEX('計算（触らない）'!$Q$6:$Q$105,$T12))&amp;"日 売却・除却","")))</f>
        <v/>
      </c>
      <c r="S12" s="68" t="n"/>
      <c r="T12" s="68">
        <f>IFERROR(MATCH(6,'計算（触らない）'!$AG$6:$AG$105,0),0)</f>
        <v/>
      </c>
    </row>
    <row r="13" ht="20" customHeight="1">
      <c r="A13" s="37">
        <f>IF($T13=0,"",INDEX('計算（触らない）'!$A$6:$A$105,$T13))</f>
        <v/>
      </c>
      <c r="B13" s="38">
        <f>IF($T13=0,"",INDEX('固定資産台帳'!$B$6:$B$105,$T13)&amp;"")</f>
        <v/>
      </c>
      <c r="C13" s="37">
        <f>IF($T13=0,"",INDEX('固定資産台帳'!$D$6:$D$105,$T13)&amp;"")</f>
        <v/>
      </c>
      <c r="D13" s="39">
        <f>IF($T13=0,"",INDEX('計算（触らない）'!$D$6:$D$105,$T13))</f>
        <v/>
      </c>
      <c r="E13" s="40">
        <f>IF($T13=0,"",INDEX('計算（触らない）'!$C$6:$C$105,$T13))</f>
        <v/>
      </c>
      <c r="F13" s="41">
        <f>IF($T13=0,"",IF(INDEX('計算（触らない）'!$F$6:$F$105,$T13)=2,INDEX('計算（触らない）'!$AM$6:$AM$105,$T13),""))</f>
        <v/>
      </c>
      <c r="G13" s="40">
        <f>IF($T13=0,"",IF(INDEX('計算（触らない）'!$F$6:$F$105,$T13)=4,"―",INDEX('計算（触らない）'!$AN$6:$AN$105,$T13)))</f>
        <v/>
      </c>
      <c r="H13" s="37">
        <f>IF($T13=0,"",CHOOSE(INDEX('計算（触らない）'!$F$6:$F$105,$T13),"定額法","定率法","―","―"))</f>
        <v/>
      </c>
      <c r="I13" s="37">
        <f>IF($T13=0,"",IF(INDEX('計算（触らない）'!$F$6:$F$105,$T13)&lt;=2,INDEX('計算（触らない）'!$H$6:$H$105,$T13),"―"))</f>
        <v/>
      </c>
      <c r="J13" s="42">
        <f>IF($T13=0,"",INDEX('計算（触らない）'!$AO$6:$AO$105,$T13))</f>
        <v/>
      </c>
      <c r="K13" s="37">
        <f>IF($T13=0,"",IF(AND(INDEX('計算（触らない）'!$F$6:$F$105,$T13)&lt;=2,INDEX('計算（触らない）'!$AB$6:$AB$105,$T13)&gt;0),INDEX('計算（触らない）'!$AB$6:$AB$105,$T13)&amp;"/12","―"))</f>
        <v/>
      </c>
      <c r="L13" s="40">
        <f>IF($T13=0,"",IF(INDEX('計算（触らない）'!$F$6:$F$105,$T13)=4,"―",INDEX('計算（触らない）'!$Z$6:$Z$105,$T13)))</f>
        <v/>
      </c>
      <c r="M13" s="37">
        <f>IF($T13=0,"","―")</f>
        <v/>
      </c>
      <c r="N13" s="40">
        <f>IF($T13=0,"",IF(INDEX('計算（触らない）'!$F$6:$F$105,$T13)=4,"―",INDEX('計算（触らない）'!$Z$6:$Z$105,$T13)))</f>
        <v/>
      </c>
      <c r="O13" s="43">
        <f>IF($T13=0,"",IF(AND(INDEX('計算（触らない）'!$F$6:$F$105,$T13)=4,INDEX('計算（触らない）'!$N$6:$N$105,$T13)=1),"―",INDEX('計算（触らない）'!$N$6:$N$105,$T13)))</f>
        <v/>
      </c>
      <c r="P13" s="40">
        <f>IF($T13=0,"",INDEX('計算（触らない）'!$AC$6:$AC$105,$T13))</f>
        <v/>
      </c>
      <c r="Q13" s="40">
        <f>IF($T13=0,"",IF(INDEX('計算（触らない）'!$F$6:$F$105,$T13)=4,"―",INDEX('計算（触らない）'!$Y$6:$Y$105,$T13)))</f>
        <v/>
      </c>
      <c r="R13" s="38">
        <f>IF($T13=0,"",TRIM(IF(INDEX('計算（触らない）'!$F$6:$F$105,$T13)=4,IF('計算（触らない）'!$B$1=1,"措法67の5","措法28の2"),"")&amp;IF(INDEX('計算（触らない）'!$AA$6:$AA$105,$T13)&gt;0,"改定償却","")&amp;IF(INDEX('計算（触らない）'!$AD$6:$AD$105,$T13)=1," "&amp;YEAR(INDEX('計算（触らない）'!$Q$6:$Q$105,$T13))&amp;"年"&amp;MONTH(INDEX('計算（触らない）'!$Q$6:$Q$105,$T13))&amp;"月"&amp;DAY(INDEX('計算（触らない）'!$Q$6:$Q$105,$T13))&amp;"日 売却・除却","")))</f>
        <v/>
      </c>
      <c r="S13" s="68" t="n"/>
      <c r="T13" s="68">
        <f>IFERROR(MATCH(7,'計算（触らない）'!$AG$6:$AG$105,0),0)</f>
        <v/>
      </c>
    </row>
    <row r="14" ht="20" customHeight="1">
      <c r="A14" s="37">
        <f>IF($T14=0,"",INDEX('計算（触らない）'!$A$6:$A$105,$T14))</f>
        <v/>
      </c>
      <c r="B14" s="38">
        <f>IF($T14=0,"",INDEX('固定資産台帳'!$B$6:$B$105,$T14)&amp;"")</f>
        <v/>
      </c>
      <c r="C14" s="37">
        <f>IF($T14=0,"",INDEX('固定資産台帳'!$D$6:$D$105,$T14)&amp;"")</f>
        <v/>
      </c>
      <c r="D14" s="39">
        <f>IF($T14=0,"",INDEX('計算（触らない）'!$D$6:$D$105,$T14))</f>
        <v/>
      </c>
      <c r="E14" s="40">
        <f>IF($T14=0,"",INDEX('計算（触らない）'!$C$6:$C$105,$T14))</f>
        <v/>
      </c>
      <c r="F14" s="41">
        <f>IF($T14=0,"",IF(INDEX('計算（触らない）'!$F$6:$F$105,$T14)=2,INDEX('計算（触らない）'!$AM$6:$AM$105,$T14),""))</f>
        <v/>
      </c>
      <c r="G14" s="40">
        <f>IF($T14=0,"",IF(INDEX('計算（触らない）'!$F$6:$F$105,$T14)=4,"―",INDEX('計算（触らない）'!$AN$6:$AN$105,$T14)))</f>
        <v/>
      </c>
      <c r="H14" s="37">
        <f>IF($T14=0,"",CHOOSE(INDEX('計算（触らない）'!$F$6:$F$105,$T14),"定額法","定率法","―","―"))</f>
        <v/>
      </c>
      <c r="I14" s="37">
        <f>IF($T14=0,"",IF(INDEX('計算（触らない）'!$F$6:$F$105,$T14)&lt;=2,INDEX('計算（触らない）'!$H$6:$H$105,$T14),"―"))</f>
        <v/>
      </c>
      <c r="J14" s="42">
        <f>IF($T14=0,"",INDEX('計算（触らない）'!$AO$6:$AO$105,$T14))</f>
        <v/>
      </c>
      <c r="K14" s="37">
        <f>IF($T14=0,"",IF(AND(INDEX('計算（触らない）'!$F$6:$F$105,$T14)&lt;=2,INDEX('計算（触らない）'!$AB$6:$AB$105,$T14)&gt;0),INDEX('計算（触らない）'!$AB$6:$AB$105,$T14)&amp;"/12","―"))</f>
        <v/>
      </c>
      <c r="L14" s="40">
        <f>IF($T14=0,"",IF(INDEX('計算（触らない）'!$F$6:$F$105,$T14)=4,"―",INDEX('計算（触らない）'!$Z$6:$Z$105,$T14)))</f>
        <v/>
      </c>
      <c r="M14" s="37">
        <f>IF($T14=0,"","―")</f>
        <v/>
      </c>
      <c r="N14" s="40">
        <f>IF($T14=0,"",IF(INDEX('計算（触らない）'!$F$6:$F$105,$T14)=4,"―",INDEX('計算（触らない）'!$Z$6:$Z$105,$T14)))</f>
        <v/>
      </c>
      <c r="O14" s="43">
        <f>IF($T14=0,"",IF(AND(INDEX('計算（触らない）'!$F$6:$F$105,$T14)=4,INDEX('計算（触らない）'!$N$6:$N$105,$T14)=1),"―",INDEX('計算（触らない）'!$N$6:$N$105,$T14)))</f>
        <v/>
      </c>
      <c r="P14" s="40">
        <f>IF($T14=0,"",INDEX('計算（触らない）'!$AC$6:$AC$105,$T14))</f>
        <v/>
      </c>
      <c r="Q14" s="40">
        <f>IF($T14=0,"",IF(INDEX('計算（触らない）'!$F$6:$F$105,$T14)=4,"―",INDEX('計算（触らない）'!$Y$6:$Y$105,$T14)))</f>
        <v/>
      </c>
      <c r="R14" s="38">
        <f>IF($T14=0,"",TRIM(IF(INDEX('計算（触らない）'!$F$6:$F$105,$T14)=4,IF('計算（触らない）'!$B$1=1,"措法67の5","措法28の2"),"")&amp;IF(INDEX('計算（触らない）'!$AA$6:$AA$105,$T14)&gt;0,"改定償却","")&amp;IF(INDEX('計算（触らない）'!$AD$6:$AD$105,$T14)=1," "&amp;YEAR(INDEX('計算（触らない）'!$Q$6:$Q$105,$T14))&amp;"年"&amp;MONTH(INDEX('計算（触らない）'!$Q$6:$Q$105,$T14))&amp;"月"&amp;DAY(INDEX('計算（触らない）'!$Q$6:$Q$105,$T14))&amp;"日 売却・除却","")))</f>
        <v/>
      </c>
      <c r="S14" s="68" t="n"/>
      <c r="T14" s="68">
        <f>IFERROR(MATCH(8,'計算（触らない）'!$AG$6:$AG$105,0),0)</f>
        <v/>
      </c>
    </row>
    <row r="15" ht="20" customHeight="1">
      <c r="A15" s="37">
        <f>IF($T15=0,"",INDEX('計算（触らない）'!$A$6:$A$105,$T15))</f>
        <v/>
      </c>
      <c r="B15" s="38">
        <f>IF($T15=0,"",INDEX('固定資産台帳'!$B$6:$B$105,$T15)&amp;"")</f>
        <v/>
      </c>
      <c r="C15" s="37">
        <f>IF($T15=0,"",INDEX('固定資産台帳'!$D$6:$D$105,$T15)&amp;"")</f>
        <v/>
      </c>
      <c r="D15" s="39">
        <f>IF($T15=0,"",INDEX('計算（触らない）'!$D$6:$D$105,$T15))</f>
        <v/>
      </c>
      <c r="E15" s="40">
        <f>IF($T15=0,"",INDEX('計算（触らない）'!$C$6:$C$105,$T15))</f>
        <v/>
      </c>
      <c r="F15" s="41">
        <f>IF($T15=0,"",IF(INDEX('計算（触らない）'!$F$6:$F$105,$T15)=2,INDEX('計算（触らない）'!$AM$6:$AM$105,$T15),""))</f>
        <v/>
      </c>
      <c r="G15" s="40">
        <f>IF($T15=0,"",IF(INDEX('計算（触らない）'!$F$6:$F$105,$T15)=4,"―",INDEX('計算（触らない）'!$AN$6:$AN$105,$T15)))</f>
        <v/>
      </c>
      <c r="H15" s="37">
        <f>IF($T15=0,"",CHOOSE(INDEX('計算（触らない）'!$F$6:$F$105,$T15),"定額法","定率法","―","―"))</f>
        <v/>
      </c>
      <c r="I15" s="37">
        <f>IF($T15=0,"",IF(INDEX('計算（触らない）'!$F$6:$F$105,$T15)&lt;=2,INDEX('計算（触らない）'!$H$6:$H$105,$T15),"―"))</f>
        <v/>
      </c>
      <c r="J15" s="42">
        <f>IF($T15=0,"",INDEX('計算（触らない）'!$AO$6:$AO$105,$T15))</f>
        <v/>
      </c>
      <c r="K15" s="37">
        <f>IF($T15=0,"",IF(AND(INDEX('計算（触らない）'!$F$6:$F$105,$T15)&lt;=2,INDEX('計算（触らない）'!$AB$6:$AB$105,$T15)&gt;0),INDEX('計算（触らない）'!$AB$6:$AB$105,$T15)&amp;"/12","―"))</f>
        <v/>
      </c>
      <c r="L15" s="40">
        <f>IF($T15=0,"",IF(INDEX('計算（触らない）'!$F$6:$F$105,$T15)=4,"―",INDEX('計算（触らない）'!$Z$6:$Z$105,$T15)))</f>
        <v/>
      </c>
      <c r="M15" s="37">
        <f>IF($T15=0,"","―")</f>
        <v/>
      </c>
      <c r="N15" s="40">
        <f>IF($T15=0,"",IF(INDEX('計算（触らない）'!$F$6:$F$105,$T15)=4,"―",INDEX('計算（触らない）'!$Z$6:$Z$105,$T15)))</f>
        <v/>
      </c>
      <c r="O15" s="43">
        <f>IF($T15=0,"",IF(AND(INDEX('計算（触らない）'!$F$6:$F$105,$T15)=4,INDEX('計算（触らない）'!$N$6:$N$105,$T15)=1),"―",INDEX('計算（触らない）'!$N$6:$N$105,$T15)))</f>
        <v/>
      </c>
      <c r="P15" s="40">
        <f>IF($T15=0,"",INDEX('計算（触らない）'!$AC$6:$AC$105,$T15))</f>
        <v/>
      </c>
      <c r="Q15" s="40">
        <f>IF($T15=0,"",IF(INDEX('計算（触らない）'!$F$6:$F$105,$T15)=4,"―",INDEX('計算（触らない）'!$Y$6:$Y$105,$T15)))</f>
        <v/>
      </c>
      <c r="R15" s="38">
        <f>IF($T15=0,"",TRIM(IF(INDEX('計算（触らない）'!$F$6:$F$105,$T15)=4,IF('計算（触らない）'!$B$1=1,"措法67の5","措法28の2"),"")&amp;IF(INDEX('計算（触らない）'!$AA$6:$AA$105,$T15)&gt;0,"改定償却","")&amp;IF(INDEX('計算（触らない）'!$AD$6:$AD$105,$T15)=1," "&amp;YEAR(INDEX('計算（触らない）'!$Q$6:$Q$105,$T15))&amp;"年"&amp;MONTH(INDEX('計算（触らない）'!$Q$6:$Q$105,$T15))&amp;"月"&amp;DAY(INDEX('計算（触らない）'!$Q$6:$Q$105,$T15))&amp;"日 売却・除却","")))</f>
        <v/>
      </c>
      <c r="S15" s="68" t="n"/>
      <c r="T15" s="68">
        <f>IFERROR(MATCH(9,'計算（触らない）'!$AG$6:$AG$105,0),0)</f>
        <v/>
      </c>
    </row>
    <row r="16" ht="20" customHeight="1">
      <c r="A16" s="37">
        <f>IF($T16=0,"",INDEX('計算（触らない）'!$A$6:$A$105,$T16))</f>
        <v/>
      </c>
      <c r="B16" s="38">
        <f>IF($T16=0,"",INDEX('固定資産台帳'!$B$6:$B$105,$T16)&amp;"")</f>
        <v/>
      </c>
      <c r="C16" s="37">
        <f>IF($T16=0,"",INDEX('固定資産台帳'!$D$6:$D$105,$T16)&amp;"")</f>
        <v/>
      </c>
      <c r="D16" s="39">
        <f>IF($T16=0,"",INDEX('計算（触らない）'!$D$6:$D$105,$T16))</f>
        <v/>
      </c>
      <c r="E16" s="40">
        <f>IF($T16=0,"",INDEX('計算（触らない）'!$C$6:$C$105,$T16))</f>
        <v/>
      </c>
      <c r="F16" s="41">
        <f>IF($T16=0,"",IF(INDEX('計算（触らない）'!$F$6:$F$105,$T16)=2,INDEX('計算（触らない）'!$AM$6:$AM$105,$T16),""))</f>
        <v/>
      </c>
      <c r="G16" s="40">
        <f>IF($T16=0,"",IF(INDEX('計算（触らない）'!$F$6:$F$105,$T16)=4,"―",INDEX('計算（触らない）'!$AN$6:$AN$105,$T16)))</f>
        <v/>
      </c>
      <c r="H16" s="37">
        <f>IF($T16=0,"",CHOOSE(INDEX('計算（触らない）'!$F$6:$F$105,$T16),"定額法","定率法","―","―"))</f>
        <v/>
      </c>
      <c r="I16" s="37">
        <f>IF($T16=0,"",IF(INDEX('計算（触らない）'!$F$6:$F$105,$T16)&lt;=2,INDEX('計算（触らない）'!$H$6:$H$105,$T16),"―"))</f>
        <v/>
      </c>
      <c r="J16" s="42">
        <f>IF($T16=0,"",INDEX('計算（触らない）'!$AO$6:$AO$105,$T16))</f>
        <v/>
      </c>
      <c r="K16" s="37">
        <f>IF($T16=0,"",IF(AND(INDEX('計算（触らない）'!$F$6:$F$105,$T16)&lt;=2,INDEX('計算（触らない）'!$AB$6:$AB$105,$T16)&gt;0),INDEX('計算（触らない）'!$AB$6:$AB$105,$T16)&amp;"/12","―"))</f>
        <v/>
      </c>
      <c r="L16" s="40">
        <f>IF($T16=0,"",IF(INDEX('計算（触らない）'!$F$6:$F$105,$T16)=4,"―",INDEX('計算（触らない）'!$Z$6:$Z$105,$T16)))</f>
        <v/>
      </c>
      <c r="M16" s="37">
        <f>IF($T16=0,"","―")</f>
        <v/>
      </c>
      <c r="N16" s="40">
        <f>IF($T16=0,"",IF(INDEX('計算（触らない）'!$F$6:$F$105,$T16)=4,"―",INDEX('計算（触らない）'!$Z$6:$Z$105,$T16)))</f>
        <v/>
      </c>
      <c r="O16" s="43">
        <f>IF($T16=0,"",IF(AND(INDEX('計算（触らない）'!$F$6:$F$105,$T16)=4,INDEX('計算（触らない）'!$N$6:$N$105,$T16)=1),"―",INDEX('計算（触らない）'!$N$6:$N$105,$T16)))</f>
        <v/>
      </c>
      <c r="P16" s="40">
        <f>IF($T16=0,"",INDEX('計算（触らない）'!$AC$6:$AC$105,$T16))</f>
        <v/>
      </c>
      <c r="Q16" s="40">
        <f>IF($T16=0,"",IF(INDEX('計算（触らない）'!$F$6:$F$105,$T16)=4,"―",INDEX('計算（触らない）'!$Y$6:$Y$105,$T16)))</f>
        <v/>
      </c>
      <c r="R16" s="38">
        <f>IF($T16=0,"",TRIM(IF(INDEX('計算（触らない）'!$F$6:$F$105,$T16)=4,IF('計算（触らない）'!$B$1=1,"措法67の5","措法28の2"),"")&amp;IF(INDEX('計算（触らない）'!$AA$6:$AA$105,$T16)&gt;0,"改定償却","")&amp;IF(INDEX('計算（触らない）'!$AD$6:$AD$105,$T16)=1," "&amp;YEAR(INDEX('計算（触らない）'!$Q$6:$Q$105,$T16))&amp;"年"&amp;MONTH(INDEX('計算（触らない）'!$Q$6:$Q$105,$T16))&amp;"月"&amp;DAY(INDEX('計算（触らない）'!$Q$6:$Q$105,$T16))&amp;"日 売却・除却","")))</f>
        <v/>
      </c>
      <c r="S16" s="68" t="n"/>
      <c r="T16" s="68">
        <f>IFERROR(MATCH(10,'計算（触らない）'!$AG$6:$AG$105,0),0)</f>
        <v/>
      </c>
    </row>
    <row r="17" ht="20" customHeight="1">
      <c r="A17" s="37">
        <f>IF($T17=0,"",INDEX('計算（触らない）'!$A$6:$A$105,$T17))</f>
        <v/>
      </c>
      <c r="B17" s="38">
        <f>IF($T17=0,"",INDEX('固定資産台帳'!$B$6:$B$105,$T17)&amp;"")</f>
        <v/>
      </c>
      <c r="C17" s="37">
        <f>IF($T17=0,"",INDEX('固定資産台帳'!$D$6:$D$105,$T17)&amp;"")</f>
        <v/>
      </c>
      <c r="D17" s="39">
        <f>IF($T17=0,"",INDEX('計算（触らない）'!$D$6:$D$105,$T17))</f>
        <v/>
      </c>
      <c r="E17" s="40">
        <f>IF($T17=0,"",INDEX('計算（触らない）'!$C$6:$C$105,$T17))</f>
        <v/>
      </c>
      <c r="F17" s="41">
        <f>IF($T17=0,"",IF(INDEX('計算（触らない）'!$F$6:$F$105,$T17)=2,INDEX('計算（触らない）'!$AM$6:$AM$105,$T17),""))</f>
        <v/>
      </c>
      <c r="G17" s="40">
        <f>IF($T17=0,"",IF(INDEX('計算（触らない）'!$F$6:$F$105,$T17)=4,"―",INDEX('計算（触らない）'!$AN$6:$AN$105,$T17)))</f>
        <v/>
      </c>
      <c r="H17" s="37">
        <f>IF($T17=0,"",CHOOSE(INDEX('計算（触らない）'!$F$6:$F$105,$T17),"定額法","定率法","―","―"))</f>
        <v/>
      </c>
      <c r="I17" s="37">
        <f>IF($T17=0,"",IF(INDEX('計算（触らない）'!$F$6:$F$105,$T17)&lt;=2,INDEX('計算（触らない）'!$H$6:$H$105,$T17),"―"))</f>
        <v/>
      </c>
      <c r="J17" s="42">
        <f>IF($T17=0,"",INDEX('計算（触らない）'!$AO$6:$AO$105,$T17))</f>
        <v/>
      </c>
      <c r="K17" s="37">
        <f>IF($T17=0,"",IF(AND(INDEX('計算（触らない）'!$F$6:$F$105,$T17)&lt;=2,INDEX('計算（触らない）'!$AB$6:$AB$105,$T17)&gt;0),INDEX('計算（触らない）'!$AB$6:$AB$105,$T17)&amp;"/12","―"))</f>
        <v/>
      </c>
      <c r="L17" s="40">
        <f>IF($T17=0,"",IF(INDEX('計算（触らない）'!$F$6:$F$105,$T17)=4,"―",INDEX('計算（触らない）'!$Z$6:$Z$105,$T17)))</f>
        <v/>
      </c>
      <c r="M17" s="37">
        <f>IF($T17=0,"","―")</f>
        <v/>
      </c>
      <c r="N17" s="40">
        <f>IF($T17=0,"",IF(INDEX('計算（触らない）'!$F$6:$F$105,$T17)=4,"―",INDEX('計算（触らない）'!$Z$6:$Z$105,$T17)))</f>
        <v/>
      </c>
      <c r="O17" s="43">
        <f>IF($T17=0,"",IF(AND(INDEX('計算（触らない）'!$F$6:$F$105,$T17)=4,INDEX('計算（触らない）'!$N$6:$N$105,$T17)=1),"―",INDEX('計算（触らない）'!$N$6:$N$105,$T17)))</f>
        <v/>
      </c>
      <c r="P17" s="40">
        <f>IF($T17=0,"",INDEX('計算（触らない）'!$AC$6:$AC$105,$T17))</f>
        <v/>
      </c>
      <c r="Q17" s="40">
        <f>IF($T17=0,"",IF(INDEX('計算（触らない）'!$F$6:$F$105,$T17)=4,"―",INDEX('計算（触らない）'!$Y$6:$Y$105,$T17)))</f>
        <v/>
      </c>
      <c r="R17" s="38">
        <f>IF($T17=0,"",TRIM(IF(INDEX('計算（触らない）'!$F$6:$F$105,$T17)=4,IF('計算（触らない）'!$B$1=1,"措法67の5","措法28の2"),"")&amp;IF(INDEX('計算（触らない）'!$AA$6:$AA$105,$T17)&gt;0,"改定償却","")&amp;IF(INDEX('計算（触らない）'!$AD$6:$AD$105,$T17)=1," "&amp;YEAR(INDEX('計算（触らない）'!$Q$6:$Q$105,$T17))&amp;"年"&amp;MONTH(INDEX('計算（触らない）'!$Q$6:$Q$105,$T17))&amp;"月"&amp;DAY(INDEX('計算（触らない）'!$Q$6:$Q$105,$T17))&amp;"日 売却・除却","")))</f>
        <v/>
      </c>
      <c r="S17" s="68" t="n"/>
      <c r="T17" s="68">
        <f>IFERROR(MATCH(11,'計算（触らない）'!$AG$6:$AG$105,0),0)</f>
        <v/>
      </c>
    </row>
    <row r="18" ht="20" customHeight="1">
      <c r="A18" s="37">
        <f>IF($T18=0,"",INDEX('計算（触らない）'!$A$6:$A$105,$T18))</f>
        <v/>
      </c>
      <c r="B18" s="38">
        <f>IF($T18=0,"",INDEX('固定資産台帳'!$B$6:$B$105,$T18)&amp;"")</f>
        <v/>
      </c>
      <c r="C18" s="37">
        <f>IF($T18=0,"",INDEX('固定資産台帳'!$D$6:$D$105,$T18)&amp;"")</f>
        <v/>
      </c>
      <c r="D18" s="39">
        <f>IF($T18=0,"",INDEX('計算（触らない）'!$D$6:$D$105,$T18))</f>
        <v/>
      </c>
      <c r="E18" s="40">
        <f>IF($T18=0,"",INDEX('計算（触らない）'!$C$6:$C$105,$T18))</f>
        <v/>
      </c>
      <c r="F18" s="41">
        <f>IF($T18=0,"",IF(INDEX('計算（触らない）'!$F$6:$F$105,$T18)=2,INDEX('計算（触らない）'!$AM$6:$AM$105,$T18),""))</f>
        <v/>
      </c>
      <c r="G18" s="40">
        <f>IF($T18=0,"",IF(INDEX('計算（触らない）'!$F$6:$F$105,$T18)=4,"―",INDEX('計算（触らない）'!$AN$6:$AN$105,$T18)))</f>
        <v/>
      </c>
      <c r="H18" s="37">
        <f>IF($T18=0,"",CHOOSE(INDEX('計算（触らない）'!$F$6:$F$105,$T18),"定額法","定率法","―","―"))</f>
        <v/>
      </c>
      <c r="I18" s="37">
        <f>IF($T18=0,"",IF(INDEX('計算（触らない）'!$F$6:$F$105,$T18)&lt;=2,INDEX('計算（触らない）'!$H$6:$H$105,$T18),"―"))</f>
        <v/>
      </c>
      <c r="J18" s="42">
        <f>IF($T18=0,"",INDEX('計算（触らない）'!$AO$6:$AO$105,$T18))</f>
        <v/>
      </c>
      <c r="K18" s="37">
        <f>IF($T18=0,"",IF(AND(INDEX('計算（触らない）'!$F$6:$F$105,$T18)&lt;=2,INDEX('計算（触らない）'!$AB$6:$AB$105,$T18)&gt;0),INDEX('計算（触らない）'!$AB$6:$AB$105,$T18)&amp;"/12","―"))</f>
        <v/>
      </c>
      <c r="L18" s="40">
        <f>IF($T18=0,"",IF(INDEX('計算（触らない）'!$F$6:$F$105,$T18)=4,"―",INDEX('計算（触らない）'!$Z$6:$Z$105,$T18)))</f>
        <v/>
      </c>
      <c r="M18" s="37">
        <f>IF($T18=0,"","―")</f>
        <v/>
      </c>
      <c r="N18" s="40">
        <f>IF($T18=0,"",IF(INDEX('計算（触らない）'!$F$6:$F$105,$T18)=4,"―",INDEX('計算（触らない）'!$Z$6:$Z$105,$T18)))</f>
        <v/>
      </c>
      <c r="O18" s="43">
        <f>IF($T18=0,"",IF(AND(INDEX('計算（触らない）'!$F$6:$F$105,$T18)=4,INDEX('計算（触らない）'!$N$6:$N$105,$T18)=1),"―",INDEX('計算（触らない）'!$N$6:$N$105,$T18)))</f>
        <v/>
      </c>
      <c r="P18" s="40">
        <f>IF($T18=0,"",INDEX('計算（触らない）'!$AC$6:$AC$105,$T18))</f>
        <v/>
      </c>
      <c r="Q18" s="40">
        <f>IF($T18=0,"",IF(INDEX('計算（触らない）'!$F$6:$F$105,$T18)=4,"―",INDEX('計算（触らない）'!$Y$6:$Y$105,$T18)))</f>
        <v/>
      </c>
      <c r="R18" s="38">
        <f>IF($T18=0,"",TRIM(IF(INDEX('計算（触らない）'!$F$6:$F$105,$T18)=4,IF('計算（触らない）'!$B$1=1,"措法67の5","措法28の2"),"")&amp;IF(INDEX('計算（触らない）'!$AA$6:$AA$105,$T18)&gt;0,"改定償却","")&amp;IF(INDEX('計算（触らない）'!$AD$6:$AD$105,$T18)=1," "&amp;YEAR(INDEX('計算（触らない）'!$Q$6:$Q$105,$T18))&amp;"年"&amp;MONTH(INDEX('計算（触らない）'!$Q$6:$Q$105,$T18))&amp;"月"&amp;DAY(INDEX('計算（触らない）'!$Q$6:$Q$105,$T18))&amp;"日 売却・除却","")))</f>
        <v/>
      </c>
      <c r="S18" s="68" t="n"/>
      <c r="T18" s="68">
        <f>IFERROR(MATCH(12,'計算（触らない）'!$AG$6:$AG$105,0),0)</f>
        <v/>
      </c>
    </row>
    <row r="19" ht="20" customHeight="1">
      <c r="A19" s="37">
        <f>IF($T19=0,"",INDEX('計算（触らない）'!$A$6:$A$105,$T19))</f>
        <v/>
      </c>
      <c r="B19" s="38">
        <f>IF($T19=0,"",INDEX('固定資産台帳'!$B$6:$B$105,$T19)&amp;"")</f>
        <v/>
      </c>
      <c r="C19" s="37">
        <f>IF($T19=0,"",INDEX('固定資産台帳'!$D$6:$D$105,$T19)&amp;"")</f>
        <v/>
      </c>
      <c r="D19" s="39">
        <f>IF($T19=0,"",INDEX('計算（触らない）'!$D$6:$D$105,$T19))</f>
        <v/>
      </c>
      <c r="E19" s="40">
        <f>IF($T19=0,"",INDEX('計算（触らない）'!$C$6:$C$105,$T19))</f>
        <v/>
      </c>
      <c r="F19" s="41">
        <f>IF($T19=0,"",IF(INDEX('計算（触らない）'!$F$6:$F$105,$T19)=2,INDEX('計算（触らない）'!$AM$6:$AM$105,$T19),""))</f>
        <v/>
      </c>
      <c r="G19" s="40">
        <f>IF($T19=0,"",IF(INDEX('計算（触らない）'!$F$6:$F$105,$T19)=4,"―",INDEX('計算（触らない）'!$AN$6:$AN$105,$T19)))</f>
        <v/>
      </c>
      <c r="H19" s="37">
        <f>IF($T19=0,"",CHOOSE(INDEX('計算（触らない）'!$F$6:$F$105,$T19),"定額法","定率法","―","―"))</f>
        <v/>
      </c>
      <c r="I19" s="37">
        <f>IF($T19=0,"",IF(INDEX('計算（触らない）'!$F$6:$F$105,$T19)&lt;=2,INDEX('計算（触らない）'!$H$6:$H$105,$T19),"―"))</f>
        <v/>
      </c>
      <c r="J19" s="42">
        <f>IF($T19=0,"",INDEX('計算（触らない）'!$AO$6:$AO$105,$T19))</f>
        <v/>
      </c>
      <c r="K19" s="37">
        <f>IF($T19=0,"",IF(AND(INDEX('計算（触らない）'!$F$6:$F$105,$T19)&lt;=2,INDEX('計算（触らない）'!$AB$6:$AB$105,$T19)&gt;0),INDEX('計算（触らない）'!$AB$6:$AB$105,$T19)&amp;"/12","―"))</f>
        <v/>
      </c>
      <c r="L19" s="40">
        <f>IF($T19=0,"",IF(INDEX('計算（触らない）'!$F$6:$F$105,$T19)=4,"―",INDEX('計算（触らない）'!$Z$6:$Z$105,$T19)))</f>
        <v/>
      </c>
      <c r="M19" s="37">
        <f>IF($T19=0,"","―")</f>
        <v/>
      </c>
      <c r="N19" s="40">
        <f>IF($T19=0,"",IF(INDEX('計算（触らない）'!$F$6:$F$105,$T19)=4,"―",INDEX('計算（触らない）'!$Z$6:$Z$105,$T19)))</f>
        <v/>
      </c>
      <c r="O19" s="43">
        <f>IF($T19=0,"",IF(AND(INDEX('計算（触らない）'!$F$6:$F$105,$T19)=4,INDEX('計算（触らない）'!$N$6:$N$105,$T19)=1),"―",INDEX('計算（触らない）'!$N$6:$N$105,$T19)))</f>
        <v/>
      </c>
      <c r="P19" s="40">
        <f>IF($T19=0,"",INDEX('計算（触らない）'!$AC$6:$AC$105,$T19))</f>
        <v/>
      </c>
      <c r="Q19" s="40">
        <f>IF($T19=0,"",IF(INDEX('計算（触らない）'!$F$6:$F$105,$T19)=4,"―",INDEX('計算（触らない）'!$Y$6:$Y$105,$T19)))</f>
        <v/>
      </c>
      <c r="R19" s="38">
        <f>IF($T19=0,"",TRIM(IF(INDEX('計算（触らない）'!$F$6:$F$105,$T19)=4,IF('計算（触らない）'!$B$1=1,"措法67の5","措法28の2"),"")&amp;IF(INDEX('計算（触らない）'!$AA$6:$AA$105,$T19)&gt;0,"改定償却","")&amp;IF(INDEX('計算（触らない）'!$AD$6:$AD$105,$T19)=1," "&amp;YEAR(INDEX('計算（触らない）'!$Q$6:$Q$105,$T19))&amp;"年"&amp;MONTH(INDEX('計算（触らない）'!$Q$6:$Q$105,$T19))&amp;"月"&amp;DAY(INDEX('計算（触らない）'!$Q$6:$Q$105,$T19))&amp;"日 売却・除却","")))</f>
        <v/>
      </c>
      <c r="S19" s="68" t="n"/>
      <c r="T19" s="68">
        <f>IFERROR(MATCH(13,'計算（触らない）'!$AG$6:$AG$105,0),0)</f>
        <v/>
      </c>
    </row>
    <row r="20" ht="20" customHeight="1">
      <c r="A20" s="37">
        <f>IF($T20=0,"",INDEX('計算（触らない）'!$A$6:$A$105,$T20))</f>
        <v/>
      </c>
      <c r="B20" s="38">
        <f>IF($T20=0,"",INDEX('固定資産台帳'!$B$6:$B$105,$T20)&amp;"")</f>
        <v/>
      </c>
      <c r="C20" s="37">
        <f>IF($T20=0,"",INDEX('固定資産台帳'!$D$6:$D$105,$T20)&amp;"")</f>
        <v/>
      </c>
      <c r="D20" s="39">
        <f>IF($T20=0,"",INDEX('計算（触らない）'!$D$6:$D$105,$T20))</f>
        <v/>
      </c>
      <c r="E20" s="40">
        <f>IF($T20=0,"",INDEX('計算（触らない）'!$C$6:$C$105,$T20))</f>
        <v/>
      </c>
      <c r="F20" s="41">
        <f>IF($T20=0,"",IF(INDEX('計算（触らない）'!$F$6:$F$105,$T20)=2,INDEX('計算（触らない）'!$AM$6:$AM$105,$T20),""))</f>
        <v/>
      </c>
      <c r="G20" s="40">
        <f>IF($T20=0,"",IF(INDEX('計算（触らない）'!$F$6:$F$105,$T20)=4,"―",INDEX('計算（触らない）'!$AN$6:$AN$105,$T20)))</f>
        <v/>
      </c>
      <c r="H20" s="37">
        <f>IF($T20=0,"",CHOOSE(INDEX('計算（触らない）'!$F$6:$F$105,$T20),"定額法","定率法","―","―"))</f>
        <v/>
      </c>
      <c r="I20" s="37">
        <f>IF($T20=0,"",IF(INDEX('計算（触らない）'!$F$6:$F$105,$T20)&lt;=2,INDEX('計算（触らない）'!$H$6:$H$105,$T20),"―"))</f>
        <v/>
      </c>
      <c r="J20" s="42">
        <f>IF($T20=0,"",INDEX('計算（触らない）'!$AO$6:$AO$105,$T20))</f>
        <v/>
      </c>
      <c r="K20" s="37">
        <f>IF($T20=0,"",IF(AND(INDEX('計算（触らない）'!$F$6:$F$105,$T20)&lt;=2,INDEX('計算（触らない）'!$AB$6:$AB$105,$T20)&gt;0),INDEX('計算（触らない）'!$AB$6:$AB$105,$T20)&amp;"/12","―"))</f>
        <v/>
      </c>
      <c r="L20" s="40">
        <f>IF($T20=0,"",IF(INDEX('計算（触らない）'!$F$6:$F$105,$T20)=4,"―",INDEX('計算（触らない）'!$Z$6:$Z$105,$T20)))</f>
        <v/>
      </c>
      <c r="M20" s="37">
        <f>IF($T20=0,"","―")</f>
        <v/>
      </c>
      <c r="N20" s="40">
        <f>IF($T20=0,"",IF(INDEX('計算（触らない）'!$F$6:$F$105,$T20)=4,"―",INDEX('計算（触らない）'!$Z$6:$Z$105,$T20)))</f>
        <v/>
      </c>
      <c r="O20" s="43">
        <f>IF($T20=0,"",IF(AND(INDEX('計算（触らない）'!$F$6:$F$105,$T20)=4,INDEX('計算（触らない）'!$N$6:$N$105,$T20)=1),"―",INDEX('計算（触らない）'!$N$6:$N$105,$T20)))</f>
        <v/>
      </c>
      <c r="P20" s="40">
        <f>IF($T20=0,"",INDEX('計算（触らない）'!$AC$6:$AC$105,$T20))</f>
        <v/>
      </c>
      <c r="Q20" s="40">
        <f>IF($T20=0,"",IF(INDEX('計算（触らない）'!$F$6:$F$105,$T20)=4,"―",INDEX('計算（触らない）'!$Y$6:$Y$105,$T20)))</f>
        <v/>
      </c>
      <c r="R20" s="38">
        <f>IF($T20=0,"",TRIM(IF(INDEX('計算（触らない）'!$F$6:$F$105,$T20)=4,IF('計算（触らない）'!$B$1=1,"措法67の5","措法28の2"),"")&amp;IF(INDEX('計算（触らない）'!$AA$6:$AA$105,$T20)&gt;0,"改定償却","")&amp;IF(INDEX('計算（触らない）'!$AD$6:$AD$105,$T20)=1," "&amp;YEAR(INDEX('計算（触らない）'!$Q$6:$Q$105,$T20))&amp;"年"&amp;MONTH(INDEX('計算（触らない）'!$Q$6:$Q$105,$T20))&amp;"月"&amp;DAY(INDEX('計算（触らない）'!$Q$6:$Q$105,$T20))&amp;"日 売却・除却","")))</f>
        <v/>
      </c>
      <c r="S20" s="68" t="n"/>
      <c r="T20" s="68">
        <f>IFERROR(MATCH(14,'計算（触らない）'!$AG$6:$AG$105,0),0)</f>
        <v/>
      </c>
    </row>
    <row r="21" ht="20" customHeight="1">
      <c r="A21" s="37">
        <f>IF($T21=0,"",INDEX('計算（触らない）'!$A$6:$A$105,$T21))</f>
        <v/>
      </c>
      <c r="B21" s="38">
        <f>IF($T21=0,"",INDEX('固定資産台帳'!$B$6:$B$105,$T21)&amp;"")</f>
        <v/>
      </c>
      <c r="C21" s="37">
        <f>IF($T21=0,"",INDEX('固定資産台帳'!$D$6:$D$105,$T21)&amp;"")</f>
        <v/>
      </c>
      <c r="D21" s="39">
        <f>IF($T21=0,"",INDEX('計算（触らない）'!$D$6:$D$105,$T21))</f>
        <v/>
      </c>
      <c r="E21" s="40">
        <f>IF($T21=0,"",INDEX('計算（触らない）'!$C$6:$C$105,$T21))</f>
        <v/>
      </c>
      <c r="F21" s="41">
        <f>IF($T21=0,"",IF(INDEX('計算（触らない）'!$F$6:$F$105,$T21)=2,INDEX('計算（触らない）'!$AM$6:$AM$105,$T21),""))</f>
        <v/>
      </c>
      <c r="G21" s="40">
        <f>IF($T21=0,"",IF(INDEX('計算（触らない）'!$F$6:$F$105,$T21)=4,"―",INDEX('計算（触らない）'!$AN$6:$AN$105,$T21)))</f>
        <v/>
      </c>
      <c r="H21" s="37">
        <f>IF($T21=0,"",CHOOSE(INDEX('計算（触らない）'!$F$6:$F$105,$T21),"定額法","定率法","―","―"))</f>
        <v/>
      </c>
      <c r="I21" s="37">
        <f>IF($T21=0,"",IF(INDEX('計算（触らない）'!$F$6:$F$105,$T21)&lt;=2,INDEX('計算（触らない）'!$H$6:$H$105,$T21),"―"))</f>
        <v/>
      </c>
      <c r="J21" s="42">
        <f>IF($T21=0,"",INDEX('計算（触らない）'!$AO$6:$AO$105,$T21))</f>
        <v/>
      </c>
      <c r="K21" s="37">
        <f>IF($T21=0,"",IF(AND(INDEX('計算（触らない）'!$F$6:$F$105,$T21)&lt;=2,INDEX('計算（触らない）'!$AB$6:$AB$105,$T21)&gt;0),INDEX('計算（触らない）'!$AB$6:$AB$105,$T21)&amp;"/12","―"))</f>
        <v/>
      </c>
      <c r="L21" s="40">
        <f>IF($T21=0,"",IF(INDEX('計算（触らない）'!$F$6:$F$105,$T21)=4,"―",INDEX('計算（触らない）'!$Z$6:$Z$105,$T21)))</f>
        <v/>
      </c>
      <c r="M21" s="37">
        <f>IF($T21=0,"","―")</f>
        <v/>
      </c>
      <c r="N21" s="40">
        <f>IF($T21=0,"",IF(INDEX('計算（触らない）'!$F$6:$F$105,$T21)=4,"―",INDEX('計算（触らない）'!$Z$6:$Z$105,$T21)))</f>
        <v/>
      </c>
      <c r="O21" s="43">
        <f>IF($T21=0,"",IF(AND(INDEX('計算（触らない）'!$F$6:$F$105,$T21)=4,INDEX('計算（触らない）'!$N$6:$N$105,$T21)=1),"―",INDEX('計算（触らない）'!$N$6:$N$105,$T21)))</f>
        <v/>
      </c>
      <c r="P21" s="40">
        <f>IF($T21=0,"",INDEX('計算（触らない）'!$AC$6:$AC$105,$T21))</f>
        <v/>
      </c>
      <c r="Q21" s="40">
        <f>IF($T21=0,"",IF(INDEX('計算（触らない）'!$F$6:$F$105,$T21)=4,"―",INDEX('計算（触らない）'!$Y$6:$Y$105,$T21)))</f>
        <v/>
      </c>
      <c r="R21" s="38">
        <f>IF($T21=0,"",TRIM(IF(INDEX('計算（触らない）'!$F$6:$F$105,$T21)=4,IF('計算（触らない）'!$B$1=1,"措法67の5","措法28の2"),"")&amp;IF(INDEX('計算（触らない）'!$AA$6:$AA$105,$T21)&gt;0,"改定償却","")&amp;IF(INDEX('計算（触らない）'!$AD$6:$AD$105,$T21)=1," "&amp;YEAR(INDEX('計算（触らない）'!$Q$6:$Q$105,$T21))&amp;"年"&amp;MONTH(INDEX('計算（触らない）'!$Q$6:$Q$105,$T21))&amp;"月"&amp;DAY(INDEX('計算（触らない）'!$Q$6:$Q$105,$T21))&amp;"日 売却・除却","")))</f>
        <v/>
      </c>
      <c r="S21" s="68" t="n"/>
      <c r="T21" s="68">
        <f>IFERROR(MATCH(15,'計算（触らない）'!$AG$6:$AG$105,0),0)</f>
        <v/>
      </c>
    </row>
    <row r="22" ht="20" customHeight="1">
      <c r="A22" s="37">
        <f>IF($T22=0,"",INDEX('計算（触らない）'!$A$6:$A$105,$T22))</f>
        <v/>
      </c>
      <c r="B22" s="38">
        <f>IF($T22=0,"",INDEX('固定資産台帳'!$B$6:$B$105,$T22)&amp;"")</f>
        <v/>
      </c>
      <c r="C22" s="37">
        <f>IF($T22=0,"",INDEX('固定資産台帳'!$D$6:$D$105,$T22)&amp;"")</f>
        <v/>
      </c>
      <c r="D22" s="39">
        <f>IF($T22=0,"",INDEX('計算（触らない）'!$D$6:$D$105,$T22))</f>
        <v/>
      </c>
      <c r="E22" s="40">
        <f>IF($T22=0,"",INDEX('計算（触らない）'!$C$6:$C$105,$T22))</f>
        <v/>
      </c>
      <c r="F22" s="41">
        <f>IF($T22=0,"",IF(INDEX('計算（触らない）'!$F$6:$F$105,$T22)=2,INDEX('計算（触らない）'!$AM$6:$AM$105,$T22),""))</f>
        <v/>
      </c>
      <c r="G22" s="40">
        <f>IF($T22=0,"",IF(INDEX('計算（触らない）'!$F$6:$F$105,$T22)=4,"―",INDEX('計算（触らない）'!$AN$6:$AN$105,$T22)))</f>
        <v/>
      </c>
      <c r="H22" s="37">
        <f>IF($T22=0,"",CHOOSE(INDEX('計算（触らない）'!$F$6:$F$105,$T22),"定額法","定率法","―","―"))</f>
        <v/>
      </c>
      <c r="I22" s="37">
        <f>IF($T22=0,"",IF(INDEX('計算（触らない）'!$F$6:$F$105,$T22)&lt;=2,INDEX('計算（触らない）'!$H$6:$H$105,$T22),"―"))</f>
        <v/>
      </c>
      <c r="J22" s="42">
        <f>IF($T22=0,"",INDEX('計算（触らない）'!$AO$6:$AO$105,$T22))</f>
        <v/>
      </c>
      <c r="K22" s="37">
        <f>IF($T22=0,"",IF(AND(INDEX('計算（触らない）'!$F$6:$F$105,$T22)&lt;=2,INDEX('計算（触らない）'!$AB$6:$AB$105,$T22)&gt;0),INDEX('計算（触らない）'!$AB$6:$AB$105,$T22)&amp;"/12","―"))</f>
        <v/>
      </c>
      <c r="L22" s="40">
        <f>IF($T22=0,"",IF(INDEX('計算（触らない）'!$F$6:$F$105,$T22)=4,"―",INDEX('計算（触らない）'!$Z$6:$Z$105,$T22)))</f>
        <v/>
      </c>
      <c r="M22" s="37">
        <f>IF($T22=0,"","―")</f>
        <v/>
      </c>
      <c r="N22" s="40">
        <f>IF($T22=0,"",IF(INDEX('計算（触らない）'!$F$6:$F$105,$T22)=4,"―",INDEX('計算（触らない）'!$Z$6:$Z$105,$T22)))</f>
        <v/>
      </c>
      <c r="O22" s="43">
        <f>IF($T22=0,"",IF(AND(INDEX('計算（触らない）'!$F$6:$F$105,$T22)=4,INDEX('計算（触らない）'!$N$6:$N$105,$T22)=1),"―",INDEX('計算（触らない）'!$N$6:$N$105,$T22)))</f>
        <v/>
      </c>
      <c r="P22" s="40">
        <f>IF($T22=0,"",INDEX('計算（触らない）'!$AC$6:$AC$105,$T22))</f>
        <v/>
      </c>
      <c r="Q22" s="40">
        <f>IF($T22=0,"",IF(INDEX('計算（触らない）'!$F$6:$F$105,$T22)=4,"―",INDEX('計算（触らない）'!$Y$6:$Y$105,$T22)))</f>
        <v/>
      </c>
      <c r="R22" s="38">
        <f>IF($T22=0,"",TRIM(IF(INDEX('計算（触らない）'!$F$6:$F$105,$T22)=4,IF('計算（触らない）'!$B$1=1,"措法67の5","措法28の2"),"")&amp;IF(INDEX('計算（触らない）'!$AA$6:$AA$105,$T22)&gt;0,"改定償却","")&amp;IF(INDEX('計算（触らない）'!$AD$6:$AD$105,$T22)=1," "&amp;YEAR(INDEX('計算（触らない）'!$Q$6:$Q$105,$T22))&amp;"年"&amp;MONTH(INDEX('計算（触らない）'!$Q$6:$Q$105,$T22))&amp;"月"&amp;DAY(INDEX('計算（触らない）'!$Q$6:$Q$105,$T22))&amp;"日 売却・除却","")))</f>
        <v/>
      </c>
      <c r="S22" s="68" t="n"/>
      <c r="T22" s="68">
        <f>IFERROR(MATCH(16,'計算（触らない）'!$AG$6:$AG$105,0),0)</f>
        <v/>
      </c>
    </row>
    <row r="23" ht="20" customHeight="1">
      <c r="A23" s="37">
        <f>IF($T23=0,"",INDEX('計算（触らない）'!$A$6:$A$105,$T23))</f>
        <v/>
      </c>
      <c r="B23" s="38">
        <f>IF($T23=0,"",INDEX('固定資産台帳'!$B$6:$B$105,$T23)&amp;"")</f>
        <v/>
      </c>
      <c r="C23" s="37">
        <f>IF($T23=0,"",INDEX('固定資産台帳'!$D$6:$D$105,$T23)&amp;"")</f>
        <v/>
      </c>
      <c r="D23" s="39">
        <f>IF($T23=0,"",INDEX('計算（触らない）'!$D$6:$D$105,$T23))</f>
        <v/>
      </c>
      <c r="E23" s="40">
        <f>IF($T23=0,"",INDEX('計算（触らない）'!$C$6:$C$105,$T23))</f>
        <v/>
      </c>
      <c r="F23" s="41">
        <f>IF($T23=0,"",IF(INDEX('計算（触らない）'!$F$6:$F$105,$T23)=2,INDEX('計算（触らない）'!$AM$6:$AM$105,$T23),""))</f>
        <v/>
      </c>
      <c r="G23" s="40">
        <f>IF($T23=0,"",IF(INDEX('計算（触らない）'!$F$6:$F$105,$T23)=4,"―",INDEX('計算（触らない）'!$AN$6:$AN$105,$T23)))</f>
        <v/>
      </c>
      <c r="H23" s="37">
        <f>IF($T23=0,"",CHOOSE(INDEX('計算（触らない）'!$F$6:$F$105,$T23),"定額法","定率法","―","―"))</f>
        <v/>
      </c>
      <c r="I23" s="37">
        <f>IF($T23=0,"",IF(INDEX('計算（触らない）'!$F$6:$F$105,$T23)&lt;=2,INDEX('計算（触らない）'!$H$6:$H$105,$T23),"―"))</f>
        <v/>
      </c>
      <c r="J23" s="42">
        <f>IF($T23=0,"",INDEX('計算（触らない）'!$AO$6:$AO$105,$T23))</f>
        <v/>
      </c>
      <c r="K23" s="37">
        <f>IF($T23=0,"",IF(AND(INDEX('計算（触らない）'!$F$6:$F$105,$T23)&lt;=2,INDEX('計算（触らない）'!$AB$6:$AB$105,$T23)&gt;0),INDEX('計算（触らない）'!$AB$6:$AB$105,$T23)&amp;"/12","―"))</f>
        <v/>
      </c>
      <c r="L23" s="40">
        <f>IF($T23=0,"",IF(INDEX('計算（触らない）'!$F$6:$F$105,$T23)=4,"―",INDEX('計算（触らない）'!$Z$6:$Z$105,$T23)))</f>
        <v/>
      </c>
      <c r="M23" s="37">
        <f>IF($T23=0,"","―")</f>
        <v/>
      </c>
      <c r="N23" s="40">
        <f>IF($T23=0,"",IF(INDEX('計算（触らない）'!$F$6:$F$105,$T23)=4,"―",INDEX('計算（触らない）'!$Z$6:$Z$105,$T23)))</f>
        <v/>
      </c>
      <c r="O23" s="43">
        <f>IF($T23=0,"",IF(AND(INDEX('計算（触らない）'!$F$6:$F$105,$T23)=4,INDEX('計算（触らない）'!$N$6:$N$105,$T23)=1),"―",INDEX('計算（触らない）'!$N$6:$N$105,$T23)))</f>
        <v/>
      </c>
      <c r="P23" s="40">
        <f>IF($T23=0,"",INDEX('計算（触らない）'!$AC$6:$AC$105,$T23))</f>
        <v/>
      </c>
      <c r="Q23" s="40">
        <f>IF($T23=0,"",IF(INDEX('計算（触らない）'!$F$6:$F$105,$T23)=4,"―",INDEX('計算（触らない）'!$Y$6:$Y$105,$T23)))</f>
        <v/>
      </c>
      <c r="R23" s="38">
        <f>IF($T23=0,"",TRIM(IF(INDEX('計算（触らない）'!$F$6:$F$105,$T23)=4,IF('計算（触らない）'!$B$1=1,"措法67の5","措法28の2"),"")&amp;IF(INDEX('計算（触らない）'!$AA$6:$AA$105,$T23)&gt;0,"改定償却","")&amp;IF(INDEX('計算（触らない）'!$AD$6:$AD$105,$T23)=1," "&amp;YEAR(INDEX('計算（触らない）'!$Q$6:$Q$105,$T23))&amp;"年"&amp;MONTH(INDEX('計算（触らない）'!$Q$6:$Q$105,$T23))&amp;"月"&amp;DAY(INDEX('計算（触らない）'!$Q$6:$Q$105,$T23))&amp;"日 売却・除却","")))</f>
        <v/>
      </c>
      <c r="S23" s="68" t="n"/>
      <c r="T23" s="68">
        <f>IFERROR(MATCH(17,'計算（触らない）'!$AG$6:$AG$105,0),0)</f>
        <v/>
      </c>
    </row>
    <row r="24" ht="20" customHeight="1">
      <c r="A24" s="37">
        <f>IF($T24=0,"",INDEX('計算（触らない）'!$A$6:$A$105,$T24))</f>
        <v/>
      </c>
      <c r="B24" s="38">
        <f>IF($T24=0,"",INDEX('固定資産台帳'!$B$6:$B$105,$T24)&amp;"")</f>
        <v/>
      </c>
      <c r="C24" s="37">
        <f>IF($T24=0,"",INDEX('固定資産台帳'!$D$6:$D$105,$T24)&amp;"")</f>
        <v/>
      </c>
      <c r="D24" s="39">
        <f>IF($T24=0,"",INDEX('計算（触らない）'!$D$6:$D$105,$T24))</f>
        <v/>
      </c>
      <c r="E24" s="40">
        <f>IF($T24=0,"",INDEX('計算（触らない）'!$C$6:$C$105,$T24))</f>
        <v/>
      </c>
      <c r="F24" s="41">
        <f>IF($T24=0,"",IF(INDEX('計算（触らない）'!$F$6:$F$105,$T24)=2,INDEX('計算（触らない）'!$AM$6:$AM$105,$T24),""))</f>
        <v/>
      </c>
      <c r="G24" s="40">
        <f>IF($T24=0,"",IF(INDEX('計算（触らない）'!$F$6:$F$105,$T24)=4,"―",INDEX('計算（触らない）'!$AN$6:$AN$105,$T24)))</f>
        <v/>
      </c>
      <c r="H24" s="37">
        <f>IF($T24=0,"",CHOOSE(INDEX('計算（触らない）'!$F$6:$F$105,$T24),"定額法","定率法","―","―"))</f>
        <v/>
      </c>
      <c r="I24" s="37">
        <f>IF($T24=0,"",IF(INDEX('計算（触らない）'!$F$6:$F$105,$T24)&lt;=2,INDEX('計算（触らない）'!$H$6:$H$105,$T24),"―"))</f>
        <v/>
      </c>
      <c r="J24" s="42">
        <f>IF($T24=0,"",INDEX('計算（触らない）'!$AO$6:$AO$105,$T24))</f>
        <v/>
      </c>
      <c r="K24" s="37">
        <f>IF($T24=0,"",IF(AND(INDEX('計算（触らない）'!$F$6:$F$105,$T24)&lt;=2,INDEX('計算（触らない）'!$AB$6:$AB$105,$T24)&gt;0),INDEX('計算（触らない）'!$AB$6:$AB$105,$T24)&amp;"/12","―"))</f>
        <v/>
      </c>
      <c r="L24" s="40">
        <f>IF($T24=0,"",IF(INDEX('計算（触らない）'!$F$6:$F$105,$T24)=4,"―",INDEX('計算（触らない）'!$Z$6:$Z$105,$T24)))</f>
        <v/>
      </c>
      <c r="M24" s="37">
        <f>IF($T24=0,"","―")</f>
        <v/>
      </c>
      <c r="N24" s="40">
        <f>IF($T24=0,"",IF(INDEX('計算（触らない）'!$F$6:$F$105,$T24)=4,"―",INDEX('計算（触らない）'!$Z$6:$Z$105,$T24)))</f>
        <v/>
      </c>
      <c r="O24" s="43">
        <f>IF($T24=0,"",IF(AND(INDEX('計算（触らない）'!$F$6:$F$105,$T24)=4,INDEX('計算（触らない）'!$N$6:$N$105,$T24)=1),"―",INDEX('計算（触らない）'!$N$6:$N$105,$T24)))</f>
        <v/>
      </c>
      <c r="P24" s="40">
        <f>IF($T24=0,"",INDEX('計算（触らない）'!$AC$6:$AC$105,$T24))</f>
        <v/>
      </c>
      <c r="Q24" s="40">
        <f>IF($T24=0,"",IF(INDEX('計算（触らない）'!$F$6:$F$105,$T24)=4,"―",INDEX('計算（触らない）'!$Y$6:$Y$105,$T24)))</f>
        <v/>
      </c>
      <c r="R24" s="38">
        <f>IF($T24=0,"",TRIM(IF(INDEX('計算（触らない）'!$F$6:$F$105,$T24)=4,IF('計算（触らない）'!$B$1=1,"措法67の5","措法28の2"),"")&amp;IF(INDEX('計算（触らない）'!$AA$6:$AA$105,$T24)&gt;0,"改定償却","")&amp;IF(INDEX('計算（触らない）'!$AD$6:$AD$105,$T24)=1," "&amp;YEAR(INDEX('計算（触らない）'!$Q$6:$Q$105,$T24))&amp;"年"&amp;MONTH(INDEX('計算（触らない）'!$Q$6:$Q$105,$T24))&amp;"月"&amp;DAY(INDEX('計算（触らない）'!$Q$6:$Q$105,$T24))&amp;"日 売却・除却","")))</f>
        <v/>
      </c>
      <c r="S24" s="68" t="n"/>
      <c r="T24" s="68">
        <f>IFERROR(MATCH(18,'計算（触らない）'!$AG$6:$AG$105,0),0)</f>
        <v/>
      </c>
    </row>
    <row r="25" ht="20" customHeight="1">
      <c r="A25" s="37">
        <f>IF($T25=0,"",INDEX('計算（触らない）'!$A$6:$A$105,$T25))</f>
        <v/>
      </c>
      <c r="B25" s="38">
        <f>IF($T25=0,"",INDEX('固定資産台帳'!$B$6:$B$105,$T25)&amp;"")</f>
        <v/>
      </c>
      <c r="C25" s="37">
        <f>IF($T25=0,"",INDEX('固定資産台帳'!$D$6:$D$105,$T25)&amp;"")</f>
        <v/>
      </c>
      <c r="D25" s="39">
        <f>IF($T25=0,"",INDEX('計算（触らない）'!$D$6:$D$105,$T25))</f>
        <v/>
      </c>
      <c r="E25" s="40">
        <f>IF($T25=0,"",INDEX('計算（触らない）'!$C$6:$C$105,$T25))</f>
        <v/>
      </c>
      <c r="F25" s="41">
        <f>IF($T25=0,"",IF(INDEX('計算（触らない）'!$F$6:$F$105,$T25)=2,INDEX('計算（触らない）'!$AM$6:$AM$105,$T25),""))</f>
        <v/>
      </c>
      <c r="G25" s="40">
        <f>IF($T25=0,"",IF(INDEX('計算（触らない）'!$F$6:$F$105,$T25)=4,"―",INDEX('計算（触らない）'!$AN$6:$AN$105,$T25)))</f>
        <v/>
      </c>
      <c r="H25" s="37">
        <f>IF($T25=0,"",CHOOSE(INDEX('計算（触らない）'!$F$6:$F$105,$T25),"定額法","定率法","―","―"))</f>
        <v/>
      </c>
      <c r="I25" s="37">
        <f>IF($T25=0,"",IF(INDEX('計算（触らない）'!$F$6:$F$105,$T25)&lt;=2,INDEX('計算（触らない）'!$H$6:$H$105,$T25),"―"))</f>
        <v/>
      </c>
      <c r="J25" s="42">
        <f>IF($T25=0,"",INDEX('計算（触らない）'!$AO$6:$AO$105,$T25))</f>
        <v/>
      </c>
      <c r="K25" s="37">
        <f>IF($T25=0,"",IF(AND(INDEX('計算（触らない）'!$F$6:$F$105,$T25)&lt;=2,INDEX('計算（触らない）'!$AB$6:$AB$105,$T25)&gt;0),INDEX('計算（触らない）'!$AB$6:$AB$105,$T25)&amp;"/12","―"))</f>
        <v/>
      </c>
      <c r="L25" s="40">
        <f>IF($T25=0,"",IF(INDEX('計算（触らない）'!$F$6:$F$105,$T25)=4,"―",INDEX('計算（触らない）'!$Z$6:$Z$105,$T25)))</f>
        <v/>
      </c>
      <c r="M25" s="37">
        <f>IF($T25=0,"","―")</f>
        <v/>
      </c>
      <c r="N25" s="40">
        <f>IF($T25=0,"",IF(INDEX('計算（触らない）'!$F$6:$F$105,$T25)=4,"―",INDEX('計算（触らない）'!$Z$6:$Z$105,$T25)))</f>
        <v/>
      </c>
      <c r="O25" s="43">
        <f>IF($T25=0,"",IF(AND(INDEX('計算（触らない）'!$F$6:$F$105,$T25)=4,INDEX('計算（触らない）'!$N$6:$N$105,$T25)=1),"―",INDEX('計算（触らない）'!$N$6:$N$105,$T25)))</f>
        <v/>
      </c>
      <c r="P25" s="40">
        <f>IF($T25=0,"",INDEX('計算（触らない）'!$AC$6:$AC$105,$T25))</f>
        <v/>
      </c>
      <c r="Q25" s="40">
        <f>IF($T25=0,"",IF(INDEX('計算（触らない）'!$F$6:$F$105,$T25)=4,"―",INDEX('計算（触らない）'!$Y$6:$Y$105,$T25)))</f>
        <v/>
      </c>
      <c r="R25" s="38">
        <f>IF($T25=0,"",TRIM(IF(INDEX('計算（触らない）'!$F$6:$F$105,$T25)=4,IF('計算（触らない）'!$B$1=1,"措法67の5","措法28の2"),"")&amp;IF(INDEX('計算（触らない）'!$AA$6:$AA$105,$T25)&gt;0,"改定償却","")&amp;IF(INDEX('計算（触らない）'!$AD$6:$AD$105,$T25)=1," "&amp;YEAR(INDEX('計算（触らない）'!$Q$6:$Q$105,$T25))&amp;"年"&amp;MONTH(INDEX('計算（触らない）'!$Q$6:$Q$105,$T25))&amp;"月"&amp;DAY(INDEX('計算（触らない）'!$Q$6:$Q$105,$T25))&amp;"日 売却・除却","")))</f>
        <v/>
      </c>
      <c r="S25" s="68" t="n"/>
      <c r="T25" s="68">
        <f>IFERROR(MATCH(19,'計算（触らない）'!$AG$6:$AG$105,0),0)</f>
        <v/>
      </c>
    </row>
    <row r="26" ht="20" customHeight="1">
      <c r="A26" s="37">
        <f>IF($T26=0,"",INDEX('計算（触らない）'!$A$6:$A$105,$T26))</f>
        <v/>
      </c>
      <c r="B26" s="38">
        <f>IF($T26=0,"",INDEX('固定資産台帳'!$B$6:$B$105,$T26)&amp;"")</f>
        <v/>
      </c>
      <c r="C26" s="37">
        <f>IF($T26=0,"",INDEX('固定資産台帳'!$D$6:$D$105,$T26)&amp;"")</f>
        <v/>
      </c>
      <c r="D26" s="39">
        <f>IF($T26=0,"",INDEX('計算（触らない）'!$D$6:$D$105,$T26))</f>
        <v/>
      </c>
      <c r="E26" s="40">
        <f>IF($T26=0,"",INDEX('計算（触らない）'!$C$6:$C$105,$T26))</f>
        <v/>
      </c>
      <c r="F26" s="41">
        <f>IF($T26=0,"",IF(INDEX('計算（触らない）'!$F$6:$F$105,$T26)=2,INDEX('計算（触らない）'!$AM$6:$AM$105,$T26),""))</f>
        <v/>
      </c>
      <c r="G26" s="40">
        <f>IF($T26=0,"",IF(INDEX('計算（触らない）'!$F$6:$F$105,$T26)=4,"―",INDEX('計算（触らない）'!$AN$6:$AN$105,$T26)))</f>
        <v/>
      </c>
      <c r="H26" s="37">
        <f>IF($T26=0,"",CHOOSE(INDEX('計算（触らない）'!$F$6:$F$105,$T26),"定額法","定率法","―","―"))</f>
        <v/>
      </c>
      <c r="I26" s="37">
        <f>IF($T26=0,"",IF(INDEX('計算（触らない）'!$F$6:$F$105,$T26)&lt;=2,INDEX('計算（触らない）'!$H$6:$H$105,$T26),"―"))</f>
        <v/>
      </c>
      <c r="J26" s="42">
        <f>IF($T26=0,"",INDEX('計算（触らない）'!$AO$6:$AO$105,$T26))</f>
        <v/>
      </c>
      <c r="K26" s="37">
        <f>IF($T26=0,"",IF(AND(INDEX('計算（触らない）'!$F$6:$F$105,$T26)&lt;=2,INDEX('計算（触らない）'!$AB$6:$AB$105,$T26)&gt;0),INDEX('計算（触らない）'!$AB$6:$AB$105,$T26)&amp;"/12","―"))</f>
        <v/>
      </c>
      <c r="L26" s="40">
        <f>IF($T26=0,"",IF(INDEX('計算（触らない）'!$F$6:$F$105,$T26)=4,"―",INDEX('計算（触らない）'!$Z$6:$Z$105,$T26)))</f>
        <v/>
      </c>
      <c r="M26" s="37">
        <f>IF($T26=0,"","―")</f>
        <v/>
      </c>
      <c r="N26" s="40">
        <f>IF($T26=0,"",IF(INDEX('計算（触らない）'!$F$6:$F$105,$T26)=4,"―",INDEX('計算（触らない）'!$Z$6:$Z$105,$T26)))</f>
        <v/>
      </c>
      <c r="O26" s="43">
        <f>IF($T26=0,"",IF(AND(INDEX('計算（触らない）'!$F$6:$F$105,$T26)=4,INDEX('計算（触らない）'!$N$6:$N$105,$T26)=1),"―",INDEX('計算（触らない）'!$N$6:$N$105,$T26)))</f>
        <v/>
      </c>
      <c r="P26" s="40">
        <f>IF($T26=0,"",INDEX('計算（触らない）'!$AC$6:$AC$105,$T26))</f>
        <v/>
      </c>
      <c r="Q26" s="40">
        <f>IF($T26=0,"",IF(INDEX('計算（触らない）'!$F$6:$F$105,$T26)=4,"―",INDEX('計算（触らない）'!$Y$6:$Y$105,$T26)))</f>
        <v/>
      </c>
      <c r="R26" s="38">
        <f>IF($T26=0,"",TRIM(IF(INDEX('計算（触らない）'!$F$6:$F$105,$T26)=4,IF('計算（触らない）'!$B$1=1,"措法67の5","措法28の2"),"")&amp;IF(INDEX('計算（触らない）'!$AA$6:$AA$105,$T26)&gt;0,"改定償却","")&amp;IF(INDEX('計算（触らない）'!$AD$6:$AD$105,$T26)=1," "&amp;YEAR(INDEX('計算（触らない）'!$Q$6:$Q$105,$T26))&amp;"年"&amp;MONTH(INDEX('計算（触らない）'!$Q$6:$Q$105,$T26))&amp;"月"&amp;DAY(INDEX('計算（触らない）'!$Q$6:$Q$105,$T26))&amp;"日 売却・除却","")))</f>
        <v/>
      </c>
      <c r="S26" s="68" t="n"/>
      <c r="T26" s="68">
        <f>IFERROR(MATCH(20,'計算（触らない）'!$AG$6:$AG$105,0),0)</f>
        <v/>
      </c>
    </row>
    <row r="27" ht="20" customHeight="1">
      <c r="A27" s="37">
        <f>IF($T27=0,"",INDEX('計算（触らない）'!$A$6:$A$105,$T27))</f>
        <v/>
      </c>
      <c r="B27" s="38">
        <f>IF($T27=0,"",INDEX('固定資産台帳'!$B$6:$B$105,$T27)&amp;"")</f>
        <v/>
      </c>
      <c r="C27" s="37">
        <f>IF($T27=0,"",INDEX('固定資産台帳'!$D$6:$D$105,$T27)&amp;"")</f>
        <v/>
      </c>
      <c r="D27" s="39">
        <f>IF($T27=0,"",INDEX('計算（触らない）'!$D$6:$D$105,$T27))</f>
        <v/>
      </c>
      <c r="E27" s="40">
        <f>IF($T27=0,"",INDEX('計算（触らない）'!$C$6:$C$105,$T27))</f>
        <v/>
      </c>
      <c r="F27" s="41">
        <f>IF($T27=0,"",IF(INDEX('計算（触らない）'!$F$6:$F$105,$T27)=2,INDEX('計算（触らない）'!$AM$6:$AM$105,$T27),""))</f>
        <v/>
      </c>
      <c r="G27" s="40">
        <f>IF($T27=0,"",IF(INDEX('計算（触らない）'!$F$6:$F$105,$T27)=4,"―",INDEX('計算（触らない）'!$AN$6:$AN$105,$T27)))</f>
        <v/>
      </c>
      <c r="H27" s="37">
        <f>IF($T27=0,"",CHOOSE(INDEX('計算（触らない）'!$F$6:$F$105,$T27),"定額法","定率法","―","―"))</f>
        <v/>
      </c>
      <c r="I27" s="37">
        <f>IF($T27=0,"",IF(INDEX('計算（触らない）'!$F$6:$F$105,$T27)&lt;=2,INDEX('計算（触らない）'!$H$6:$H$105,$T27),"―"))</f>
        <v/>
      </c>
      <c r="J27" s="42">
        <f>IF($T27=0,"",INDEX('計算（触らない）'!$AO$6:$AO$105,$T27))</f>
        <v/>
      </c>
      <c r="K27" s="37">
        <f>IF($T27=0,"",IF(AND(INDEX('計算（触らない）'!$F$6:$F$105,$T27)&lt;=2,INDEX('計算（触らない）'!$AB$6:$AB$105,$T27)&gt;0),INDEX('計算（触らない）'!$AB$6:$AB$105,$T27)&amp;"/12","―"))</f>
        <v/>
      </c>
      <c r="L27" s="40">
        <f>IF($T27=0,"",IF(INDEX('計算（触らない）'!$F$6:$F$105,$T27)=4,"―",INDEX('計算（触らない）'!$Z$6:$Z$105,$T27)))</f>
        <v/>
      </c>
      <c r="M27" s="37">
        <f>IF($T27=0,"","―")</f>
        <v/>
      </c>
      <c r="N27" s="40">
        <f>IF($T27=0,"",IF(INDEX('計算（触らない）'!$F$6:$F$105,$T27)=4,"―",INDEX('計算（触らない）'!$Z$6:$Z$105,$T27)))</f>
        <v/>
      </c>
      <c r="O27" s="43">
        <f>IF($T27=0,"",IF(AND(INDEX('計算（触らない）'!$F$6:$F$105,$T27)=4,INDEX('計算（触らない）'!$N$6:$N$105,$T27)=1),"―",INDEX('計算（触らない）'!$N$6:$N$105,$T27)))</f>
        <v/>
      </c>
      <c r="P27" s="40">
        <f>IF($T27=0,"",INDEX('計算（触らない）'!$AC$6:$AC$105,$T27))</f>
        <v/>
      </c>
      <c r="Q27" s="40">
        <f>IF($T27=0,"",IF(INDEX('計算（触らない）'!$F$6:$F$105,$T27)=4,"―",INDEX('計算（触らない）'!$Y$6:$Y$105,$T27)))</f>
        <v/>
      </c>
      <c r="R27" s="38">
        <f>IF($T27=0,"",TRIM(IF(INDEX('計算（触らない）'!$F$6:$F$105,$T27)=4,IF('計算（触らない）'!$B$1=1,"措法67の5","措法28の2"),"")&amp;IF(INDEX('計算（触らない）'!$AA$6:$AA$105,$T27)&gt;0,"改定償却","")&amp;IF(INDEX('計算（触らない）'!$AD$6:$AD$105,$T27)=1," "&amp;YEAR(INDEX('計算（触らない）'!$Q$6:$Q$105,$T27))&amp;"年"&amp;MONTH(INDEX('計算（触らない）'!$Q$6:$Q$105,$T27))&amp;"月"&amp;DAY(INDEX('計算（触らない）'!$Q$6:$Q$105,$T27))&amp;"日 売却・除却","")))</f>
        <v/>
      </c>
      <c r="S27" s="68" t="n"/>
      <c r="T27" s="68">
        <f>IFERROR(MATCH(21,'計算（触らない）'!$AG$6:$AG$105,0),0)</f>
        <v/>
      </c>
    </row>
    <row r="28" ht="20" customHeight="1">
      <c r="A28" s="37">
        <f>IF($T28=0,"",INDEX('計算（触らない）'!$A$6:$A$105,$T28))</f>
        <v/>
      </c>
      <c r="B28" s="38">
        <f>IF($T28=0,"",INDEX('固定資産台帳'!$B$6:$B$105,$T28)&amp;"")</f>
        <v/>
      </c>
      <c r="C28" s="37">
        <f>IF($T28=0,"",INDEX('固定資産台帳'!$D$6:$D$105,$T28)&amp;"")</f>
        <v/>
      </c>
      <c r="D28" s="39">
        <f>IF($T28=0,"",INDEX('計算（触らない）'!$D$6:$D$105,$T28))</f>
        <v/>
      </c>
      <c r="E28" s="40">
        <f>IF($T28=0,"",INDEX('計算（触らない）'!$C$6:$C$105,$T28))</f>
        <v/>
      </c>
      <c r="F28" s="41">
        <f>IF($T28=0,"",IF(INDEX('計算（触らない）'!$F$6:$F$105,$T28)=2,INDEX('計算（触らない）'!$AM$6:$AM$105,$T28),""))</f>
        <v/>
      </c>
      <c r="G28" s="40">
        <f>IF($T28=0,"",IF(INDEX('計算（触らない）'!$F$6:$F$105,$T28)=4,"―",INDEX('計算（触らない）'!$AN$6:$AN$105,$T28)))</f>
        <v/>
      </c>
      <c r="H28" s="37">
        <f>IF($T28=0,"",CHOOSE(INDEX('計算（触らない）'!$F$6:$F$105,$T28),"定額法","定率法","―","―"))</f>
        <v/>
      </c>
      <c r="I28" s="37">
        <f>IF($T28=0,"",IF(INDEX('計算（触らない）'!$F$6:$F$105,$T28)&lt;=2,INDEX('計算（触らない）'!$H$6:$H$105,$T28),"―"))</f>
        <v/>
      </c>
      <c r="J28" s="42">
        <f>IF($T28=0,"",INDEX('計算（触らない）'!$AO$6:$AO$105,$T28))</f>
        <v/>
      </c>
      <c r="K28" s="37">
        <f>IF($T28=0,"",IF(AND(INDEX('計算（触らない）'!$F$6:$F$105,$T28)&lt;=2,INDEX('計算（触らない）'!$AB$6:$AB$105,$T28)&gt;0),INDEX('計算（触らない）'!$AB$6:$AB$105,$T28)&amp;"/12","―"))</f>
        <v/>
      </c>
      <c r="L28" s="40">
        <f>IF($T28=0,"",IF(INDEX('計算（触らない）'!$F$6:$F$105,$T28)=4,"―",INDEX('計算（触らない）'!$Z$6:$Z$105,$T28)))</f>
        <v/>
      </c>
      <c r="M28" s="37">
        <f>IF($T28=0,"","―")</f>
        <v/>
      </c>
      <c r="N28" s="40">
        <f>IF($T28=0,"",IF(INDEX('計算（触らない）'!$F$6:$F$105,$T28)=4,"―",INDEX('計算（触らない）'!$Z$6:$Z$105,$T28)))</f>
        <v/>
      </c>
      <c r="O28" s="43">
        <f>IF($T28=0,"",IF(AND(INDEX('計算（触らない）'!$F$6:$F$105,$T28)=4,INDEX('計算（触らない）'!$N$6:$N$105,$T28)=1),"―",INDEX('計算（触らない）'!$N$6:$N$105,$T28)))</f>
        <v/>
      </c>
      <c r="P28" s="40">
        <f>IF($T28=0,"",INDEX('計算（触らない）'!$AC$6:$AC$105,$T28))</f>
        <v/>
      </c>
      <c r="Q28" s="40">
        <f>IF($T28=0,"",IF(INDEX('計算（触らない）'!$F$6:$F$105,$T28)=4,"―",INDEX('計算（触らない）'!$Y$6:$Y$105,$T28)))</f>
        <v/>
      </c>
      <c r="R28" s="38">
        <f>IF($T28=0,"",TRIM(IF(INDEX('計算（触らない）'!$F$6:$F$105,$T28)=4,IF('計算（触らない）'!$B$1=1,"措法67の5","措法28の2"),"")&amp;IF(INDEX('計算（触らない）'!$AA$6:$AA$105,$T28)&gt;0,"改定償却","")&amp;IF(INDEX('計算（触らない）'!$AD$6:$AD$105,$T28)=1," "&amp;YEAR(INDEX('計算（触らない）'!$Q$6:$Q$105,$T28))&amp;"年"&amp;MONTH(INDEX('計算（触らない）'!$Q$6:$Q$105,$T28))&amp;"月"&amp;DAY(INDEX('計算（触らない）'!$Q$6:$Q$105,$T28))&amp;"日 売却・除却","")))</f>
        <v/>
      </c>
      <c r="S28" s="68" t="n"/>
      <c r="T28" s="68">
        <f>IFERROR(MATCH(22,'計算（触らない）'!$AG$6:$AG$105,0),0)</f>
        <v/>
      </c>
    </row>
    <row r="29" ht="20" customHeight="1">
      <c r="A29" s="37">
        <f>IF($T29=0,"",INDEX('計算（触らない）'!$A$6:$A$105,$T29))</f>
        <v/>
      </c>
      <c r="B29" s="38">
        <f>IF($T29=0,"",INDEX('固定資産台帳'!$B$6:$B$105,$T29)&amp;"")</f>
        <v/>
      </c>
      <c r="C29" s="37">
        <f>IF($T29=0,"",INDEX('固定資産台帳'!$D$6:$D$105,$T29)&amp;"")</f>
        <v/>
      </c>
      <c r="D29" s="39">
        <f>IF($T29=0,"",INDEX('計算（触らない）'!$D$6:$D$105,$T29))</f>
        <v/>
      </c>
      <c r="E29" s="40">
        <f>IF($T29=0,"",INDEX('計算（触らない）'!$C$6:$C$105,$T29))</f>
        <v/>
      </c>
      <c r="F29" s="41">
        <f>IF($T29=0,"",IF(INDEX('計算（触らない）'!$F$6:$F$105,$T29)=2,INDEX('計算（触らない）'!$AM$6:$AM$105,$T29),""))</f>
        <v/>
      </c>
      <c r="G29" s="40">
        <f>IF($T29=0,"",IF(INDEX('計算（触らない）'!$F$6:$F$105,$T29)=4,"―",INDEX('計算（触らない）'!$AN$6:$AN$105,$T29)))</f>
        <v/>
      </c>
      <c r="H29" s="37">
        <f>IF($T29=0,"",CHOOSE(INDEX('計算（触らない）'!$F$6:$F$105,$T29),"定額法","定率法","―","―"))</f>
        <v/>
      </c>
      <c r="I29" s="37">
        <f>IF($T29=0,"",IF(INDEX('計算（触らない）'!$F$6:$F$105,$T29)&lt;=2,INDEX('計算（触らない）'!$H$6:$H$105,$T29),"―"))</f>
        <v/>
      </c>
      <c r="J29" s="42">
        <f>IF($T29=0,"",INDEX('計算（触らない）'!$AO$6:$AO$105,$T29))</f>
        <v/>
      </c>
      <c r="K29" s="37">
        <f>IF($T29=0,"",IF(AND(INDEX('計算（触らない）'!$F$6:$F$105,$T29)&lt;=2,INDEX('計算（触らない）'!$AB$6:$AB$105,$T29)&gt;0),INDEX('計算（触らない）'!$AB$6:$AB$105,$T29)&amp;"/12","―"))</f>
        <v/>
      </c>
      <c r="L29" s="40">
        <f>IF($T29=0,"",IF(INDEX('計算（触らない）'!$F$6:$F$105,$T29)=4,"―",INDEX('計算（触らない）'!$Z$6:$Z$105,$T29)))</f>
        <v/>
      </c>
      <c r="M29" s="37">
        <f>IF($T29=0,"","―")</f>
        <v/>
      </c>
      <c r="N29" s="40">
        <f>IF($T29=0,"",IF(INDEX('計算（触らない）'!$F$6:$F$105,$T29)=4,"―",INDEX('計算（触らない）'!$Z$6:$Z$105,$T29)))</f>
        <v/>
      </c>
      <c r="O29" s="43">
        <f>IF($T29=0,"",IF(AND(INDEX('計算（触らない）'!$F$6:$F$105,$T29)=4,INDEX('計算（触らない）'!$N$6:$N$105,$T29)=1),"―",INDEX('計算（触らない）'!$N$6:$N$105,$T29)))</f>
        <v/>
      </c>
      <c r="P29" s="40">
        <f>IF($T29=0,"",INDEX('計算（触らない）'!$AC$6:$AC$105,$T29))</f>
        <v/>
      </c>
      <c r="Q29" s="40">
        <f>IF($T29=0,"",IF(INDEX('計算（触らない）'!$F$6:$F$105,$T29)=4,"―",INDEX('計算（触らない）'!$Y$6:$Y$105,$T29)))</f>
        <v/>
      </c>
      <c r="R29" s="38">
        <f>IF($T29=0,"",TRIM(IF(INDEX('計算（触らない）'!$F$6:$F$105,$T29)=4,IF('計算（触らない）'!$B$1=1,"措法67の5","措法28の2"),"")&amp;IF(INDEX('計算（触らない）'!$AA$6:$AA$105,$T29)&gt;0,"改定償却","")&amp;IF(INDEX('計算（触らない）'!$AD$6:$AD$105,$T29)=1," "&amp;YEAR(INDEX('計算（触らない）'!$Q$6:$Q$105,$T29))&amp;"年"&amp;MONTH(INDEX('計算（触らない）'!$Q$6:$Q$105,$T29))&amp;"月"&amp;DAY(INDEX('計算（触らない）'!$Q$6:$Q$105,$T29))&amp;"日 売却・除却","")))</f>
        <v/>
      </c>
      <c r="S29" s="68" t="n"/>
      <c r="T29" s="68">
        <f>IFERROR(MATCH(23,'計算（触らない）'!$AG$6:$AG$105,0),0)</f>
        <v/>
      </c>
    </row>
    <row r="30" ht="20" customHeight="1">
      <c r="A30" s="37">
        <f>IF($T30=0,"",INDEX('計算（触らない）'!$A$6:$A$105,$T30))</f>
        <v/>
      </c>
      <c r="B30" s="38">
        <f>IF($T30=0,"",INDEX('固定資産台帳'!$B$6:$B$105,$T30)&amp;"")</f>
        <v/>
      </c>
      <c r="C30" s="37">
        <f>IF($T30=0,"",INDEX('固定資産台帳'!$D$6:$D$105,$T30)&amp;"")</f>
        <v/>
      </c>
      <c r="D30" s="39">
        <f>IF($T30=0,"",INDEX('計算（触らない）'!$D$6:$D$105,$T30))</f>
        <v/>
      </c>
      <c r="E30" s="40">
        <f>IF($T30=0,"",INDEX('計算（触らない）'!$C$6:$C$105,$T30))</f>
        <v/>
      </c>
      <c r="F30" s="41">
        <f>IF($T30=0,"",IF(INDEX('計算（触らない）'!$F$6:$F$105,$T30)=2,INDEX('計算（触らない）'!$AM$6:$AM$105,$T30),""))</f>
        <v/>
      </c>
      <c r="G30" s="40">
        <f>IF($T30=0,"",IF(INDEX('計算（触らない）'!$F$6:$F$105,$T30)=4,"―",INDEX('計算（触らない）'!$AN$6:$AN$105,$T30)))</f>
        <v/>
      </c>
      <c r="H30" s="37">
        <f>IF($T30=0,"",CHOOSE(INDEX('計算（触らない）'!$F$6:$F$105,$T30),"定額法","定率法","―","―"))</f>
        <v/>
      </c>
      <c r="I30" s="37">
        <f>IF($T30=0,"",IF(INDEX('計算（触らない）'!$F$6:$F$105,$T30)&lt;=2,INDEX('計算（触らない）'!$H$6:$H$105,$T30),"―"))</f>
        <v/>
      </c>
      <c r="J30" s="42">
        <f>IF($T30=0,"",INDEX('計算（触らない）'!$AO$6:$AO$105,$T30))</f>
        <v/>
      </c>
      <c r="K30" s="37">
        <f>IF($T30=0,"",IF(AND(INDEX('計算（触らない）'!$F$6:$F$105,$T30)&lt;=2,INDEX('計算（触らない）'!$AB$6:$AB$105,$T30)&gt;0),INDEX('計算（触らない）'!$AB$6:$AB$105,$T30)&amp;"/12","―"))</f>
        <v/>
      </c>
      <c r="L30" s="40">
        <f>IF($T30=0,"",IF(INDEX('計算（触らない）'!$F$6:$F$105,$T30)=4,"―",INDEX('計算（触らない）'!$Z$6:$Z$105,$T30)))</f>
        <v/>
      </c>
      <c r="M30" s="37">
        <f>IF($T30=0,"","―")</f>
        <v/>
      </c>
      <c r="N30" s="40">
        <f>IF($T30=0,"",IF(INDEX('計算（触らない）'!$F$6:$F$105,$T30)=4,"―",INDEX('計算（触らない）'!$Z$6:$Z$105,$T30)))</f>
        <v/>
      </c>
      <c r="O30" s="43">
        <f>IF($T30=0,"",IF(AND(INDEX('計算（触らない）'!$F$6:$F$105,$T30)=4,INDEX('計算（触らない）'!$N$6:$N$105,$T30)=1),"―",INDEX('計算（触らない）'!$N$6:$N$105,$T30)))</f>
        <v/>
      </c>
      <c r="P30" s="40">
        <f>IF($T30=0,"",INDEX('計算（触らない）'!$AC$6:$AC$105,$T30))</f>
        <v/>
      </c>
      <c r="Q30" s="40">
        <f>IF($T30=0,"",IF(INDEX('計算（触らない）'!$F$6:$F$105,$T30)=4,"―",INDEX('計算（触らない）'!$Y$6:$Y$105,$T30)))</f>
        <v/>
      </c>
      <c r="R30" s="38">
        <f>IF($T30=0,"",TRIM(IF(INDEX('計算（触らない）'!$F$6:$F$105,$T30)=4,IF('計算（触らない）'!$B$1=1,"措法67の5","措法28の2"),"")&amp;IF(INDEX('計算（触らない）'!$AA$6:$AA$105,$T30)&gt;0,"改定償却","")&amp;IF(INDEX('計算（触らない）'!$AD$6:$AD$105,$T30)=1," "&amp;YEAR(INDEX('計算（触らない）'!$Q$6:$Q$105,$T30))&amp;"年"&amp;MONTH(INDEX('計算（触らない）'!$Q$6:$Q$105,$T30))&amp;"月"&amp;DAY(INDEX('計算（触らない）'!$Q$6:$Q$105,$T30))&amp;"日 売却・除却","")))</f>
        <v/>
      </c>
      <c r="S30" s="68" t="n"/>
      <c r="T30" s="68">
        <f>IFERROR(MATCH(24,'計算（触らない）'!$AG$6:$AG$105,0),0)</f>
        <v/>
      </c>
    </row>
    <row r="31" ht="20" customHeight="1">
      <c r="A31" s="37">
        <f>IF($T31=0,"",INDEX('計算（触らない）'!$A$6:$A$105,$T31))</f>
        <v/>
      </c>
      <c r="B31" s="38">
        <f>IF($T31=0,"",INDEX('固定資産台帳'!$B$6:$B$105,$T31)&amp;"")</f>
        <v/>
      </c>
      <c r="C31" s="37">
        <f>IF($T31=0,"",INDEX('固定資産台帳'!$D$6:$D$105,$T31)&amp;"")</f>
        <v/>
      </c>
      <c r="D31" s="39">
        <f>IF($T31=0,"",INDEX('計算（触らない）'!$D$6:$D$105,$T31))</f>
        <v/>
      </c>
      <c r="E31" s="40">
        <f>IF($T31=0,"",INDEX('計算（触らない）'!$C$6:$C$105,$T31))</f>
        <v/>
      </c>
      <c r="F31" s="41">
        <f>IF($T31=0,"",IF(INDEX('計算（触らない）'!$F$6:$F$105,$T31)=2,INDEX('計算（触らない）'!$AM$6:$AM$105,$T31),""))</f>
        <v/>
      </c>
      <c r="G31" s="40">
        <f>IF($T31=0,"",IF(INDEX('計算（触らない）'!$F$6:$F$105,$T31)=4,"―",INDEX('計算（触らない）'!$AN$6:$AN$105,$T31)))</f>
        <v/>
      </c>
      <c r="H31" s="37">
        <f>IF($T31=0,"",CHOOSE(INDEX('計算（触らない）'!$F$6:$F$105,$T31),"定額法","定率法","―","―"))</f>
        <v/>
      </c>
      <c r="I31" s="37">
        <f>IF($T31=0,"",IF(INDEX('計算（触らない）'!$F$6:$F$105,$T31)&lt;=2,INDEX('計算（触らない）'!$H$6:$H$105,$T31),"―"))</f>
        <v/>
      </c>
      <c r="J31" s="42">
        <f>IF($T31=0,"",INDEX('計算（触らない）'!$AO$6:$AO$105,$T31))</f>
        <v/>
      </c>
      <c r="K31" s="37">
        <f>IF($T31=0,"",IF(AND(INDEX('計算（触らない）'!$F$6:$F$105,$T31)&lt;=2,INDEX('計算（触らない）'!$AB$6:$AB$105,$T31)&gt;0),INDEX('計算（触らない）'!$AB$6:$AB$105,$T31)&amp;"/12","―"))</f>
        <v/>
      </c>
      <c r="L31" s="40">
        <f>IF($T31=0,"",IF(INDEX('計算（触らない）'!$F$6:$F$105,$T31)=4,"―",INDEX('計算（触らない）'!$Z$6:$Z$105,$T31)))</f>
        <v/>
      </c>
      <c r="M31" s="37">
        <f>IF($T31=0,"","―")</f>
        <v/>
      </c>
      <c r="N31" s="40">
        <f>IF($T31=0,"",IF(INDEX('計算（触らない）'!$F$6:$F$105,$T31)=4,"―",INDEX('計算（触らない）'!$Z$6:$Z$105,$T31)))</f>
        <v/>
      </c>
      <c r="O31" s="43">
        <f>IF($T31=0,"",IF(AND(INDEX('計算（触らない）'!$F$6:$F$105,$T31)=4,INDEX('計算（触らない）'!$N$6:$N$105,$T31)=1),"―",INDEX('計算（触らない）'!$N$6:$N$105,$T31)))</f>
        <v/>
      </c>
      <c r="P31" s="40">
        <f>IF($T31=0,"",INDEX('計算（触らない）'!$AC$6:$AC$105,$T31))</f>
        <v/>
      </c>
      <c r="Q31" s="40">
        <f>IF($T31=0,"",IF(INDEX('計算（触らない）'!$F$6:$F$105,$T31)=4,"―",INDEX('計算（触らない）'!$Y$6:$Y$105,$T31)))</f>
        <v/>
      </c>
      <c r="R31" s="38">
        <f>IF($T31=0,"",TRIM(IF(INDEX('計算（触らない）'!$F$6:$F$105,$T31)=4,IF('計算（触らない）'!$B$1=1,"措法67の5","措法28の2"),"")&amp;IF(INDEX('計算（触らない）'!$AA$6:$AA$105,$T31)&gt;0,"改定償却","")&amp;IF(INDEX('計算（触らない）'!$AD$6:$AD$105,$T31)=1," "&amp;YEAR(INDEX('計算（触らない）'!$Q$6:$Q$105,$T31))&amp;"年"&amp;MONTH(INDEX('計算（触らない）'!$Q$6:$Q$105,$T31))&amp;"月"&amp;DAY(INDEX('計算（触らない）'!$Q$6:$Q$105,$T31))&amp;"日 売却・除却","")))</f>
        <v/>
      </c>
      <c r="S31" s="68" t="n"/>
      <c r="T31" s="68">
        <f>IFERROR(MATCH(25,'計算（触らない）'!$AG$6:$AG$105,0),0)</f>
        <v/>
      </c>
    </row>
    <row r="32" ht="20" customHeight="1">
      <c r="A32" s="37">
        <f>IF($T32=0,"",INDEX('計算（触らない）'!$A$6:$A$105,$T32))</f>
        <v/>
      </c>
      <c r="B32" s="38">
        <f>IF($T32=0,"",INDEX('固定資産台帳'!$B$6:$B$105,$T32)&amp;"")</f>
        <v/>
      </c>
      <c r="C32" s="37">
        <f>IF($T32=0,"",INDEX('固定資産台帳'!$D$6:$D$105,$T32)&amp;"")</f>
        <v/>
      </c>
      <c r="D32" s="39">
        <f>IF($T32=0,"",INDEX('計算（触らない）'!$D$6:$D$105,$T32))</f>
        <v/>
      </c>
      <c r="E32" s="40">
        <f>IF($T32=0,"",INDEX('計算（触らない）'!$C$6:$C$105,$T32))</f>
        <v/>
      </c>
      <c r="F32" s="41">
        <f>IF($T32=0,"",IF(INDEX('計算（触らない）'!$F$6:$F$105,$T32)=2,INDEX('計算（触らない）'!$AM$6:$AM$105,$T32),""))</f>
        <v/>
      </c>
      <c r="G32" s="40">
        <f>IF($T32=0,"",IF(INDEX('計算（触らない）'!$F$6:$F$105,$T32)=4,"―",INDEX('計算（触らない）'!$AN$6:$AN$105,$T32)))</f>
        <v/>
      </c>
      <c r="H32" s="37">
        <f>IF($T32=0,"",CHOOSE(INDEX('計算（触らない）'!$F$6:$F$105,$T32),"定額法","定率法","―","―"))</f>
        <v/>
      </c>
      <c r="I32" s="37">
        <f>IF($T32=0,"",IF(INDEX('計算（触らない）'!$F$6:$F$105,$T32)&lt;=2,INDEX('計算（触らない）'!$H$6:$H$105,$T32),"―"))</f>
        <v/>
      </c>
      <c r="J32" s="42">
        <f>IF($T32=0,"",INDEX('計算（触らない）'!$AO$6:$AO$105,$T32))</f>
        <v/>
      </c>
      <c r="K32" s="37">
        <f>IF($T32=0,"",IF(AND(INDEX('計算（触らない）'!$F$6:$F$105,$T32)&lt;=2,INDEX('計算（触らない）'!$AB$6:$AB$105,$T32)&gt;0),INDEX('計算（触らない）'!$AB$6:$AB$105,$T32)&amp;"/12","―"))</f>
        <v/>
      </c>
      <c r="L32" s="40">
        <f>IF($T32=0,"",IF(INDEX('計算（触らない）'!$F$6:$F$105,$T32)=4,"―",INDEX('計算（触らない）'!$Z$6:$Z$105,$T32)))</f>
        <v/>
      </c>
      <c r="M32" s="37">
        <f>IF($T32=0,"","―")</f>
        <v/>
      </c>
      <c r="N32" s="40">
        <f>IF($T32=0,"",IF(INDEX('計算（触らない）'!$F$6:$F$105,$T32)=4,"―",INDEX('計算（触らない）'!$Z$6:$Z$105,$T32)))</f>
        <v/>
      </c>
      <c r="O32" s="43">
        <f>IF($T32=0,"",IF(AND(INDEX('計算（触らない）'!$F$6:$F$105,$T32)=4,INDEX('計算（触らない）'!$N$6:$N$105,$T32)=1),"―",INDEX('計算（触らない）'!$N$6:$N$105,$T32)))</f>
        <v/>
      </c>
      <c r="P32" s="40">
        <f>IF($T32=0,"",INDEX('計算（触らない）'!$AC$6:$AC$105,$T32))</f>
        <v/>
      </c>
      <c r="Q32" s="40">
        <f>IF($T32=0,"",IF(INDEX('計算（触らない）'!$F$6:$F$105,$T32)=4,"―",INDEX('計算（触らない）'!$Y$6:$Y$105,$T32)))</f>
        <v/>
      </c>
      <c r="R32" s="38">
        <f>IF($T32=0,"",TRIM(IF(INDEX('計算（触らない）'!$F$6:$F$105,$T32)=4,IF('計算（触らない）'!$B$1=1,"措法67の5","措法28の2"),"")&amp;IF(INDEX('計算（触らない）'!$AA$6:$AA$105,$T32)&gt;0,"改定償却","")&amp;IF(INDEX('計算（触らない）'!$AD$6:$AD$105,$T32)=1," "&amp;YEAR(INDEX('計算（触らない）'!$Q$6:$Q$105,$T32))&amp;"年"&amp;MONTH(INDEX('計算（触らない）'!$Q$6:$Q$105,$T32))&amp;"月"&amp;DAY(INDEX('計算（触らない）'!$Q$6:$Q$105,$T32))&amp;"日 売却・除却","")))</f>
        <v/>
      </c>
      <c r="S32" s="68" t="n"/>
      <c r="T32" s="68">
        <f>IFERROR(MATCH(26,'計算（触らない）'!$AG$6:$AG$105,0),0)</f>
        <v/>
      </c>
    </row>
    <row r="33" ht="20" customHeight="1">
      <c r="A33" s="37">
        <f>IF($T33=0,"",INDEX('計算（触らない）'!$A$6:$A$105,$T33))</f>
        <v/>
      </c>
      <c r="B33" s="38">
        <f>IF($T33=0,"",INDEX('固定資産台帳'!$B$6:$B$105,$T33)&amp;"")</f>
        <v/>
      </c>
      <c r="C33" s="37">
        <f>IF($T33=0,"",INDEX('固定資産台帳'!$D$6:$D$105,$T33)&amp;"")</f>
        <v/>
      </c>
      <c r="D33" s="39">
        <f>IF($T33=0,"",INDEX('計算（触らない）'!$D$6:$D$105,$T33))</f>
        <v/>
      </c>
      <c r="E33" s="40">
        <f>IF($T33=0,"",INDEX('計算（触らない）'!$C$6:$C$105,$T33))</f>
        <v/>
      </c>
      <c r="F33" s="41">
        <f>IF($T33=0,"",IF(INDEX('計算（触らない）'!$F$6:$F$105,$T33)=2,INDEX('計算（触らない）'!$AM$6:$AM$105,$T33),""))</f>
        <v/>
      </c>
      <c r="G33" s="40">
        <f>IF($T33=0,"",IF(INDEX('計算（触らない）'!$F$6:$F$105,$T33)=4,"―",INDEX('計算（触らない）'!$AN$6:$AN$105,$T33)))</f>
        <v/>
      </c>
      <c r="H33" s="37">
        <f>IF($T33=0,"",CHOOSE(INDEX('計算（触らない）'!$F$6:$F$105,$T33),"定額法","定率法","―","―"))</f>
        <v/>
      </c>
      <c r="I33" s="37">
        <f>IF($T33=0,"",IF(INDEX('計算（触らない）'!$F$6:$F$105,$T33)&lt;=2,INDEX('計算（触らない）'!$H$6:$H$105,$T33),"―"))</f>
        <v/>
      </c>
      <c r="J33" s="42">
        <f>IF($T33=0,"",INDEX('計算（触らない）'!$AO$6:$AO$105,$T33))</f>
        <v/>
      </c>
      <c r="K33" s="37">
        <f>IF($T33=0,"",IF(AND(INDEX('計算（触らない）'!$F$6:$F$105,$T33)&lt;=2,INDEX('計算（触らない）'!$AB$6:$AB$105,$T33)&gt;0),INDEX('計算（触らない）'!$AB$6:$AB$105,$T33)&amp;"/12","―"))</f>
        <v/>
      </c>
      <c r="L33" s="40">
        <f>IF($T33=0,"",IF(INDEX('計算（触らない）'!$F$6:$F$105,$T33)=4,"―",INDEX('計算（触らない）'!$Z$6:$Z$105,$T33)))</f>
        <v/>
      </c>
      <c r="M33" s="37">
        <f>IF($T33=0,"","―")</f>
        <v/>
      </c>
      <c r="N33" s="40">
        <f>IF($T33=0,"",IF(INDEX('計算（触らない）'!$F$6:$F$105,$T33)=4,"―",INDEX('計算（触らない）'!$Z$6:$Z$105,$T33)))</f>
        <v/>
      </c>
      <c r="O33" s="43">
        <f>IF($T33=0,"",IF(AND(INDEX('計算（触らない）'!$F$6:$F$105,$T33)=4,INDEX('計算（触らない）'!$N$6:$N$105,$T33)=1),"―",INDEX('計算（触らない）'!$N$6:$N$105,$T33)))</f>
        <v/>
      </c>
      <c r="P33" s="40">
        <f>IF($T33=0,"",INDEX('計算（触らない）'!$AC$6:$AC$105,$T33))</f>
        <v/>
      </c>
      <c r="Q33" s="40">
        <f>IF($T33=0,"",IF(INDEX('計算（触らない）'!$F$6:$F$105,$T33)=4,"―",INDEX('計算（触らない）'!$Y$6:$Y$105,$T33)))</f>
        <v/>
      </c>
      <c r="R33" s="38">
        <f>IF($T33=0,"",TRIM(IF(INDEX('計算（触らない）'!$F$6:$F$105,$T33)=4,IF('計算（触らない）'!$B$1=1,"措法67の5","措法28の2"),"")&amp;IF(INDEX('計算（触らない）'!$AA$6:$AA$105,$T33)&gt;0,"改定償却","")&amp;IF(INDEX('計算（触らない）'!$AD$6:$AD$105,$T33)=1," "&amp;YEAR(INDEX('計算（触らない）'!$Q$6:$Q$105,$T33))&amp;"年"&amp;MONTH(INDEX('計算（触らない）'!$Q$6:$Q$105,$T33))&amp;"月"&amp;DAY(INDEX('計算（触らない）'!$Q$6:$Q$105,$T33))&amp;"日 売却・除却","")))</f>
        <v/>
      </c>
      <c r="S33" s="68" t="n"/>
      <c r="T33" s="68">
        <f>IFERROR(MATCH(27,'計算（触らない）'!$AG$6:$AG$105,0),0)</f>
        <v/>
      </c>
    </row>
    <row r="34" ht="20" customHeight="1">
      <c r="A34" s="37">
        <f>IF($T34=0,"",INDEX('計算（触らない）'!$A$6:$A$105,$T34))</f>
        <v/>
      </c>
      <c r="B34" s="38">
        <f>IF($T34=0,"",INDEX('固定資産台帳'!$B$6:$B$105,$T34)&amp;"")</f>
        <v/>
      </c>
      <c r="C34" s="37">
        <f>IF($T34=0,"",INDEX('固定資産台帳'!$D$6:$D$105,$T34)&amp;"")</f>
        <v/>
      </c>
      <c r="D34" s="39">
        <f>IF($T34=0,"",INDEX('計算（触らない）'!$D$6:$D$105,$T34))</f>
        <v/>
      </c>
      <c r="E34" s="40">
        <f>IF($T34=0,"",INDEX('計算（触らない）'!$C$6:$C$105,$T34))</f>
        <v/>
      </c>
      <c r="F34" s="41">
        <f>IF($T34=0,"",IF(INDEX('計算（触らない）'!$F$6:$F$105,$T34)=2,INDEX('計算（触らない）'!$AM$6:$AM$105,$T34),""))</f>
        <v/>
      </c>
      <c r="G34" s="40">
        <f>IF($T34=0,"",IF(INDEX('計算（触らない）'!$F$6:$F$105,$T34)=4,"―",INDEX('計算（触らない）'!$AN$6:$AN$105,$T34)))</f>
        <v/>
      </c>
      <c r="H34" s="37">
        <f>IF($T34=0,"",CHOOSE(INDEX('計算（触らない）'!$F$6:$F$105,$T34),"定額法","定率法","―","―"))</f>
        <v/>
      </c>
      <c r="I34" s="37">
        <f>IF($T34=0,"",IF(INDEX('計算（触らない）'!$F$6:$F$105,$T34)&lt;=2,INDEX('計算（触らない）'!$H$6:$H$105,$T34),"―"))</f>
        <v/>
      </c>
      <c r="J34" s="42">
        <f>IF($T34=0,"",INDEX('計算（触らない）'!$AO$6:$AO$105,$T34))</f>
        <v/>
      </c>
      <c r="K34" s="37">
        <f>IF($T34=0,"",IF(AND(INDEX('計算（触らない）'!$F$6:$F$105,$T34)&lt;=2,INDEX('計算（触らない）'!$AB$6:$AB$105,$T34)&gt;0),INDEX('計算（触らない）'!$AB$6:$AB$105,$T34)&amp;"/12","―"))</f>
        <v/>
      </c>
      <c r="L34" s="40">
        <f>IF($T34=0,"",IF(INDEX('計算（触らない）'!$F$6:$F$105,$T34)=4,"―",INDEX('計算（触らない）'!$Z$6:$Z$105,$T34)))</f>
        <v/>
      </c>
      <c r="M34" s="37">
        <f>IF($T34=0,"","―")</f>
        <v/>
      </c>
      <c r="N34" s="40">
        <f>IF($T34=0,"",IF(INDEX('計算（触らない）'!$F$6:$F$105,$T34)=4,"―",INDEX('計算（触らない）'!$Z$6:$Z$105,$T34)))</f>
        <v/>
      </c>
      <c r="O34" s="43">
        <f>IF($T34=0,"",IF(AND(INDEX('計算（触らない）'!$F$6:$F$105,$T34)=4,INDEX('計算（触らない）'!$N$6:$N$105,$T34)=1),"―",INDEX('計算（触らない）'!$N$6:$N$105,$T34)))</f>
        <v/>
      </c>
      <c r="P34" s="40">
        <f>IF($T34=0,"",INDEX('計算（触らない）'!$AC$6:$AC$105,$T34))</f>
        <v/>
      </c>
      <c r="Q34" s="40">
        <f>IF($T34=0,"",IF(INDEX('計算（触らない）'!$F$6:$F$105,$T34)=4,"―",INDEX('計算（触らない）'!$Y$6:$Y$105,$T34)))</f>
        <v/>
      </c>
      <c r="R34" s="38">
        <f>IF($T34=0,"",TRIM(IF(INDEX('計算（触らない）'!$F$6:$F$105,$T34)=4,IF('計算（触らない）'!$B$1=1,"措法67の5","措法28の2"),"")&amp;IF(INDEX('計算（触らない）'!$AA$6:$AA$105,$T34)&gt;0,"改定償却","")&amp;IF(INDEX('計算（触らない）'!$AD$6:$AD$105,$T34)=1," "&amp;YEAR(INDEX('計算（触らない）'!$Q$6:$Q$105,$T34))&amp;"年"&amp;MONTH(INDEX('計算（触らない）'!$Q$6:$Q$105,$T34))&amp;"月"&amp;DAY(INDEX('計算（触らない）'!$Q$6:$Q$105,$T34))&amp;"日 売却・除却","")))</f>
        <v/>
      </c>
      <c r="S34" s="68" t="n"/>
      <c r="T34" s="68">
        <f>IFERROR(MATCH(28,'計算（触らない）'!$AG$6:$AG$105,0),0)</f>
        <v/>
      </c>
    </row>
    <row r="35" ht="20" customHeight="1">
      <c r="A35" s="37">
        <f>IF($T35=0,"",INDEX('計算（触らない）'!$A$6:$A$105,$T35))</f>
        <v/>
      </c>
      <c r="B35" s="38">
        <f>IF($T35=0,"",INDEX('固定資産台帳'!$B$6:$B$105,$T35)&amp;"")</f>
        <v/>
      </c>
      <c r="C35" s="37">
        <f>IF($T35=0,"",INDEX('固定資産台帳'!$D$6:$D$105,$T35)&amp;"")</f>
        <v/>
      </c>
      <c r="D35" s="39">
        <f>IF($T35=0,"",INDEX('計算（触らない）'!$D$6:$D$105,$T35))</f>
        <v/>
      </c>
      <c r="E35" s="40">
        <f>IF($T35=0,"",INDEX('計算（触らない）'!$C$6:$C$105,$T35))</f>
        <v/>
      </c>
      <c r="F35" s="41">
        <f>IF($T35=0,"",IF(INDEX('計算（触らない）'!$F$6:$F$105,$T35)=2,INDEX('計算（触らない）'!$AM$6:$AM$105,$T35),""))</f>
        <v/>
      </c>
      <c r="G35" s="40">
        <f>IF($T35=0,"",IF(INDEX('計算（触らない）'!$F$6:$F$105,$T35)=4,"―",INDEX('計算（触らない）'!$AN$6:$AN$105,$T35)))</f>
        <v/>
      </c>
      <c r="H35" s="37">
        <f>IF($T35=0,"",CHOOSE(INDEX('計算（触らない）'!$F$6:$F$105,$T35),"定額法","定率法","―","―"))</f>
        <v/>
      </c>
      <c r="I35" s="37">
        <f>IF($T35=0,"",IF(INDEX('計算（触らない）'!$F$6:$F$105,$T35)&lt;=2,INDEX('計算（触らない）'!$H$6:$H$105,$T35),"―"))</f>
        <v/>
      </c>
      <c r="J35" s="42">
        <f>IF($T35=0,"",INDEX('計算（触らない）'!$AO$6:$AO$105,$T35))</f>
        <v/>
      </c>
      <c r="K35" s="37">
        <f>IF($T35=0,"",IF(AND(INDEX('計算（触らない）'!$F$6:$F$105,$T35)&lt;=2,INDEX('計算（触らない）'!$AB$6:$AB$105,$T35)&gt;0),INDEX('計算（触らない）'!$AB$6:$AB$105,$T35)&amp;"/12","―"))</f>
        <v/>
      </c>
      <c r="L35" s="40">
        <f>IF($T35=0,"",IF(INDEX('計算（触らない）'!$F$6:$F$105,$T35)=4,"―",INDEX('計算（触らない）'!$Z$6:$Z$105,$T35)))</f>
        <v/>
      </c>
      <c r="M35" s="37">
        <f>IF($T35=0,"","―")</f>
        <v/>
      </c>
      <c r="N35" s="40">
        <f>IF($T35=0,"",IF(INDEX('計算（触らない）'!$F$6:$F$105,$T35)=4,"―",INDEX('計算（触らない）'!$Z$6:$Z$105,$T35)))</f>
        <v/>
      </c>
      <c r="O35" s="43">
        <f>IF($T35=0,"",IF(AND(INDEX('計算（触らない）'!$F$6:$F$105,$T35)=4,INDEX('計算（触らない）'!$N$6:$N$105,$T35)=1),"―",INDEX('計算（触らない）'!$N$6:$N$105,$T35)))</f>
        <v/>
      </c>
      <c r="P35" s="40">
        <f>IF($T35=0,"",INDEX('計算（触らない）'!$AC$6:$AC$105,$T35))</f>
        <v/>
      </c>
      <c r="Q35" s="40">
        <f>IF($T35=0,"",IF(INDEX('計算（触らない）'!$F$6:$F$105,$T35)=4,"―",INDEX('計算（触らない）'!$Y$6:$Y$105,$T35)))</f>
        <v/>
      </c>
      <c r="R35" s="38">
        <f>IF($T35=0,"",TRIM(IF(INDEX('計算（触らない）'!$F$6:$F$105,$T35)=4,IF('計算（触らない）'!$B$1=1,"措法67の5","措法28の2"),"")&amp;IF(INDEX('計算（触らない）'!$AA$6:$AA$105,$T35)&gt;0,"改定償却","")&amp;IF(INDEX('計算（触らない）'!$AD$6:$AD$105,$T35)=1," "&amp;YEAR(INDEX('計算（触らない）'!$Q$6:$Q$105,$T35))&amp;"年"&amp;MONTH(INDEX('計算（触らない）'!$Q$6:$Q$105,$T35))&amp;"月"&amp;DAY(INDEX('計算（触らない）'!$Q$6:$Q$105,$T35))&amp;"日 売却・除却","")))</f>
        <v/>
      </c>
      <c r="S35" s="68" t="n"/>
      <c r="T35" s="68">
        <f>IFERROR(MATCH(29,'計算（触らない）'!$AG$6:$AG$105,0),0)</f>
        <v/>
      </c>
    </row>
    <row r="36" ht="20" customHeight="1">
      <c r="A36" s="37">
        <f>IF($T36=0,"",INDEX('計算（触らない）'!$A$6:$A$105,$T36))</f>
        <v/>
      </c>
      <c r="B36" s="38">
        <f>IF($T36=0,"",INDEX('固定資産台帳'!$B$6:$B$105,$T36)&amp;"")</f>
        <v/>
      </c>
      <c r="C36" s="37">
        <f>IF($T36=0,"",INDEX('固定資産台帳'!$D$6:$D$105,$T36)&amp;"")</f>
        <v/>
      </c>
      <c r="D36" s="39">
        <f>IF($T36=0,"",INDEX('計算（触らない）'!$D$6:$D$105,$T36))</f>
        <v/>
      </c>
      <c r="E36" s="40">
        <f>IF($T36=0,"",INDEX('計算（触らない）'!$C$6:$C$105,$T36))</f>
        <v/>
      </c>
      <c r="F36" s="41">
        <f>IF($T36=0,"",IF(INDEX('計算（触らない）'!$F$6:$F$105,$T36)=2,INDEX('計算（触らない）'!$AM$6:$AM$105,$T36),""))</f>
        <v/>
      </c>
      <c r="G36" s="40">
        <f>IF($T36=0,"",IF(INDEX('計算（触らない）'!$F$6:$F$105,$T36)=4,"―",INDEX('計算（触らない）'!$AN$6:$AN$105,$T36)))</f>
        <v/>
      </c>
      <c r="H36" s="37">
        <f>IF($T36=0,"",CHOOSE(INDEX('計算（触らない）'!$F$6:$F$105,$T36),"定額法","定率法","―","―"))</f>
        <v/>
      </c>
      <c r="I36" s="37">
        <f>IF($T36=0,"",IF(INDEX('計算（触らない）'!$F$6:$F$105,$T36)&lt;=2,INDEX('計算（触らない）'!$H$6:$H$105,$T36),"―"))</f>
        <v/>
      </c>
      <c r="J36" s="42">
        <f>IF($T36=0,"",INDEX('計算（触らない）'!$AO$6:$AO$105,$T36))</f>
        <v/>
      </c>
      <c r="K36" s="37">
        <f>IF($T36=0,"",IF(AND(INDEX('計算（触らない）'!$F$6:$F$105,$T36)&lt;=2,INDEX('計算（触らない）'!$AB$6:$AB$105,$T36)&gt;0),INDEX('計算（触らない）'!$AB$6:$AB$105,$T36)&amp;"/12","―"))</f>
        <v/>
      </c>
      <c r="L36" s="40">
        <f>IF($T36=0,"",IF(INDEX('計算（触らない）'!$F$6:$F$105,$T36)=4,"―",INDEX('計算（触らない）'!$Z$6:$Z$105,$T36)))</f>
        <v/>
      </c>
      <c r="M36" s="37">
        <f>IF($T36=0,"","―")</f>
        <v/>
      </c>
      <c r="N36" s="40">
        <f>IF($T36=0,"",IF(INDEX('計算（触らない）'!$F$6:$F$105,$T36)=4,"―",INDEX('計算（触らない）'!$Z$6:$Z$105,$T36)))</f>
        <v/>
      </c>
      <c r="O36" s="43">
        <f>IF($T36=0,"",IF(AND(INDEX('計算（触らない）'!$F$6:$F$105,$T36)=4,INDEX('計算（触らない）'!$N$6:$N$105,$T36)=1),"―",INDEX('計算（触らない）'!$N$6:$N$105,$T36)))</f>
        <v/>
      </c>
      <c r="P36" s="40">
        <f>IF($T36=0,"",INDEX('計算（触らない）'!$AC$6:$AC$105,$T36))</f>
        <v/>
      </c>
      <c r="Q36" s="40">
        <f>IF($T36=0,"",IF(INDEX('計算（触らない）'!$F$6:$F$105,$T36)=4,"―",INDEX('計算（触らない）'!$Y$6:$Y$105,$T36)))</f>
        <v/>
      </c>
      <c r="R36" s="38">
        <f>IF($T36=0,"",TRIM(IF(INDEX('計算（触らない）'!$F$6:$F$105,$T36)=4,IF('計算（触らない）'!$B$1=1,"措法67の5","措法28の2"),"")&amp;IF(INDEX('計算（触らない）'!$AA$6:$AA$105,$T36)&gt;0,"改定償却","")&amp;IF(INDEX('計算（触らない）'!$AD$6:$AD$105,$T36)=1," "&amp;YEAR(INDEX('計算（触らない）'!$Q$6:$Q$105,$T36))&amp;"年"&amp;MONTH(INDEX('計算（触らない）'!$Q$6:$Q$105,$T36))&amp;"月"&amp;DAY(INDEX('計算（触らない）'!$Q$6:$Q$105,$T36))&amp;"日 売却・除却","")))</f>
        <v/>
      </c>
      <c r="S36" s="68" t="n"/>
      <c r="T36" s="68">
        <f>IFERROR(MATCH(30,'計算（触らない）'!$AG$6:$AG$105,0),0)</f>
        <v/>
      </c>
    </row>
    <row r="37" ht="20" customHeight="1">
      <c r="A37" s="37">
        <f>IF($T37=0,"",INDEX('計算（触らない）'!$A$6:$A$105,$T37))</f>
        <v/>
      </c>
      <c r="B37" s="38">
        <f>IF($T37=0,"",INDEX('固定資産台帳'!$B$6:$B$105,$T37)&amp;"")</f>
        <v/>
      </c>
      <c r="C37" s="37">
        <f>IF($T37=0,"",INDEX('固定資産台帳'!$D$6:$D$105,$T37)&amp;"")</f>
        <v/>
      </c>
      <c r="D37" s="39">
        <f>IF($T37=0,"",INDEX('計算（触らない）'!$D$6:$D$105,$T37))</f>
        <v/>
      </c>
      <c r="E37" s="40">
        <f>IF($T37=0,"",INDEX('計算（触らない）'!$C$6:$C$105,$T37))</f>
        <v/>
      </c>
      <c r="F37" s="41">
        <f>IF($T37=0,"",IF(INDEX('計算（触らない）'!$F$6:$F$105,$T37)=2,INDEX('計算（触らない）'!$AM$6:$AM$105,$T37),""))</f>
        <v/>
      </c>
      <c r="G37" s="40">
        <f>IF($T37=0,"",IF(INDEX('計算（触らない）'!$F$6:$F$105,$T37)=4,"―",INDEX('計算（触らない）'!$AN$6:$AN$105,$T37)))</f>
        <v/>
      </c>
      <c r="H37" s="37">
        <f>IF($T37=0,"",CHOOSE(INDEX('計算（触らない）'!$F$6:$F$105,$T37),"定額法","定率法","―","―"))</f>
        <v/>
      </c>
      <c r="I37" s="37">
        <f>IF($T37=0,"",IF(INDEX('計算（触らない）'!$F$6:$F$105,$T37)&lt;=2,INDEX('計算（触らない）'!$H$6:$H$105,$T37),"―"))</f>
        <v/>
      </c>
      <c r="J37" s="42">
        <f>IF($T37=0,"",INDEX('計算（触らない）'!$AO$6:$AO$105,$T37))</f>
        <v/>
      </c>
      <c r="K37" s="37">
        <f>IF($T37=0,"",IF(AND(INDEX('計算（触らない）'!$F$6:$F$105,$T37)&lt;=2,INDEX('計算（触らない）'!$AB$6:$AB$105,$T37)&gt;0),INDEX('計算（触らない）'!$AB$6:$AB$105,$T37)&amp;"/12","―"))</f>
        <v/>
      </c>
      <c r="L37" s="40">
        <f>IF($T37=0,"",IF(INDEX('計算（触らない）'!$F$6:$F$105,$T37)=4,"―",INDEX('計算（触らない）'!$Z$6:$Z$105,$T37)))</f>
        <v/>
      </c>
      <c r="M37" s="37">
        <f>IF($T37=0,"","―")</f>
        <v/>
      </c>
      <c r="N37" s="40">
        <f>IF($T37=0,"",IF(INDEX('計算（触らない）'!$F$6:$F$105,$T37)=4,"―",INDEX('計算（触らない）'!$Z$6:$Z$105,$T37)))</f>
        <v/>
      </c>
      <c r="O37" s="43">
        <f>IF($T37=0,"",IF(AND(INDEX('計算（触らない）'!$F$6:$F$105,$T37)=4,INDEX('計算（触らない）'!$N$6:$N$105,$T37)=1),"―",INDEX('計算（触らない）'!$N$6:$N$105,$T37)))</f>
        <v/>
      </c>
      <c r="P37" s="40">
        <f>IF($T37=0,"",INDEX('計算（触らない）'!$AC$6:$AC$105,$T37))</f>
        <v/>
      </c>
      <c r="Q37" s="40">
        <f>IF($T37=0,"",IF(INDEX('計算（触らない）'!$F$6:$F$105,$T37)=4,"―",INDEX('計算（触らない）'!$Y$6:$Y$105,$T37)))</f>
        <v/>
      </c>
      <c r="R37" s="38">
        <f>IF($T37=0,"",TRIM(IF(INDEX('計算（触らない）'!$F$6:$F$105,$T37)=4,IF('計算（触らない）'!$B$1=1,"措法67の5","措法28の2"),"")&amp;IF(INDEX('計算（触らない）'!$AA$6:$AA$105,$T37)&gt;0,"改定償却","")&amp;IF(INDEX('計算（触らない）'!$AD$6:$AD$105,$T37)=1," "&amp;YEAR(INDEX('計算（触らない）'!$Q$6:$Q$105,$T37))&amp;"年"&amp;MONTH(INDEX('計算（触らない）'!$Q$6:$Q$105,$T37))&amp;"月"&amp;DAY(INDEX('計算（触らない）'!$Q$6:$Q$105,$T37))&amp;"日 売却・除却","")))</f>
        <v/>
      </c>
      <c r="S37" s="68" t="n"/>
      <c r="T37" s="68">
        <f>IFERROR(MATCH(31,'計算（触らない）'!$AG$6:$AG$105,0),0)</f>
        <v/>
      </c>
    </row>
    <row r="38" ht="20" customHeight="1">
      <c r="A38" s="37">
        <f>IF($T38=0,"",INDEX('計算（触らない）'!$A$6:$A$105,$T38))</f>
        <v/>
      </c>
      <c r="B38" s="38">
        <f>IF($T38=0,"",INDEX('固定資産台帳'!$B$6:$B$105,$T38)&amp;"")</f>
        <v/>
      </c>
      <c r="C38" s="37">
        <f>IF($T38=0,"",INDEX('固定資産台帳'!$D$6:$D$105,$T38)&amp;"")</f>
        <v/>
      </c>
      <c r="D38" s="39">
        <f>IF($T38=0,"",INDEX('計算（触らない）'!$D$6:$D$105,$T38))</f>
        <v/>
      </c>
      <c r="E38" s="40">
        <f>IF($T38=0,"",INDEX('計算（触らない）'!$C$6:$C$105,$T38))</f>
        <v/>
      </c>
      <c r="F38" s="41">
        <f>IF($T38=0,"",IF(INDEX('計算（触らない）'!$F$6:$F$105,$T38)=2,INDEX('計算（触らない）'!$AM$6:$AM$105,$T38),""))</f>
        <v/>
      </c>
      <c r="G38" s="40">
        <f>IF($T38=0,"",IF(INDEX('計算（触らない）'!$F$6:$F$105,$T38)=4,"―",INDEX('計算（触らない）'!$AN$6:$AN$105,$T38)))</f>
        <v/>
      </c>
      <c r="H38" s="37">
        <f>IF($T38=0,"",CHOOSE(INDEX('計算（触らない）'!$F$6:$F$105,$T38),"定額法","定率法","―","―"))</f>
        <v/>
      </c>
      <c r="I38" s="37">
        <f>IF($T38=0,"",IF(INDEX('計算（触らない）'!$F$6:$F$105,$T38)&lt;=2,INDEX('計算（触らない）'!$H$6:$H$105,$T38),"―"))</f>
        <v/>
      </c>
      <c r="J38" s="42">
        <f>IF($T38=0,"",INDEX('計算（触らない）'!$AO$6:$AO$105,$T38))</f>
        <v/>
      </c>
      <c r="K38" s="37">
        <f>IF($T38=0,"",IF(AND(INDEX('計算（触らない）'!$F$6:$F$105,$T38)&lt;=2,INDEX('計算（触らない）'!$AB$6:$AB$105,$T38)&gt;0),INDEX('計算（触らない）'!$AB$6:$AB$105,$T38)&amp;"/12","―"))</f>
        <v/>
      </c>
      <c r="L38" s="40">
        <f>IF($T38=0,"",IF(INDEX('計算（触らない）'!$F$6:$F$105,$T38)=4,"―",INDEX('計算（触らない）'!$Z$6:$Z$105,$T38)))</f>
        <v/>
      </c>
      <c r="M38" s="37">
        <f>IF($T38=0,"","―")</f>
        <v/>
      </c>
      <c r="N38" s="40">
        <f>IF($T38=0,"",IF(INDEX('計算（触らない）'!$F$6:$F$105,$T38)=4,"―",INDEX('計算（触らない）'!$Z$6:$Z$105,$T38)))</f>
        <v/>
      </c>
      <c r="O38" s="43">
        <f>IF($T38=0,"",IF(AND(INDEX('計算（触らない）'!$F$6:$F$105,$T38)=4,INDEX('計算（触らない）'!$N$6:$N$105,$T38)=1),"―",INDEX('計算（触らない）'!$N$6:$N$105,$T38)))</f>
        <v/>
      </c>
      <c r="P38" s="40">
        <f>IF($T38=0,"",INDEX('計算（触らない）'!$AC$6:$AC$105,$T38))</f>
        <v/>
      </c>
      <c r="Q38" s="40">
        <f>IF($T38=0,"",IF(INDEX('計算（触らない）'!$F$6:$F$105,$T38)=4,"―",INDEX('計算（触らない）'!$Y$6:$Y$105,$T38)))</f>
        <v/>
      </c>
      <c r="R38" s="38">
        <f>IF($T38=0,"",TRIM(IF(INDEX('計算（触らない）'!$F$6:$F$105,$T38)=4,IF('計算（触らない）'!$B$1=1,"措法67の5","措法28の2"),"")&amp;IF(INDEX('計算（触らない）'!$AA$6:$AA$105,$T38)&gt;0,"改定償却","")&amp;IF(INDEX('計算（触らない）'!$AD$6:$AD$105,$T38)=1," "&amp;YEAR(INDEX('計算（触らない）'!$Q$6:$Q$105,$T38))&amp;"年"&amp;MONTH(INDEX('計算（触らない）'!$Q$6:$Q$105,$T38))&amp;"月"&amp;DAY(INDEX('計算（触らない）'!$Q$6:$Q$105,$T38))&amp;"日 売却・除却","")))</f>
        <v/>
      </c>
      <c r="S38" s="68" t="n"/>
      <c r="T38" s="68">
        <f>IFERROR(MATCH(32,'計算（触らない）'!$AG$6:$AG$105,0),0)</f>
        <v/>
      </c>
    </row>
    <row r="39" ht="20" customHeight="1">
      <c r="A39" s="37">
        <f>IF($T39=0,"",INDEX('計算（触らない）'!$A$6:$A$105,$T39))</f>
        <v/>
      </c>
      <c r="B39" s="38">
        <f>IF($T39=0,"",INDEX('固定資産台帳'!$B$6:$B$105,$T39)&amp;"")</f>
        <v/>
      </c>
      <c r="C39" s="37">
        <f>IF($T39=0,"",INDEX('固定資産台帳'!$D$6:$D$105,$T39)&amp;"")</f>
        <v/>
      </c>
      <c r="D39" s="39">
        <f>IF($T39=0,"",INDEX('計算（触らない）'!$D$6:$D$105,$T39))</f>
        <v/>
      </c>
      <c r="E39" s="40">
        <f>IF($T39=0,"",INDEX('計算（触らない）'!$C$6:$C$105,$T39))</f>
        <v/>
      </c>
      <c r="F39" s="41">
        <f>IF($T39=0,"",IF(INDEX('計算（触らない）'!$F$6:$F$105,$T39)=2,INDEX('計算（触らない）'!$AM$6:$AM$105,$T39),""))</f>
        <v/>
      </c>
      <c r="G39" s="40">
        <f>IF($T39=0,"",IF(INDEX('計算（触らない）'!$F$6:$F$105,$T39)=4,"―",INDEX('計算（触らない）'!$AN$6:$AN$105,$T39)))</f>
        <v/>
      </c>
      <c r="H39" s="37">
        <f>IF($T39=0,"",CHOOSE(INDEX('計算（触らない）'!$F$6:$F$105,$T39),"定額法","定率法","―","―"))</f>
        <v/>
      </c>
      <c r="I39" s="37">
        <f>IF($T39=0,"",IF(INDEX('計算（触らない）'!$F$6:$F$105,$T39)&lt;=2,INDEX('計算（触らない）'!$H$6:$H$105,$T39),"―"))</f>
        <v/>
      </c>
      <c r="J39" s="42">
        <f>IF($T39=0,"",INDEX('計算（触らない）'!$AO$6:$AO$105,$T39))</f>
        <v/>
      </c>
      <c r="K39" s="37">
        <f>IF($T39=0,"",IF(AND(INDEX('計算（触らない）'!$F$6:$F$105,$T39)&lt;=2,INDEX('計算（触らない）'!$AB$6:$AB$105,$T39)&gt;0),INDEX('計算（触らない）'!$AB$6:$AB$105,$T39)&amp;"/12","―"))</f>
        <v/>
      </c>
      <c r="L39" s="40">
        <f>IF($T39=0,"",IF(INDEX('計算（触らない）'!$F$6:$F$105,$T39)=4,"―",INDEX('計算（触らない）'!$Z$6:$Z$105,$T39)))</f>
        <v/>
      </c>
      <c r="M39" s="37">
        <f>IF($T39=0,"","―")</f>
        <v/>
      </c>
      <c r="N39" s="40">
        <f>IF($T39=0,"",IF(INDEX('計算（触らない）'!$F$6:$F$105,$T39)=4,"―",INDEX('計算（触らない）'!$Z$6:$Z$105,$T39)))</f>
        <v/>
      </c>
      <c r="O39" s="43">
        <f>IF($T39=0,"",IF(AND(INDEX('計算（触らない）'!$F$6:$F$105,$T39)=4,INDEX('計算（触らない）'!$N$6:$N$105,$T39)=1),"―",INDEX('計算（触らない）'!$N$6:$N$105,$T39)))</f>
        <v/>
      </c>
      <c r="P39" s="40">
        <f>IF($T39=0,"",INDEX('計算（触らない）'!$AC$6:$AC$105,$T39))</f>
        <v/>
      </c>
      <c r="Q39" s="40">
        <f>IF($T39=0,"",IF(INDEX('計算（触らない）'!$F$6:$F$105,$T39)=4,"―",INDEX('計算（触らない）'!$Y$6:$Y$105,$T39)))</f>
        <v/>
      </c>
      <c r="R39" s="38">
        <f>IF($T39=0,"",TRIM(IF(INDEX('計算（触らない）'!$F$6:$F$105,$T39)=4,IF('計算（触らない）'!$B$1=1,"措法67の5","措法28の2"),"")&amp;IF(INDEX('計算（触らない）'!$AA$6:$AA$105,$T39)&gt;0,"改定償却","")&amp;IF(INDEX('計算（触らない）'!$AD$6:$AD$105,$T39)=1," "&amp;YEAR(INDEX('計算（触らない）'!$Q$6:$Q$105,$T39))&amp;"年"&amp;MONTH(INDEX('計算（触らない）'!$Q$6:$Q$105,$T39))&amp;"月"&amp;DAY(INDEX('計算（触らない）'!$Q$6:$Q$105,$T39))&amp;"日 売却・除却","")))</f>
        <v/>
      </c>
      <c r="S39" s="68" t="n"/>
      <c r="T39" s="68">
        <f>IFERROR(MATCH(33,'計算（触らない）'!$AG$6:$AG$105,0),0)</f>
        <v/>
      </c>
    </row>
    <row r="40" ht="20" customHeight="1">
      <c r="A40" s="37">
        <f>IF($T40=0,"",INDEX('計算（触らない）'!$A$6:$A$105,$T40))</f>
        <v/>
      </c>
      <c r="B40" s="38">
        <f>IF($T40=0,"",INDEX('固定資産台帳'!$B$6:$B$105,$T40)&amp;"")</f>
        <v/>
      </c>
      <c r="C40" s="37">
        <f>IF($T40=0,"",INDEX('固定資産台帳'!$D$6:$D$105,$T40)&amp;"")</f>
        <v/>
      </c>
      <c r="D40" s="39">
        <f>IF($T40=0,"",INDEX('計算（触らない）'!$D$6:$D$105,$T40))</f>
        <v/>
      </c>
      <c r="E40" s="40">
        <f>IF($T40=0,"",INDEX('計算（触らない）'!$C$6:$C$105,$T40))</f>
        <v/>
      </c>
      <c r="F40" s="41">
        <f>IF($T40=0,"",IF(INDEX('計算（触らない）'!$F$6:$F$105,$T40)=2,INDEX('計算（触らない）'!$AM$6:$AM$105,$T40),""))</f>
        <v/>
      </c>
      <c r="G40" s="40">
        <f>IF($T40=0,"",IF(INDEX('計算（触らない）'!$F$6:$F$105,$T40)=4,"―",INDEX('計算（触らない）'!$AN$6:$AN$105,$T40)))</f>
        <v/>
      </c>
      <c r="H40" s="37">
        <f>IF($T40=0,"",CHOOSE(INDEX('計算（触らない）'!$F$6:$F$105,$T40),"定額法","定率法","―","―"))</f>
        <v/>
      </c>
      <c r="I40" s="37">
        <f>IF($T40=0,"",IF(INDEX('計算（触らない）'!$F$6:$F$105,$T40)&lt;=2,INDEX('計算（触らない）'!$H$6:$H$105,$T40),"―"))</f>
        <v/>
      </c>
      <c r="J40" s="42">
        <f>IF($T40=0,"",INDEX('計算（触らない）'!$AO$6:$AO$105,$T40))</f>
        <v/>
      </c>
      <c r="K40" s="37">
        <f>IF($T40=0,"",IF(AND(INDEX('計算（触らない）'!$F$6:$F$105,$T40)&lt;=2,INDEX('計算（触らない）'!$AB$6:$AB$105,$T40)&gt;0),INDEX('計算（触らない）'!$AB$6:$AB$105,$T40)&amp;"/12","―"))</f>
        <v/>
      </c>
      <c r="L40" s="40">
        <f>IF($T40=0,"",IF(INDEX('計算（触らない）'!$F$6:$F$105,$T40)=4,"―",INDEX('計算（触らない）'!$Z$6:$Z$105,$T40)))</f>
        <v/>
      </c>
      <c r="M40" s="37">
        <f>IF($T40=0,"","―")</f>
        <v/>
      </c>
      <c r="N40" s="40">
        <f>IF($T40=0,"",IF(INDEX('計算（触らない）'!$F$6:$F$105,$T40)=4,"―",INDEX('計算（触らない）'!$Z$6:$Z$105,$T40)))</f>
        <v/>
      </c>
      <c r="O40" s="43">
        <f>IF($T40=0,"",IF(AND(INDEX('計算（触らない）'!$F$6:$F$105,$T40)=4,INDEX('計算（触らない）'!$N$6:$N$105,$T40)=1),"―",INDEX('計算（触らない）'!$N$6:$N$105,$T40)))</f>
        <v/>
      </c>
      <c r="P40" s="40">
        <f>IF($T40=0,"",INDEX('計算（触らない）'!$AC$6:$AC$105,$T40))</f>
        <v/>
      </c>
      <c r="Q40" s="40">
        <f>IF($T40=0,"",IF(INDEX('計算（触らない）'!$F$6:$F$105,$T40)=4,"―",INDEX('計算（触らない）'!$Y$6:$Y$105,$T40)))</f>
        <v/>
      </c>
      <c r="R40" s="38">
        <f>IF($T40=0,"",TRIM(IF(INDEX('計算（触らない）'!$F$6:$F$105,$T40)=4,IF('計算（触らない）'!$B$1=1,"措法67の5","措法28の2"),"")&amp;IF(INDEX('計算（触らない）'!$AA$6:$AA$105,$T40)&gt;0,"改定償却","")&amp;IF(INDEX('計算（触らない）'!$AD$6:$AD$105,$T40)=1," "&amp;YEAR(INDEX('計算（触らない）'!$Q$6:$Q$105,$T40))&amp;"年"&amp;MONTH(INDEX('計算（触らない）'!$Q$6:$Q$105,$T40))&amp;"月"&amp;DAY(INDEX('計算（触らない）'!$Q$6:$Q$105,$T40))&amp;"日 売却・除却","")))</f>
        <v/>
      </c>
      <c r="S40" s="68" t="n"/>
      <c r="T40" s="68">
        <f>IFERROR(MATCH(34,'計算（触らない）'!$AG$6:$AG$105,0),0)</f>
        <v/>
      </c>
    </row>
    <row r="41" ht="20" customHeight="1">
      <c r="A41" s="37">
        <f>IF($T41=0,"",INDEX('計算（触らない）'!$A$6:$A$105,$T41))</f>
        <v/>
      </c>
      <c r="B41" s="38">
        <f>IF($T41=0,"",INDEX('固定資産台帳'!$B$6:$B$105,$T41)&amp;"")</f>
        <v/>
      </c>
      <c r="C41" s="37">
        <f>IF($T41=0,"",INDEX('固定資産台帳'!$D$6:$D$105,$T41)&amp;"")</f>
        <v/>
      </c>
      <c r="D41" s="39">
        <f>IF($T41=0,"",INDEX('計算（触らない）'!$D$6:$D$105,$T41))</f>
        <v/>
      </c>
      <c r="E41" s="40">
        <f>IF($T41=0,"",INDEX('計算（触らない）'!$C$6:$C$105,$T41))</f>
        <v/>
      </c>
      <c r="F41" s="41">
        <f>IF($T41=0,"",IF(INDEX('計算（触らない）'!$F$6:$F$105,$T41)=2,INDEX('計算（触らない）'!$AM$6:$AM$105,$T41),""))</f>
        <v/>
      </c>
      <c r="G41" s="40">
        <f>IF($T41=0,"",IF(INDEX('計算（触らない）'!$F$6:$F$105,$T41)=4,"―",INDEX('計算（触らない）'!$AN$6:$AN$105,$T41)))</f>
        <v/>
      </c>
      <c r="H41" s="37">
        <f>IF($T41=0,"",CHOOSE(INDEX('計算（触らない）'!$F$6:$F$105,$T41),"定額法","定率法","―","―"))</f>
        <v/>
      </c>
      <c r="I41" s="37">
        <f>IF($T41=0,"",IF(INDEX('計算（触らない）'!$F$6:$F$105,$T41)&lt;=2,INDEX('計算（触らない）'!$H$6:$H$105,$T41),"―"))</f>
        <v/>
      </c>
      <c r="J41" s="42">
        <f>IF($T41=0,"",INDEX('計算（触らない）'!$AO$6:$AO$105,$T41))</f>
        <v/>
      </c>
      <c r="K41" s="37">
        <f>IF($T41=0,"",IF(AND(INDEX('計算（触らない）'!$F$6:$F$105,$T41)&lt;=2,INDEX('計算（触らない）'!$AB$6:$AB$105,$T41)&gt;0),INDEX('計算（触らない）'!$AB$6:$AB$105,$T41)&amp;"/12","―"))</f>
        <v/>
      </c>
      <c r="L41" s="40">
        <f>IF($T41=0,"",IF(INDEX('計算（触らない）'!$F$6:$F$105,$T41)=4,"―",INDEX('計算（触らない）'!$Z$6:$Z$105,$T41)))</f>
        <v/>
      </c>
      <c r="M41" s="37">
        <f>IF($T41=0,"","―")</f>
        <v/>
      </c>
      <c r="N41" s="40">
        <f>IF($T41=0,"",IF(INDEX('計算（触らない）'!$F$6:$F$105,$T41)=4,"―",INDEX('計算（触らない）'!$Z$6:$Z$105,$T41)))</f>
        <v/>
      </c>
      <c r="O41" s="43">
        <f>IF($T41=0,"",IF(AND(INDEX('計算（触らない）'!$F$6:$F$105,$T41)=4,INDEX('計算（触らない）'!$N$6:$N$105,$T41)=1),"―",INDEX('計算（触らない）'!$N$6:$N$105,$T41)))</f>
        <v/>
      </c>
      <c r="P41" s="40">
        <f>IF($T41=0,"",INDEX('計算（触らない）'!$AC$6:$AC$105,$T41))</f>
        <v/>
      </c>
      <c r="Q41" s="40">
        <f>IF($T41=0,"",IF(INDEX('計算（触らない）'!$F$6:$F$105,$T41)=4,"―",INDEX('計算（触らない）'!$Y$6:$Y$105,$T41)))</f>
        <v/>
      </c>
      <c r="R41" s="38">
        <f>IF($T41=0,"",TRIM(IF(INDEX('計算（触らない）'!$F$6:$F$105,$T41)=4,IF('計算（触らない）'!$B$1=1,"措法67の5","措法28の2"),"")&amp;IF(INDEX('計算（触らない）'!$AA$6:$AA$105,$T41)&gt;0,"改定償却","")&amp;IF(INDEX('計算（触らない）'!$AD$6:$AD$105,$T41)=1," "&amp;YEAR(INDEX('計算（触らない）'!$Q$6:$Q$105,$T41))&amp;"年"&amp;MONTH(INDEX('計算（触らない）'!$Q$6:$Q$105,$T41))&amp;"月"&amp;DAY(INDEX('計算（触らない）'!$Q$6:$Q$105,$T41))&amp;"日 売却・除却","")))</f>
        <v/>
      </c>
      <c r="S41" s="68" t="n"/>
      <c r="T41" s="68">
        <f>IFERROR(MATCH(35,'計算（触らない）'!$AG$6:$AG$105,0),0)</f>
        <v/>
      </c>
    </row>
    <row r="42" ht="20" customHeight="1">
      <c r="A42" s="37">
        <f>IF($T42=0,"",INDEX('計算（触らない）'!$A$6:$A$105,$T42))</f>
        <v/>
      </c>
      <c r="B42" s="38">
        <f>IF($T42=0,"",INDEX('固定資産台帳'!$B$6:$B$105,$T42)&amp;"")</f>
        <v/>
      </c>
      <c r="C42" s="37">
        <f>IF($T42=0,"",INDEX('固定資産台帳'!$D$6:$D$105,$T42)&amp;"")</f>
        <v/>
      </c>
      <c r="D42" s="39">
        <f>IF($T42=0,"",INDEX('計算（触らない）'!$D$6:$D$105,$T42))</f>
        <v/>
      </c>
      <c r="E42" s="40">
        <f>IF($T42=0,"",INDEX('計算（触らない）'!$C$6:$C$105,$T42))</f>
        <v/>
      </c>
      <c r="F42" s="41">
        <f>IF($T42=0,"",IF(INDEX('計算（触らない）'!$F$6:$F$105,$T42)=2,INDEX('計算（触らない）'!$AM$6:$AM$105,$T42),""))</f>
        <v/>
      </c>
      <c r="G42" s="40">
        <f>IF($T42=0,"",IF(INDEX('計算（触らない）'!$F$6:$F$105,$T42)=4,"―",INDEX('計算（触らない）'!$AN$6:$AN$105,$T42)))</f>
        <v/>
      </c>
      <c r="H42" s="37">
        <f>IF($T42=0,"",CHOOSE(INDEX('計算（触らない）'!$F$6:$F$105,$T42),"定額法","定率法","―","―"))</f>
        <v/>
      </c>
      <c r="I42" s="37">
        <f>IF($T42=0,"",IF(INDEX('計算（触らない）'!$F$6:$F$105,$T42)&lt;=2,INDEX('計算（触らない）'!$H$6:$H$105,$T42),"―"))</f>
        <v/>
      </c>
      <c r="J42" s="42">
        <f>IF($T42=0,"",INDEX('計算（触らない）'!$AO$6:$AO$105,$T42))</f>
        <v/>
      </c>
      <c r="K42" s="37">
        <f>IF($T42=0,"",IF(AND(INDEX('計算（触らない）'!$F$6:$F$105,$T42)&lt;=2,INDEX('計算（触らない）'!$AB$6:$AB$105,$T42)&gt;0),INDEX('計算（触らない）'!$AB$6:$AB$105,$T42)&amp;"/12","―"))</f>
        <v/>
      </c>
      <c r="L42" s="40">
        <f>IF($T42=0,"",IF(INDEX('計算（触らない）'!$F$6:$F$105,$T42)=4,"―",INDEX('計算（触らない）'!$Z$6:$Z$105,$T42)))</f>
        <v/>
      </c>
      <c r="M42" s="37">
        <f>IF($T42=0,"","―")</f>
        <v/>
      </c>
      <c r="N42" s="40">
        <f>IF($T42=0,"",IF(INDEX('計算（触らない）'!$F$6:$F$105,$T42)=4,"―",INDEX('計算（触らない）'!$Z$6:$Z$105,$T42)))</f>
        <v/>
      </c>
      <c r="O42" s="43">
        <f>IF($T42=0,"",IF(AND(INDEX('計算（触らない）'!$F$6:$F$105,$T42)=4,INDEX('計算（触らない）'!$N$6:$N$105,$T42)=1),"―",INDEX('計算（触らない）'!$N$6:$N$105,$T42)))</f>
        <v/>
      </c>
      <c r="P42" s="40">
        <f>IF($T42=0,"",INDEX('計算（触らない）'!$AC$6:$AC$105,$T42))</f>
        <v/>
      </c>
      <c r="Q42" s="40">
        <f>IF($T42=0,"",IF(INDEX('計算（触らない）'!$F$6:$F$105,$T42)=4,"―",INDEX('計算（触らない）'!$Y$6:$Y$105,$T42)))</f>
        <v/>
      </c>
      <c r="R42" s="38">
        <f>IF($T42=0,"",TRIM(IF(INDEX('計算（触らない）'!$F$6:$F$105,$T42)=4,IF('計算（触らない）'!$B$1=1,"措法67の5","措法28の2"),"")&amp;IF(INDEX('計算（触らない）'!$AA$6:$AA$105,$T42)&gt;0,"改定償却","")&amp;IF(INDEX('計算（触らない）'!$AD$6:$AD$105,$T42)=1," "&amp;YEAR(INDEX('計算（触らない）'!$Q$6:$Q$105,$T42))&amp;"年"&amp;MONTH(INDEX('計算（触らない）'!$Q$6:$Q$105,$T42))&amp;"月"&amp;DAY(INDEX('計算（触らない）'!$Q$6:$Q$105,$T42))&amp;"日 売却・除却","")))</f>
        <v/>
      </c>
      <c r="S42" s="68" t="n"/>
      <c r="T42" s="68">
        <f>IFERROR(MATCH(36,'計算（触らない）'!$AG$6:$AG$105,0),0)</f>
        <v/>
      </c>
    </row>
    <row r="43" ht="20" customHeight="1">
      <c r="A43" s="37">
        <f>IF($T43=0,"",INDEX('計算（触らない）'!$A$6:$A$105,$T43))</f>
        <v/>
      </c>
      <c r="B43" s="38">
        <f>IF($T43=0,"",INDEX('固定資産台帳'!$B$6:$B$105,$T43)&amp;"")</f>
        <v/>
      </c>
      <c r="C43" s="37">
        <f>IF($T43=0,"",INDEX('固定資産台帳'!$D$6:$D$105,$T43)&amp;"")</f>
        <v/>
      </c>
      <c r="D43" s="39">
        <f>IF($T43=0,"",INDEX('計算（触らない）'!$D$6:$D$105,$T43))</f>
        <v/>
      </c>
      <c r="E43" s="40">
        <f>IF($T43=0,"",INDEX('計算（触らない）'!$C$6:$C$105,$T43))</f>
        <v/>
      </c>
      <c r="F43" s="41">
        <f>IF($T43=0,"",IF(INDEX('計算（触らない）'!$F$6:$F$105,$T43)=2,INDEX('計算（触らない）'!$AM$6:$AM$105,$T43),""))</f>
        <v/>
      </c>
      <c r="G43" s="40">
        <f>IF($T43=0,"",IF(INDEX('計算（触らない）'!$F$6:$F$105,$T43)=4,"―",INDEX('計算（触らない）'!$AN$6:$AN$105,$T43)))</f>
        <v/>
      </c>
      <c r="H43" s="37">
        <f>IF($T43=0,"",CHOOSE(INDEX('計算（触らない）'!$F$6:$F$105,$T43),"定額法","定率法","―","―"))</f>
        <v/>
      </c>
      <c r="I43" s="37">
        <f>IF($T43=0,"",IF(INDEX('計算（触らない）'!$F$6:$F$105,$T43)&lt;=2,INDEX('計算（触らない）'!$H$6:$H$105,$T43),"―"))</f>
        <v/>
      </c>
      <c r="J43" s="42">
        <f>IF($T43=0,"",INDEX('計算（触らない）'!$AO$6:$AO$105,$T43))</f>
        <v/>
      </c>
      <c r="K43" s="37">
        <f>IF($T43=0,"",IF(AND(INDEX('計算（触らない）'!$F$6:$F$105,$T43)&lt;=2,INDEX('計算（触らない）'!$AB$6:$AB$105,$T43)&gt;0),INDEX('計算（触らない）'!$AB$6:$AB$105,$T43)&amp;"/12","―"))</f>
        <v/>
      </c>
      <c r="L43" s="40">
        <f>IF($T43=0,"",IF(INDEX('計算（触らない）'!$F$6:$F$105,$T43)=4,"―",INDEX('計算（触らない）'!$Z$6:$Z$105,$T43)))</f>
        <v/>
      </c>
      <c r="M43" s="37">
        <f>IF($T43=0,"","―")</f>
        <v/>
      </c>
      <c r="N43" s="40">
        <f>IF($T43=0,"",IF(INDEX('計算（触らない）'!$F$6:$F$105,$T43)=4,"―",INDEX('計算（触らない）'!$Z$6:$Z$105,$T43)))</f>
        <v/>
      </c>
      <c r="O43" s="43">
        <f>IF($T43=0,"",IF(AND(INDEX('計算（触らない）'!$F$6:$F$105,$T43)=4,INDEX('計算（触らない）'!$N$6:$N$105,$T43)=1),"―",INDEX('計算（触らない）'!$N$6:$N$105,$T43)))</f>
        <v/>
      </c>
      <c r="P43" s="40">
        <f>IF($T43=0,"",INDEX('計算（触らない）'!$AC$6:$AC$105,$T43))</f>
        <v/>
      </c>
      <c r="Q43" s="40">
        <f>IF($T43=0,"",IF(INDEX('計算（触らない）'!$F$6:$F$105,$T43)=4,"―",INDEX('計算（触らない）'!$Y$6:$Y$105,$T43)))</f>
        <v/>
      </c>
      <c r="R43" s="38">
        <f>IF($T43=0,"",TRIM(IF(INDEX('計算（触らない）'!$F$6:$F$105,$T43)=4,IF('計算（触らない）'!$B$1=1,"措法67の5","措法28の2"),"")&amp;IF(INDEX('計算（触らない）'!$AA$6:$AA$105,$T43)&gt;0,"改定償却","")&amp;IF(INDEX('計算（触らない）'!$AD$6:$AD$105,$T43)=1," "&amp;YEAR(INDEX('計算（触らない）'!$Q$6:$Q$105,$T43))&amp;"年"&amp;MONTH(INDEX('計算（触らない）'!$Q$6:$Q$105,$T43))&amp;"月"&amp;DAY(INDEX('計算（触らない）'!$Q$6:$Q$105,$T43))&amp;"日 売却・除却","")))</f>
        <v/>
      </c>
      <c r="S43" s="68" t="n"/>
      <c r="T43" s="68">
        <f>IFERROR(MATCH(37,'計算（触らない）'!$AG$6:$AG$105,0),0)</f>
        <v/>
      </c>
    </row>
    <row r="44" ht="20" customHeight="1">
      <c r="A44" s="37">
        <f>IF($T44=0,"",INDEX('計算（触らない）'!$A$6:$A$105,$T44))</f>
        <v/>
      </c>
      <c r="B44" s="38">
        <f>IF($T44=0,"",INDEX('固定資産台帳'!$B$6:$B$105,$T44)&amp;"")</f>
        <v/>
      </c>
      <c r="C44" s="37">
        <f>IF($T44=0,"",INDEX('固定資産台帳'!$D$6:$D$105,$T44)&amp;"")</f>
        <v/>
      </c>
      <c r="D44" s="39">
        <f>IF($T44=0,"",INDEX('計算（触らない）'!$D$6:$D$105,$T44))</f>
        <v/>
      </c>
      <c r="E44" s="40">
        <f>IF($T44=0,"",INDEX('計算（触らない）'!$C$6:$C$105,$T44))</f>
        <v/>
      </c>
      <c r="F44" s="41">
        <f>IF($T44=0,"",IF(INDEX('計算（触らない）'!$F$6:$F$105,$T44)=2,INDEX('計算（触らない）'!$AM$6:$AM$105,$T44),""))</f>
        <v/>
      </c>
      <c r="G44" s="40">
        <f>IF($T44=0,"",IF(INDEX('計算（触らない）'!$F$6:$F$105,$T44)=4,"―",INDEX('計算（触らない）'!$AN$6:$AN$105,$T44)))</f>
        <v/>
      </c>
      <c r="H44" s="37">
        <f>IF($T44=0,"",CHOOSE(INDEX('計算（触らない）'!$F$6:$F$105,$T44),"定額法","定率法","―","―"))</f>
        <v/>
      </c>
      <c r="I44" s="37">
        <f>IF($T44=0,"",IF(INDEX('計算（触らない）'!$F$6:$F$105,$T44)&lt;=2,INDEX('計算（触らない）'!$H$6:$H$105,$T44),"―"))</f>
        <v/>
      </c>
      <c r="J44" s="42">
        <f>IF($T44=0,"",INDEX('計算（触らない）'!$AO$6:$AO$105,$T44))</f>
        <v/>
      </c>
      <c r="K44" s="37">
        <f>IF($T44=0,"",IF(AND(INDEX('計算（触らない）'!$F$6:$F$105,$T44)&lt;=2,INDEX('計算（触らない）'!$AB$6:$AB$105,$T44)&gt;0),INDEX('計算（触らない）'!$AB$6:$AB$105,$T44)&amp;"/12","―"))</f>
        <v/>
      </c>
      <c r="L44" s="40">
        <f>IF($T44=0,"",IF(INDEX('計算（触らない）'!$F$6:$F$105,$T44)=4,"―",INDEX('計算（触らない）'!$Z$6:$Z$105,$T44)))</f>
        <v/>
      </c>
      <c r="M44" s="37">
        <f>IF($T44=0,"","―")</f>
        <v/>
      </c>
      <c r="N44" s="40">
        <f>IF($T44=0,"",IF(INDEX('計算（触らない）'!$F$6:$F$105,$T44)=4,"―",INDEX('計算（触らない）'!$Z$6:$Z$105,$T44)))</f>
        <v/>
      </c>
      <c r="O44" s="43">
        <f>IF($T44=0,"",IF(AND(INDEX('計算（触らない）'!$F$6:$F$105,$T44)=4,INDEX('計算（触らない）'!$N$6:$N$105,$T44)=1),"―",INDEX('計算（触らない）'!$N$6:$N$105,$T44)))</f>
        <v/>
      </c>
      <c r="P44" s="40">
        <f>IF($T44=0,"",INDEX('計算（触らない）'!$AC$6:$AC$105,$T44))</f>
        <v/>
      </c>
      <c r="Q44" s="40">
        <f>IF($T44=0,"",IF(INDEX('計算（触らない）'!$F$6:$F$105,$T44)=4,"―",INDEX('計算（触らない）'!$Y$6:$Y$105,$T44)))</f>
        <v/>
      </c>
      <c r="R44" s="38">
        <f>IF($T44=0,"",TRIM(IF(INDEX('計算（触らない）'!$F$6:$F$105,$T44)=4,IF('計算（触らない）'!$B$1=1,"措法67の5","措法28の2"),"")&amp;IF(INDEX('計算（触らない）'!$AA$6:$AA$105,$T44)&gt;0,"改定償却","")&amp;IF(INDEX('計算（触らない）'!$AD$6:$AD$105,$T44)=1," "&amp;YEAR(INDEX('計算（触らない）'!$Q$6:$Q$105,$T44))&amp;"年"&amp;MONTH(INDEX('計算（触らない）'!$Q$6:$Q$105,$T44))&amp;"月"&amp;DAY(INDEX('計算（触らない）'!$Q$6:$Q$105,$T44))&amp;"日 売却・除却","")))</f>
        <v/>
      </c>
      <c r="S44" s="68" t="n"/>
      <c r="T44" s="68">
        <f>IFERROR(MATCH(38,'計算（触らない）'!$AG$6:$AG$105,0),0)</f>
        <v/>
      </c>
    </row>
    <row r="45" ht="20" customHeight="1">
      <c r="A45" s="37">
        <f>IF($T45=0,"",INDEX('計算（触らない）'!$A$6:$A$105,$T45))</f>
        <v/>
      </c>
      <c r="B45" s="38">
        <f>IF($T45=0,"",INDEX('固定資産台帳'!$B$6:$B$105,$T45)&amp;"")</f>
        <v/>
      </c>
      <c r="C45" s="37">
        <f>IF($T45=0,"",INDEX('固定資産台帳'!$D$6:$D$105,$T45)&amp;"")</f>
        <v/>
      </c>
      <c r="D45" s="39">
        <f>IF($T45=0,"",INDEX('計算（触らない）'!$D$6:$D$105,$T45))</f>
        <v/>
      </c>
      <c r="E45" s="40">
        <f>IF($T45=0,"",INDEX('計算（触らない）'!$C$6:$C$105,$T45))</f>
        <v/>
      </c>
      <c r="F45" s="41">
        <f>IF($T45=0,"",IF(INDEX('計算（触らない）'!$F$6:$F$105,$T45)=2,INDEX('計算（触らない）'!$AM$6:$AM$105,$T45),""))</f>
        <v/>
      </c>
      <c r="G45" s="40">
        <f>IF($T45=0,"",IF(INDEX('計算（触らない）'!$F$6:$F$105,$T45)=4,"―",INDEX('計算（触らない）'!$AN$6:$AN$105,$T45)))</f>
        <v/>
      </c>
      <c r="H45" s="37">
        <f>IF($T45=0,"",CHOOSE(INDEX('計算（触らない）'!$F$6:$F$105,$T45),"定額法","定率法","―","―"))</f>
        <v/>
      </c>
      <c r="I45" s="37">
        <f>IF($T45=0,"",IF(INDEX('計算（触らない）'!$F$6:$F$105,$T45)&lt;=2,INDEX('計算（触らない）'!$H$6:$H$105,$T45),"―"))</f>
        <v/>
      </c>
      <c r="J45" s="42">
        <f>IF($T45=0,"",INDEX('計算（触らない）'!$AO$6:$AO$105,$T45))</f>
        <v/>
      </c>
      <c r="K45" s="37">
        <f>IF($T45=0,"",IF(AND(INDEX('計算（触らない）'!$F$6:$F$105,$T45)&lt;=2,INDEX('計算（触らない）'!$AB$6:$AB$105,$T45)&gt;0),INDEX('計算（触らない）'!$AB$6:$AB$105,$T45)&amp;"/12","―"))</f>
        <v/>
      </c>
      <c r="L45" s="40">
        <f>IF($T45=0,"",IF(INDEX('計算（触らない）'!$F$6:$F$105,$T45)=4,"―",INDEX('計算（触らない）'!$Z$6:$Z$105,$T45)))</f>
        <v/>
      </c>
      <c r="M45" s="37">
        <f>IF($T45=0,"","―")</f>
        <v/>
      </c>
      <c r="N45" s="40">
        <f>IF($T45=0,"",IF(INDEX('計算（触らない）'!$F$6:$F$105,$T45)=4,"―",INDEX('計算（触らない）'!$Z$6:$Z$105,$T45)))</f>
        <v/>
      </c>
      <c r="O45" s="43">
        <f>IF($T45=0,"",IF(AND(INDEX('計算（触らない）'!$F$6:$F$105,$T45)=4,INDEX('計算（触らない）'!$N$6:$N$105,$T45)=1),"―",INDEX('計算（触らない）'!$N$6:$N$105,$T45)))</f>
        <v/>
      </c>
      <c r="P45" s="40">
        <f>IF($T45=0,"",INDEX('計算（触らない）'!$AC$6:$AC$105,$T45))</f>
        <v/>
      </c>
      <c r="Q45" s="40">
        <f>IF($T45=0,"",IF(INDEX('計算（触らない）'!$F$6:$F$105,$T45)=4,"―",INDEX('計算（触らない）'!$Y$6:$Y$105,$T45)))</f>
        <v/>
      </c>
      <c r="R45" s="38">
        <f>IF($T45=0,"",TRIM(IF(INDEX('計算（触らない）'!$F$6:$F$105,$T45)=4,IF('計算（触らない）'!$B$1=1,"措法67の5","措法28の2"),"")&amp;IF(INDEX('計算（触らない）'!$AA$6:$AA$105,$T45)&gt;0,"改定償却","")&amp;IF(INDEX('計算（触らない）'!$AD$6:$AD$105,$T45)=1," "&amp;YEAR(INDEX('計算（触らない）'!$Q$6:$Q$105,$T45))&amp;"年"&amp;MONTH(INDEX('計算（触らない）'!$Q$6:$Q$105,$T45))&amp;"月"&amp;DAY(INDEX('計算（触らない）'!$Q$6:$Q$105,$T45))&amp;"日 売却・除却","")))</f>
        <v/>
      </c>
      <c r="S45" s="68" t="n"/>
      <c r="T45" s="68">
        <f>IFERROR(MATCH(39,'計算（触らない）'!$AG$6:$AG$105,0),0)</f>
        <v/>
      </c>
    </row>
    <row r="46" ht="20" customHeight="1">
      <c r="A46" s="37">
        <f>IF($T46=0,"",INDEX('計算（触らない）'!$A$6:$A$105,$T46))</f>
        <v/>
      </c>
      <c r="B46" s="38">
        <f>IF($T46=0,"",INDEX('固定資産台帳'!$B$6:$B$105,$T46)&amp;"")</f>
        <v/>
      </c>
      <c r="C46" s="37">
        <f>IF($T46=0,"",INDEX('固定資産台帳'!$D$6:$D$105,$T46)&amp;"")</f>
        <v/>
      </c>
      <c r="D46" s="39">
        <f>IF($T46=0,"",INDEX('計算（触らない）'!$D$6:$D$105,$T46))</f>
        <v/>
      </c>
      <c r="E46" s="40">
        <f>IF($T46=0,"",INDEX('計算（触らない）'!$C$6:$C$105,$T46))</f>
        <v/>
      </c>
      <c r="F46" s="41">
        <f>IF($T46=0,"",IF(INDEX('計算（触らない）'!$F$6:$F$105,$T46)=2,INDEX('計算（触らない）'!$AM$6:$AM$105,$T46),""))</f>
        <v/>
      </c>
      <c r="G46" s="40">
        <f>IF($T46=0,"",IF(INDEX('計算（触らない）'!$F$6:$F$105,$T46)=4,"―",INDEX('計算（触らない）'!$AN$6:$AN$105,$T46)))</f>
        <v/>
      </c>
      <c r="H46" s="37">
        <f>IF($T46=0,"",CHOOSE(INDEX('計算（触らない）'!$F$6:$F$105,$T46),"定額法","定率法","―","―"))</f>
        <v/>
      </c>
      <c r="I46" s="37">
        <f>IF($T46=0,"",IF(INDEX('計算（触らない）'!$F$6:$F$105,$T46)&lt;=2,INDEX('計算（触らない）'!$H$6:$H$105,$T46),"―"))</f>
        <v/>
      </c>
      <c r="J46" s="42">
        <f>IF($T46=0,"",INDEX('計算（触らない）'!$AO$6:$AO$105,$T46))</f>
        <v/>
      </c>
      <c r="K46" s="37">
        <f>IF($T46=0,"",IF(AND(INDEX('計算（触らない）'!$F$6:$F$105,$T46)&lt;=2,INDEX('計算（触らない）'!$AB$6:$AB$105,$T46)&gt;0),INDEX('計算（触らない）'!$AB$6:$AB$105,$T46)&amp;"/12","―"))</f>
        <v/>
      </c>
      <c r="L46" s="40">
        <f>IF($T46=0,"",IF(INDEX('計算（触らない）'!$F$6:$F$105,$T46)=4,"―",INDEX('計算（触らない）'!$Z$6:$Z$105,$T46)))</f>
        <v/>
      </c>
      <c r="M46" s="37">
        <f>IF($T46=0,"","―")</f>
        <v/>
      </c>
      <c r="N46" s="40">
        <f>IF($T46=0,"",IF(INDEX('計算（触らない）'!$F$6:$F$105,$T46)=4,"―",INDEX('計算（触らない）'!$Z$6:$Z$105,$T46)))</f>
        <v/>
      </c>
      <c r="O46" s="43">
        <f>IF($T46=0,"",IF(AND(INDEX('計算（触らない）'!$F$6:$F$105,$T46)=4,INDEX('計算（触らない）'!$N$6:$N$105,$T46)=1),"―",INDEX('計算（触らない）'!$N$6:$N$105,$T46)))</f>
        <v/>
      </c>
      <c r="P46" s="40">
        <f>IF($T46=0,"",INDEX('計算（触らない）'!$AC$6:$AC$105,$T46))</f>
        <v/>
      </c>
      <c r="Q46" s="40">
        <f>IF($T46=0,"",IF(INDEX('計算（触らない）'!$F$6:$F$105,$T46)=4,"―",INDEX('計算（触らない）'!$Y$6:$Y$105,$T46)))</f>
        <v/>
      </c>
      <c r="R46" s="38">
        <f>IF($T46=0,"",TRIM(IF(INDEX('計算（触らない）'!$F$6:$F$105,$T46)=4,IF('計算（触らない）'!$B$1=1,"措法67の5","措法28の2"),"")&amp;IF(INDEX('計算（触らない）'!$AA$6:$AA$105,$T46)&gt;0,"改定償却","")&amp;IF(INDEX('計算（触らない）'!$AD$6:$AD$105,$T46)=1," "&amp;YEAR(INDEX('計算（触らない）'!$Q$6:$Q$105,$T46))&amp;"年"&amp;MONTH(INDEX('計算（触らない）'!$Q$6:$Q$105,$T46))&amp;"月"&amp;DAY(INDEX('計算（触らない）'!$Q$6:$Q$105,$T46))&amp;"日 売却・除却","")))</f>
        <v/>
      </c>
      <c r="S46" s="68" t="n"/>
      <c r="T46" s="68">
        <f>IFERROR(MATCH(40,'計算（触らない）'!$AG$6:$AG$105,0),0)</f>
        <v/>
      </c>
    </row>
    <row r="47" ht="20" customHeight="1">
      <c r="A47" s="37">
        <f>IF($T47=0,"",INDEX('計算（触らない）'!$A$6:$A$105,$T47))</f>
        <v/>
      </c>
      <c r="B47" s="38">
        <f>IF($T47=0,"",INDEX('固定資産台帳'!$B$6:$B$105,$T47)&amp;"")</f>
        <v/>
      </c>
      <c r="C47" s="37">
        <f>IF($T47=0,"",INDEX('固定資産台帳'!$D$6:$D$105,$T47)&amp;"")</f>
        <v/>
      </c>
      <c r="D47" s="39">
        <f>IF($T47=0,"",INDEX('計算（触らない）'!$D$6:$D$105,$T47))</f>
        <v/>
      </c>
      <c r="E47" s="40">
        <f>IF($T47=0,"",INDEX('計算（触らない）'!$C$6:$C$105,$T47))</f>
        <v/>
      </c>
      <c r="F47" s="41">
        <f>IF($T47=0,"",IF(INDEX('計算（触らない）'!$F$6:$F$105,$T47)=2,INDEX('計算（触らない）'!$AM$6:$AM$105,$T47),""))</f>
        <v/>
      </c>
      <c r="G47" s="40">
        <f>IF($T47=0,"",IF(INDEX('計算（触らない）'!$F$6:$F$105,$T47)=4,"―",INDEX('計算（触らない）'!$AN$6:$AN$105,$T47)))</f>
        <v/>
      </c>
      <c r="H47" s="37">
        <f>IF($T47=0,"",CHOOSE(INDEX('計算（触らない）'!$F$6:$F$105,$T47),"定額法","定率法","―","―"))</f>
        <v/>
      </c>
      <c r="I47" s="37">
        <f>IF($T47=0,"",IF(INDEX('計算（触らない）'!$F$6:$F$105,$T47)&lt;=2,INDEX('計算（触らない）'!$H$6:$H$105,$T47),"―"))</f>
        <v/>
      </c>
      <c r="J47" s="42">
        <f>IF($T47=0,"",INDEX('計算（触らない）'!$AO$6:$AO$105,$T47))</f>
        <v/>
      </c>
      <c r="K47" s="37">
        <f>IF($T47=0,"",IF(AND(INDEX('計算（触らない）'!$F$6:$F$105,$T47)&lt;=2,INDEX('計算（触らない）'!$AB$6:$AB$105,$T47)&gt;0),INDEX('計算（触らない）'!$AB$6:$AB$105,$T47)&amp;"/12","―"))</f>
        <v/>
      </c>
      <c r="L47" s="40">
        <f>IF($T47=0,"",IF(INDEX('計算（触らない）'!$F$6:$F$105,$T47)=4,"―",INDEX('計算（触らない）'!$Z$6:$Z$105,$T47)))</f>
        <v/>
      </c>
      <c r="M47" s="37">
        <f>IF($T47=0,"","―")</f>
        <v/>
      </c>
      <c r="N47" s="40">
        <f>IF($T47=0,"",IF(INDEX('計算（触らない）'!$F$6:$F$105,$T47)=4,"―",INDEX('計算（触らない）'!$Z$6:$Z$105,$T47)))</f>
        <v/>
      </c>
      <c r="O47" s="43">
        <f>IF($T47=0,"",IF(AND(INDEX('計算（触らない）'!$F$6:$F$105,$T47)=4,INDEX('計算（触らない）'!$N$6:$N$105,$T47)=1),"―",INDEX('計算（触らない）'!$N$6:$N$105,$T47)))</f>
        <v/>
      </c>
      <c r="P47" s="40">
        <f>IF($T47=0,"",INDEX('計算（触らない）'!$AC$6:$AC$105,$T47))</f>
        <v/>
      </c>
      <c r="Q47" s="40">
        <f>IF($T47=0,"",IF(INDEX('計算（触らない）'!$F$6:$F$105,$T47)=4,"―",INDEX('計算（触らない）'!$Y$6:$Y$105,$T47)))</f>
        <v/>
      </c>
      <c r="R47" s="38">
        <f>IF($T47=0,"",TRIM(IF(INDEX('計算（触らない）'!$F$6:$F$105,$T47)=4,IF('計算（触らない）'!$B$1=1,"措法67の5","措法28の2"),"")&amp;IF(INDEX('計算（触らない）'!$AA$6:$AA$105,$T47)&gt;0,"改定償却","")&amp;IF(INDEX('計算（触らない）'!$AD$6:$AD$105,$T47)=1," "&amp;YEAR(INDEX('計算（触らない）'!$Q$6:$Q$105,$T47))&amp;"年"&amp;MONTH(INDEX('計算（触らない）'!$Q$6:$Q$105,$T47))&amp;"月"&amp;DAY(INDEX('計算（触らない）'!$Q$6:$Q$105,$T47))&amp;"日 売却・除却","")))</f>
        <v/>
      </c>
      <c r="S47" s="68" t="n"/>
      <c r="T47" s="68">
        <f>IFERROR(MATCH(41,'計算（触らない）'!$AG$6:$AG$105,0),0)</f>
        <v/>
      </c>
    </row>
    <row r="48" ht="20" customHeight="1">
      <c r="A48" s="37">
        <f>IF($T48=0,"",INDEX('計算（触らない）'!$A$6:$A$105,$T48))</f>
        <v/>
      </c>
      <c r="B48" s="38">
        <f>IF($T48=0,"",INDEX('固定資産台帳'!$B$6:$B$105,$T48)&amp;"")</f>
        <v/>
      </c>
      <c r="C48" s="37">
        <f>IF($T48=0,"",INDEX('固定資産台帳'!$D$6:$D$105,$T48)&amp;"")</f>
        <v/>
      </c>
      <c r="D48" s="39">
        <f>IF($T48=0,"",INDEX('計算（触らない）'!$D$6:$D$105,$T48))</f>
        <v/>
      </c>
      <c r="E48" s="40">
        <f>IF($T48=0,"",INDEX('計算（触らない）'!$C$6:$C$105,$T48))</f>
        <v/>
      </c>
      <c r="F48" s="41">
        <f>IF($T48=0,"",IF(INDEX('計算（触らない）'!$F$6:$F$105,$T48)=2,INDEX('計算（触らない）'!$AM$6:$AM$105,$T48),""))</f>
        <v/>
      </c>
      <c r="G48" s="40">
        <f>IF($T48=0,"",IF(INDEX('計算（触らない）'!$F$6:$F$105,$T48)=4,"―",INDEX('計算（触らない）'!$AN$6:$AN$105,$T48)))</f>
        <v/>
      </c>
      <c r="H48" s="37">
        <f>IF($T48=0,"",CHOOSE(INDEX('計算（触らない）'!$F$6:$F$105,$T48),"定額法","定率法","―","―"))</f>
        <v/>
      </c>
      <c r="I48" s="37">
        <f>IF($T48=0,"",IF(INDEX('計算（触らない）'!$F$6:$F$105,$T48)&lt;=2,INDEX('計算（触らない）'!$H$6:$H$105,$T48),"―"))</f>
        <v/>
      </c>
      <c r="J48" s="42">
        <f>IF($T48=0,"",INDEX('計算（触らない）'!$AO$6:$AO$105,$T48))</f>
        <v/>
      </c>
      <c r="K48" s="37">
        <f>IF($T48=0,"",IF(AND(INDEX('計算（触らない）'!$F$6:$F$105,$T48)&lt;=2,INDEX('計算（触らない）'!$AB$6:$AB$105,$T48)&gt;0),INDEX('計算（触らない）'!$AB$6:$AB$105,$T48)&amp;"/12","―"))</f>
        <v/>
      </c>
      <c r="L48" s="40">
        <f>IF($T48=0,"",IF(INDEX('計算（触らない）'!$F$6:$F$105,$T48)=4,"―",INDEX('計算（触らない）'!$Z$6:$Z$105,$T48)))</f>
        <v/>
      </c>
      <c r="M48" s="37">
        <f>IF($T48=0,"","―")</f>
        <v/>
      </c>
      <c r="N48" s="40">
        <f>IF($T48=0,"",IF(INDEX('計算（触らない）'!$F$6:$F$105,$T48)=4,"―",INDEX('計算（触らない）'!$Z$6:$Z$105,$T48)))</f>
        <v/>
      </c>
      <c r="O48" s="43">
        <f>IF($T48=0,"",IF(AND(INDEX('計算（触らない）'!$F$6:$F$105,$T48)=4,INDEX('計算（触らない）'!$N$6:$N$105,$T48)=1),"―",INDEX('計算（触らない）'!$N$6:$N$105,$T48)))</f>
        <v/>
      </c>
      <c r="P48" s="40">
        <f>IF($T48=0,"",INDEX('計算（触らない）'!$AC$6:$AC$105,$T48))</f>
        <v/>
      </c>
      <c r="Q48" s="40">
        <f>IF($T48=0,"",IF(INDEX('計算（触らない）'!$F$6:$F$105,$T48)=4,"―",INDEX('計算（触らない）'!$Y$6:$Y$105,$T48)))</f>
        <v/>
      </c>
      <c r="R48" s="38">
        <f>IF($T48=0,"",TRIM(IF(INDEX('計算（触らない）'!$F$6:$F$105,$T48)=4,IF('計算（触らない）'!$B$1=1,"措法67の5","措法28の2"),"")&amp;IF(INDEX('計算（触らない）'!$AA$6:$AA$105,$T48)&gt;0,"改定償却","")&amp;IF(INDEX('計算（触らない）'!$AD$6:$AD$105,$T48)=1," "&amp;YEAR(INDEX('計算（触らない）'!$Q$6:$Q$105,$T48))&amp;"年"&amp;MONTH(INDEX('計算（触らない）'!$Q$6:$Q$105,$T48))&amp;"月"&amp;DAY(INDEX('計算（触らない）'!$Q$6:$Q$105,$T48))&amp;"日 売却・除却","")))</f>
        <v/>
      </c>
      <c r="S48" s="68" t="n"/>
      <c r="T48" s="68">
        <f>IFERROR(MATCH(42,'計算（触らない）'!$AG$6:$AG$105,0),0)</f>
        <v/>
      </c>
    </row>
    <row r="49" ht="20" customHeight="1">
      <c r="A49" s="37">
        <f>IF($T49=0,"",INDEX('計算（触らない）'!$A$6:$A$105,$T49))</f>
        <v/>
      </c>
      <c r="B49" s="38">
        <f>IF($T49=0,"",INDEX('固定資産台帳'!$B$6:$B$105,$T49)&amp;"")</f>
        <v/>
      </c>
      <c r="C49" s="37">
        <f>IF($T49=0,"",INDEX('固定資産台帳'!$D$6:$D$105,$T49)&amp;"")</f>
        <v/>
      </c>
      <c r="D49" s="39">
        <f>IF($T49=0,"",INDEX('計算（触らない）'!$D$6:$D$105,$T49))</f>
        <v/>
      </c>
      <c r="E49" s="40">
        <f>IF($T49=0,"",INDEX('計算（触らない）'!$C$6:$C$105,$T49))</f>
        <v/>
      </c>
      <c r="F49" s="41">
        <f>IF($T49=0,"",IF(INDEX('計算（触らない）'!$F$6:$F$105,$T49)=2,INDEX('計算（触らない）'!$AM$6:$AM$105,$T49),""))</f>
        <v/>
      </c>
      <c r="G49" s="40">
        <f>IF($T49=0,"",IF(INDEX('計算（触らない）'!$F$6:$F$105,$T49)=4,"―",INDEX('計算（触らない）'!$AN$6:$AN$105,$T49)))</f>
        <v/>
      </c>
      <c r="H49" s="37">
        <f>IF($T49=0,"",CHOOSE(INDEX('計算（触らない）'!$F$6:$F$105,$T49),"定額法","定率法","―","―"))</f>
        <v/>
      </c>
      <c r="I49" s="37">
        <f>IF($T49=0,"",IF(INDEX('計算（触らない）'!$F$6:$F$105,$T49)&lt;=2,INDEX('計算（触らない）'!$H$6:$H$105,$T49),"―"))</f>
        <v/>
      </c>
      <c r="J49" s="42">
        <f>IF($T49=0,"",INDEX('計算（触らない）'!$AO$6:$AO$105,$T49))</f>
        <v/>
      </c>
      <c r="K49" s="37">
        <f>IF($T49=0,"",IF(AND(INDEX('計算（触らない）'!$F$6:$F$105,$T49)&lt;=2,INDEX('計算（触らない）'!$AB$6:$AB$105,$T49)&gt;0),INDEX('計算（触らない）'!$AB$6:$AB$105,$T49)&amp;"/12","―"))</f>
        <v/>
      </c>
      <c r="L49" s="40">
        <f>IF($T49=0,"",IF(INDEX('計算（触らない）'!$F$6:$F$105,$T49)=4,"―",INDEX('計算（触らない）'!$Z$6:$Z$105,$T49)))</f>
        <v/>
      </c>
      <c r="M49" s="37">
        <f>IF($T49=0,"","―")</f>
        <v/>
      </c>
      <c r="N49" s="40">
        <f>IF($T49=0,"",IF(INDEX('計算（触らない）'!$F$6:$F$105,$T49)=4,"―",INDEX('計算（触らない）'!$Z$6:$Z$105,$T49)))</f>
        <v/>
      </c>
      <c r="O49" s="43">
        <f>IF($T49=0,"",IF(AND(INDEX('計算（触らない）'!$F$6:$F$105,$T49)=4,INDEX('計算（触らない）'!$N$6:$N$105,$T49)=1),"―",INDEX('計算（触らない）'!$N$6:$N$105,$T49)))</f>
        <v/>
      </c>
      <c r="P49" s="40">
        <f>IF($T49=0,"",INDEX('計算（触らない）'!$AC$6:$AC$105,$T49))</f>
        <v/>
      </c>
      <c r="Q49" s="40">
        <f>IF($T49=0,"",IF(INDEX('計算（触らない）'!$F$6:$F$105,$T49)=4,"―",INDEX('計算（触らない）'!$Y$6:$Y$105,$T49)))</f>
        <v/>
      </c>
      <c r="R49" s="38">
        <f>IF($T49=0,"",TRIM(IF(INDEX('計算（触らない）'!$F$6:$F$105,$T49)=4,IF('計算（触らない）'!$B$1=1,"措法67の5","措法28の2"),"")&amp;IF(INDEX('計算（触らない）'!$AA$6:$AA$105,$T49)&gt;0,"改定償却","")&amp;IF(INDEX('計算（触らない）'!$AD$6:$AD$105,$T49)=1," "&amp;YEAR(INDEX('計算（触らない）'!$Q$6:$Q$105,$T49))&amp;"年"&amp;MONTH(INDEX('計算（触らない）'!$Q$6:$Q$105,$T49))&amp;"月"&amp;DAY(INDEX('計算（触らない）'!$Q$6:$Q$105,$T49))&amp;"日 売却・除却","")))</f>
        <v/>
      </c>
      <c r="S49" s="68" t="n"/>
      <c r="T49" s="68">
        <f>IFERROR(MATCH(43,'計算（触らない）'!$AG$6:$AG$105,0),0)</f>
        <v/>
      </c>
    </row>
    <row r="50" ht="20" customHeight="1">
      <c r="A50" s="37">
        <f>IF($T50=0,"",INDEX('計算（触らない）'!$A$6:$A$105,$T50))</f>
        <v/>
      </c>
      <c r="B50" s="38">
        <f>IF($T50=0,"",INDEX('固定資産台帳'!$B$6:$B$105,$T50)&amp;"")</f>
        <v/>
      </c>
      <c r="C50" s="37">
        <f>IF($T50=0,"",INDEX('固定資産台帳'!$D$6:$D$105,$T50)&amp;"")</f>
        <v/>
      </c>
      <c r="D50" s="39">
        <f>IF($T50=0,"",INDEX('計算（触らない）'!$D$6:$D$105,$T50))</f>
        <v/>
      </c>
      <c r="E50" s="40">
        <f>IF($T50=0,"",INDEX('計算（触らない）'!$C$6:$C$105,$T50))</f>
        <v/>
      </c>
      <c r="F50" s="41">
        <f>IF($T50=0,"",IF(INDEX('計算（触らない）'!$F$6:$F$105,$T50)=2,INDEX('計算（触らない）'!$AM$6:$AM$105,$T50),""))</f>
        <v/>
      </c>
      <c r="G50" s="40">
        <f>IF($T50=0,"",IF(INDEX('計算（触らない）'!$F$6:$F$105,$T50)=4,"―",INDEX('計算（触らない）'!$AN$6:$AN$105,$T50)))</f>
        <v/>
      </c>
      <c r="H50" s="37">
        <f>IF($T50=0,"",CHOOSE(INDEX('計算（触らない）'!$F$6:$F$105,$T50),"定額法","定率法","―","―"))</f>
        <v/>
      </c>
      <c r="I50" s="37">
        <f>IF($T50=0,"",IF(INDEX('計算（触らない）'!$F$6:$F$105,$T50)&lt;=2,INDEX('計算（触らない）'!$H$6:$H$105,$T50),"―"))</f>
        <v/>
      </c>
      <c r="J50" s="42">
        <f>IF($T50=0,"",INDEX('計算（触らない）'!$AO$6:$AO$105,$T50))</f>
        <v/>
      </c>
      <c r="K50" s="37">
        <f>IF($T50=0,"",IF(AND(INDEX('計算（触らない）'!$F$6:$F$105,$T50)&lt;=2,INDEX('計算（触らない）'!$AB$6:$AB$105,$T50)&gt;0),INDEX('計算（触らない）'!$AB$6:$AB$105,$T50)&amp;"/12","―"))</f>
        <v/>
      </c>
      <c r="L50" s="40">
        <f>IF($T50=0,"",IF(INDEX('計算（触らない）'!$F$6:$F$105,$T50)=4,"―",INDEX('計算（触らない）'!$Z$6:$Z$105,$T50)))</f>
        <v/>
      </c>
      <c r="M50" s="37">
        <f>IF($T50=0,"","―")</f>
        <v/>
      </c>
      <c r="N50" s="40">
        <f>IF($T50=0,"",IF(INDEX('計算（触らない）'!$F$6:$F$105,$T50)=4,"―",INDEX('計算（触らない）'!$Z$6:$Z$105,$T50)))</f>
        <v/>
      </c>
      <c r="O50" s="43">
        <f>IF($T50=0,"",IF(AND(INDEX('計算（触らない）'!$F$6:$F$105,$T50)=4,INDEX('計算（触らない）'!$N$6:$N$105,$T50)=1),"―",INDEX('計算（触らない）'!$N$6:$N$105,$T50)))</f>
        <v/>
      </c>
      <c r="P50" s="40">
        <f>IF($T50=0,"",INDEX('計算（触らない）'!$AC$6:$AC$105,$T50))</f>
        <v/>
      </c>
      <c r="Q50" s="40">
        <f>IF($T50=0,"",IF(INDEX('計算（触らない）'!$F$6:$F$105,$T50)=4,"―",INDEX('計算（触らない）'!$Y$6:$Y$105,$T50)))</f>
        <v/>
      </c>
      <c r="R50" s="38">
        <f>IF($T50=0,"",TRIM(IF(INDEX('計算（触らない）'!$F$6:$F$105,$T50)=4,IF('計算（触らない）'!$B$1=1,"措法67の5","措法28の2"),"")&amp;IF(INDEX('計算（触らない）'!$AA$6:$AA$105,$T50)&gt;0,"改定償却","")&amp;IF(INDEX('計算（触らない）'!$AD$6:$AD$105,$T50)=1," "&amp;YEAR(INDEX('計算（触らない）'!$Q$6:$Q$105,$T50))&amp;"年"&amp;MONTH(INDEX('計算（触らない）'!$Q$6:$Q$105,$T50))&amp;"月"&amp;DAY(INDEX('計算（触らない）'!$Q$6:$Q$105,$T50))&amp;"日 売却・除却","")))</f>
        <v/>
      </c>
      <c r="S50" s="68" t="n"/>
      <c r="T50" s="68">
        <f>IFERROR(MATCH(44,'計算（触らない）'!$AG$6:$AG$105,0),0)</f>
        <v/>
      </c>
    </row>
    <row r="51" ht="20" customHeight="1">
      <c r="A51" s="37">
        <f>IF($T51=0,"",INDEX('計算（触らない）'!$A$6:$A$105,$T51))</f>
        <v/>
      </c>
      <c r="B51" s="38">
        <f>IF($T51=0,"",INDEX('固定資産台帳'!$B$6:$B$105,$T51)&amp;"")</f>
        <v/>
      </c>
      <c r="C51" s="37">
        <f>IF($T51=0,"",INDEX('固定資産台帳'!$D$6:$D$105,$T51)&amp;"")</f>
        <v/>
      </c>
      <c r="D51" s="39">
        <f>IF($T51=0,"",INDEX('計算（触らない）'!$D$6:$D$105,$T51))</f>
        <v/>
      </c>
      <c r="E51" s="40">
        <f>IF($T51=0,"",INDEX('計算（触らない）'!$C$6:$C$105,$T51))</f>
        <v/>
      </c>
      <c r="F51" s="41">
        <f>IF($T51=0,"",IF(INDEX('計算（触らない）'!$F$6:$F$105,$T51)=2,INDEX('計算（触らない）'!$AM$6:$AM$105,$T51),""))</f>
        <v/>
      </c>
      <c r="G51" s="40">
        <f>IF($T51=0,"",IF(INDEX('計算（触らない）'!$F$6:$F$105,$T51)=4,"―",INDEX('計算（触らない）'!$AN$6:$AN$105,$T51)))</f>
        <v/>
      </c>
      <c r="H51" s="37">
        <f>IF($T51=0,"",CHOOSE(INDEX('計算（触らない）'!$F$6:$F$105,$T51),"定額法","定率法","―","―"))</f>
        <v/>
      </c>
      <c r="I51" s="37">
        <f>IF($T51=0,"",IF(INDEX('計算（触らない）'!$F$6:$F$105,$T51)&lt;=2,INDEX('計算（触らない）'!$H$6:$H$105,$T51),"―"))</f>
        <v/>
      </c>
      <c r="J51" s="42">
        <f>IF($T51=0,"",INDEX('計算（触らない）'!$AO$6:$AO$105,$T51))</f>
        <v/>
      </c>
      <c r="K51" s="37">
        <f>IF($T51=0,"",IF(AND(INDEX('計算（触らない）'!$F$6:$F$105,$T51)&lt;=2,INDEX('計算（触らない）'!$AB$6:$AB$105,$T51)&gt;0),INDEX('計算（触らない）'!$AB$6:$AB$105,$T51)&amp;"/12","―"))</f>
        <v/>
      </c>
      <c r="L51" s="40">
        <f>IF($T51=0,"",IF(INDEX('計算（触らない）'!$F$6:$F$105,$T51)=4,"―",INDEX('計算（触らない）'!$Z$6:$Z$105,$T51)))</f>
        <v/>
      </c>
      <c r="M51" s="37">
        <f>IF($T51=0,"","―")</f>
        <v/>
      </c>
      <c r="N51" s="40">
        <f>IF($T51=0,"",IF(INDEX('計算（触らない）'!$F$6:$F$105,$T51)=4,"―",INDEX('計算（触らない）'!$Z$6:$Z$105,$T51)))</f>
        <v/>
      </c>
      <c r="O51" s="43">
        <f>IF($T51=0,"",IF(AND(INDEX('計算（触らない）'!$F$6:$F$105,$T51)=4,INDEX('計算（触らない）'!$N$6:$N$105,$T51)=1),"―",INDEX('計算（触らない）'!$N$6:$N$105,$T51)))</f>
        <v/>
      </c>
      <c r="P51" s="40">
        <f>IF($T51=0,"",INDEX('計算（触らない）'!$AC$6:$AC$105,$T51))</f>
        <v/>
      </c>
      <c r="Q51" s="40">
        <f>IF($T51=0,"",IF(INDEX('計算（触らない）'!$F$6:$F$105,$T51)=4,"―",INDEX('計算（触らない）'!$Y$6:$Y$105,$T51)))</f>
        <v/>
      </c>
      <c r="R51" s="38">
        <f>IF($T51=0,"",TRIM(IF(INDEX('計算（触らない）'!$F$6:$F$105,$T51)=4,IF('計算（触らない）'!$B$1=1,"措法67の5","措法28の2"),"")&amp;IF(INDEX('計算（触らない）'!$AA$6:$AA$105,$T51)&gt;0,"改定償却","")&amp;IF(INDEX('計算（触らない）'!$AD$6:$AD$105,$T51)=1," "&amp;YEAR(INDEX('計算（触らない）'!$Q$6:$Q$105,$T51))&amp;"年"&amp;MONTH(INDEX('計算（触らない）'!$Q$6:$Q$105,$T51))&amp;"月"&amp;DAY(INDEX('計算（触らない）'!$Q$6:$Q$105,$T51))&amp;"日 売却・除却","")))</f>
        <v/>
      </c>
      <c r="S51" s="68" t="n"/>
      <c r="T51" s="68">
        <f>IFERROR(MATCH(45,'計算（触らない）'!$AG$6:$AG$105,0),0)</f>
        <v/>
      </c>
    </row>
    <row r="52" ht="20" customHeight="1">
      <c r="A52" s="37">
        <f>IF($T52=0,"",INDEX('計算（触らない）'!$A$6:$A$105,$T52))</f>
        <v/>
      </c>
      <c r="B52" s="38">
        <f>IF($T52=0,"",INDEX('固定資産台帳'!$B$6:$B$105,$T52)&amp;"")</f>
        <v/>
      </c>
      <c r="C52" s="37">
        <f>IF($T52=0,"",INDEX('固定資産台帳'!$D$6:$D$105,$T52)&amp;"")</f>
        <v/>
      </c>
      <c r="D52" s="39">
        <f>IF($T52=0,"",INDEX('計算（触らない）'!$D$6:$D$105,$T52))</f>
        <v/>
      </c>
      <c r="E52" s="40">
        <f>IF($T52=0,"",INDEX('計算（触らない）'!$C$6:$C$105,$T52))</f>
        <v/>
      </c>
      <c r="F52" s="41">
        <f>IF($T52=0,"",IF(INDEX('計算（触らない）'!$F$6:$F$105,$T52)=2,INDEX('計算（触らない）'!$AM$6:$AM$105,$T52),""))</f>
        <v/>
      </c>
      <c r="G52" s="40">
        <f>IF($T52=0,"",IF(INDEX('計算（触らない）'!$F$6:$F$105,$T52)=4,"―",INDEX('計算（触らない）'!$AN$6:$AN$105,$T52)))</f>
        <v/>
      </c>
      <c r="H52" s="37">
        <f>IF($T52=0,"",CHOOSE(INDEX('計算（触らない）'!$F$6:$F$105,$T52),"定額法","定率法","―","―"))</f>
        <v/>
      </c>
      <c r="I52" s="37">
        <f>IF($T52=0,"",IF(INDEX('計算（触らない）'!$F$6:$F$105,$T52)&lt;=2,INDEX('計算（触らない）'!$H$6:$H$105,$T52),"―"))</f>
        <v/>
      </c>
      <c r="J52" s="42">
        <f>IF($T52=0,"",INDEX('計算（触らない）'!$AO$6:$AO$105,$T52))</f>
        <v/>
      </c>
      <c r="K52" s="37">
        <f>IF($T52=0,"",IF(AND(INDEX('計算（触らない）'!$F$6:$F$105,$T52)&lt;=2,INDEX('計算（触らない）'!$AB$6:$AB$105,$T52)&gt;0),INDEX('計算（触らない）'!$AB$6:$AB$105,$T52)&amp;"/12","―"))</f>
        <v/>
      </c>
      <c r="L52" s="40">
        <f>IF($T52=0,"",IF(INDEX('計算（触らない）'!$F$6:$F$105,$T52)=4,"―",INDEX('計算（触らない）'!$Z$6:$Z$105,$T52)))</f>
        <v/>
      </c>
      <c r="M52" s="37">
        <f>IF($T52=0,"","―")</f>
        <v/>
      </c>
      <c r="N52" s="40">
        <f>IF($T52=0,"",IF(INDEX('計算（触らない）'!$F$6:$F$105,$T52)=4,"―",INDEX('計算（触らない）'!$Z$6:$Z$105,$T52)))</f>
        <v/>
      </c>
      <c r="O52" s="43">
        <f>IF($T52=0,"",IF(AND(INDEX('計算（触らない）'!$F$6:$F$105,$T52)=4,INDEX('計算（触らない）'!$N$6:$N$105,$T52)=1),"―",INDEX('計算（触らない）'!$N$6:$N$105,$T52)))</f>
        <v/>
      </c>
      <c r="P52" s="40">
        <f>IF($T52=0,"",INDEX('計算（触らない）'!$AC$6:$AC$105,$T52))</f>
        <v/>
      </c>
      <c r="Q52" s="40">
        <f>IF($T52=0,"",IF(INDEX('計算（触らない）'!$F$6:$F$105,$T52)=4,"―",INDEX('計算（触らない）'!$Y$6:$Y$105,$T52)))</f>
        <v/>
      </c>
      <c r="R52" s="38">
        <f>IF($T52=0,"",TRIM(IF(INDEX('計算（触らない）'!$F$6:$F$105,$T52)=4,IF('計算（触らない）'!$B$1=1,"措法67の5","措法28の2"),"")&amp;IF(INDEX('計算（触らない）'!$AA$6:$AA$105,$T52)&gt;0,"改定償却","")&amp;IF(INDEX('計算（触らない）'!$AD$6:$AD$105,$T52)=1," "&amp;YEAR(INDEX('計算（触らない）'!$Q$6:$Q$105,$T52))&amp;"年"&amp;MONTH(INDEX('計算（触らない）'!$Q$6:$Q$105,$T52))&amp;"月"&amp;DAY(INDEX('計算（触らない）'!$Q$6:$Q$105,$T52))&amp;"日 売却・除却","")))</f>
        <v/>
      </c>
      <c r="S52" s="68" t="n"/>
      <c r="T52" s="68">
        <f>IFERROR(MATCH(46,'計算（触らない）'!$AG$6:$AG$105,0),0)</f>
        <v/>
      </c>
    </row>
    <row r="53" ht="20" customHeight="1">
      <c r="A53" s="37">
        <f>IF($T53=0,"",INDEX('計算（触らない）'!$A$6:$A$105,$T53))</f>
        <v/>
      </c>
      <c r="B53" s="38">
        <f>IF($T53=0,"",INDEX('固定資産台帳'!$B$6:$B$105,$T53)&amp;"")</f>
        <v/>
      </c>
      <c r="C53" s="37">
        <f>IF($T53=0,"",INDEX('固定資産台帳'!$D$6:$D$105,$T53)&amp;"")</f>
        <v/>
      </c>
      <c r="D53" s="39">
        <f>IF($T53=0,"",INDEX('計算（触らない）'!$D$6:$D$105,$T53))</f>
        <v/>
      </c>
      <c r="E53" s="40">
        <f>IF($T53=0,"",INDEX('計算（触らない）'!$C$6:$C$105,$T53))</f>
        <v/>
      </c>
      <c r="F53" s="41">
        <f>IF($T53=0,"",IF(INDEX('計算（触らない）'!$F$6:$F$105,$T53)=2,INDEX('計算（触らない）'!$AM$6:$AM$105,$T53),""))</f>
        <v/>
      </c>
      <c r="G53" s="40">
        <f>IF($T53=0,"",IF(INDEX('計算（触らない）'!$F$6:$F$105,$T53)=4,"―",INDEX('計算（触らない）'!$AN$6:$AN$105,$T53)))</f>
        <v/>
      </c>
      <c r="H53" s="37">
        <f>IF($T53=0,"",CHOOSE(INDEX('計算（触らない）'!$F$6:$F$105,$T53),"定額法","定率法","―","―"))</f>
        <v/>
      </c>
      <c r="I53" s="37">
        <f>IF($T53=0,"",IF(INDEX('計算（触らない）'!$F$6:$F$105,$T53)&lt;=2,INDEX('計算（触らない）'!$H$6:$H$105,$T53),"―"))</f>
        <v/>
      </c>
      <c r="J53" s="42">
        <f>IF($T53=0,"",INDEX('計算（触らない）'!$AO$6:$AO$105,$T53))</f>
        <v/>
      </c>
      <c r="K53" s="37">
        <f>IF($T53=0,"",IF(AND(INDEX('計算（触らない）'!$F$6:$F$105,$T53)&lt;=2,INDEX('計算（触らない）'!$AB$6:$AB$105,$T53)&gt;0),INDEX('計算（触らない）'!$AB$6:$AB$105,$T53)&amp;"/12","―"))</f>
        <v/>
      </c>
      <c r="L53" s="40">
        <f>IF($T53=0,"",IF(INDEX('計算（触らない）'!$F$6:$F$105,$T53)=4,"―",INDEX('計算（触らない）'!$Z$6:$Z$105,$T53)))</f>
        <v/>
      </c>
      <c r="M53" s="37">
        <f>IF($T53=0,"","―")</f>
        <v/>
      </c>
      <c r="N53" s="40">
        <f>IF($T53=0,"",IF(INDEX('計算（触らない）'!$F$6:$F$105,$T53)=4,"―",INDEX('計算（触らない）'!$Z$6:$Z$105,$T53)))</f>
        <v/>
      </c>
      <c r="O53" s="43">
        <f>IF($T53=0,"",IF(AND(INDEX('計算（触らない）'!$F$6:$F$105,$T53)=4,INDEX('計算（触らない）'!$N$6:$N$105,$T53)=1),"―",INDEX('計算（触らない）'!$N$6:$N$105,$T53)))</f>
        <v/>
      </c>
      <c r="P53" s="40">
        <f>IF($T53=0,"",INDEX('計算（触らない）'!$AC$6:$AC$105,$T53))</f>
        <v/>
      </c>
      <c r="Q53" s="40">
        <f>IF($T53=0,"",IF(INDEX('計算（触らない）'!$F$6:$F$105,$T53)=4,"―",INDEX('計算（触らない）'!$Y$6:$Y$105,$T53)))</f>
        <v/>
      </c>
      <c r="R53" s="38">
        <f>IF($T53=0,"",TRIM(IF(INDEX('計算（触らない）'!$F$6:$F$105,$T53)=4,IF('計算（触らない）'!$B$1=1,"措法67の5","措法28の2"),"")&amp;IF(INDEX('計算（触らない）'!$AA$6:$AA$105,$T53)&gt;0,"改定償却","")&amp;IF(INDEX('計算（触らない）'!$AD$6:$AD$105,$T53)=1," "&amp;YEAR(INDEX('計算（触らない）'!$Q$6:$Q$105,$T53))&amp;"年"&amp;MONTH(INDEX('計算（触らない）'!$Q$6:$Q$105,$T53))&amp;"月"&amp;DAY(INDEX('計算（触らない）'!$Q$6:$Q$105,$T53))&amp;"日 売却・除却","")))</f>
        <v/>
      </c>
      <c r="S53" s="68" t="n"/>
      <c r="T53" s="68">
        <f>IFERROR(MATCH(47,'計算（触らない）'!$AG$6:$AG$105,0),0)</f>
        <v/>
      </c>
    </row>
    <row r="54" ht="20" customHeight="1">
      <c r="A54" s="37">
        <f>IF($T54=0,"",INDEX('計算（触らない）'!$A$6:$A$105,$T54))</f>
        <v/>
      </c>
      <c r="B54" s="38">
        <f>IF($T54=0,"",INDEX('固定資産台帳'!$B$6:$B$105,$T54)&amp;"")</f>
        <v/>
      </c>
      <c r="C54" s="37">
        <f>IF($T54=0,"",INDEX('固定資産台帳'!$D$6:$D$105,$T54)&amp;"")</f>
        <v/>
      </c>
      <c r="D54" s="39">
        <f>IF($T54=0,"",INDEX('計算（触らない）'!$D$6:$D$105,$T54))</f>
        <v/>
      </c>
      <c r="E54" s="40">
        <f>IF($T54=0,"",INDEX('計算（触らない）'!$C$6:$C$105,$T54))</f>
        <v/>
      </c>
      <c r="F54" s="41">
        <f>IF($T54=0,"",IF(INDEX('計算（触らない）'!$F$6:$F$105,$T54)=2,INDEX('計算（触らない）'!$AM$6:$AM$105,$T54),""))</f>
        <v/>
      </c>
      <c r="G54" s="40">
        <f>IF($T54=0,"",IF(INDEX('計算（触らない）'!$F$6:$F$105,$T54)=4,"―",INDEX('計算（触らない）'!$AN$6:$AN$105,$T54)))</f>
        <v/>
      </c>
      <c r="H54" s="37">
        <f>IF($T54=0,"",CHOOSE(INDEX('計算（触らない）'!$F$6:$F$105,$T54),"定額法","定率法","―","―"))</f>
        <v/>
      </c>
      <c r="I54" s="37">
        <f>IF($T54=0,"",IF(INDEX('計算（触らない）'!$F$6:$F$105,$T54)&lt;=2,INDEX('計算（触らない）'!$H$6:$H$105,$T54),"―"))</f>
        <v/>
      </c>
      <c r="J54" s="42">
        <f>IF($T54=0,"",INDEX('計算（触らない）'!$AO$6:$AO$105,$T54))</f>
        <v/>
      </c>
      <c r="K54" s="37">
        <f>IF($T54=0,"",IF(AND(INDEX('計算（触らない）'!$F$6:$F$105,$T54)&lt;=2,INDEX('計算（触らない）'!$AB$6:$AB$105,$T54)&gt;0),INDEX('計算（触らない）'!$AB$6:$AB$105,$T54)&amp;"/12","―"))</f>
        <v/>
      </c>
      <c r="L54" s="40">
        <f>IF($T54=0,"",IF(INDEX('計算（触らない）'!$F$6:$F$105,$T54)=4,"―",INDEX('計算（触らない）'!$Z$6:$Z$105,$T54)))</f>
        <v/>
      </c>
      <c r="M54" s="37">
        <f>IF($T54=0,"","―")</f>
        <v/>
      </c>
      <c r="N54" s="40">
        <f>IF($T54=0,"",IF(INDEX('計算（触らない）'!$F$6:$F$105,$T54)=4,"―",INDEX('計算（触らない）'!$Z$6:$Z$105,$T54)))</f>
        <v/>
      </c>
      <c r="O54" s="43">
        <f>IF($T54=0,"",IF(AND(INDEX('計算（触らない）'!$F$6:$F$105,$T54)=4,INDEX('計算（触らない）'!$N$6:$N$105,$T54)=1),"―",INDEX('計算（触らない）'!$N$6:$N$105,$T54)))</f>
        <v/>
      </c>
      <c r="P54" s="40">
        <f>IF($T54=0,"",INDEX('計算（触らない）'!$AC$6:$AC$105,$T54))</f>
        <v/>
      </c>
      <c r="Q54" s="40">
        <f>IF($T54=0,"",IF(INDEX('計算（触らない）'!$F$6:$F$105,$T54)=4,"―",INDEX('計算（触らない）'!$Y$6:$Y$105,$T54)))</f>
        <v/>
      </c>
      <c r="R54" s="38">
        <f>IF($T54=0,"",TRIM(IF(INDEX('計算（触らない）'!$F$6:$F$105,$T54)=4,IF('計算（触らない）'!$B$1=1,"措法67の5","措法28の2"),"")&amp;IF(INDEX('計算（触らない）'!$AA$6:$AA$105,$T54)&gt;0,"改定償却","")&amp;IF(INDEX('計算（触らない）'!$AD$6:$AD$105,$T54)=1," "&amp;YEAR(INDEX('計算（触らない）'!$Q$6:$Q$105,$T54))&amp;"年"&amp;MONTH(INDEX('計算（触らない）'!$Q$6:$Q$105,$T54))&amp;"月"&amp;DAY(INDEX('計算（触らない）'!$Q$6:$Q$105,$T54))&amp;"日 売却・除却","")))</f>
        <v/>
      </c>
      <c r="S54" s="68" t="n"/>
      <c r="T54" s="68">
        <f>IFERROR(MATCH(48,'計算（触らない）'!$AG$6:$AG$105,0),0)</f>
        <v/>
      </c>
    </row>
    <row r="55" ht="20" customHeight="1">
      <c r="A55" s="37">
        <f>IF($T55=0,"",INDEX('計算（触らない）'!$A$6:$A$105,$T55))</f>
        <v/>
      </c>
      <c r="B55" s="38">
        <f>IF($T55=0,"",INDEX('固定資産台帳'!$B$6:$B$105,$T55)&amp;"")</f>
        <v/>
      </c>
      <c r="C55" s="37">
        <f>IF($T55=0,"",INDEX('固定資産台帳'!$D$6:$D$105,$T55)&amp;"")</f>
        <v/>
      </c>
      <c r="D55" s="39">
        <f>IF($T55=0,"",INDEX('計算（触らない）'!$D$6:$D$105,$T55))</f>
        <v/>
      </c>
      <c r="E55" s="40">
        <f>IF($T55=0,"",INDEX('計算（触らない）'!$C$6:$C$105,$T55))</f>
        <v/>
      </c>
      <c r="F55" s="41">
        <f>IF($T55=0,"",IF(INDEX('計算（触らない）'!$F$6:$F$105,$T55)=2,INDEX('計算（触らない）'!$AM$6:$AM$105,$T55),""))</f>
        <v/>
      </c>
      <c r="G55" s="40">
        <f>IF($T55=0,"",IF(INDEX('計算（触らない）'!$F$6:$F$105,$T55)=4,"―",INDEX('計算（触らない）'!$AN$6:$AN$105,$T55)))</f>
        <v/>
      </c>
      <c r="H55" s="37">
        <f>IF($T55=0,"",CHOOSE(INDEX('計算（触らない）'!$F$6:$F$105,$T55),"定額法","定率法","―","―"))</f>
        <v/>
      </c>
      <c r="I55" s="37">
        <f>IF($T55=0,"",IF(INDEX('計算（触らない）'!$F$6:$F$105,$T55)&lt;=2,INDEX('計算（触らない）'!$H$6:$H$105,$T55),"―"))</f>
        <v/>
      </c>
      <c r="J55" s="42">
        <f>IF($T55=0,"",INDEX('計算（触らない）'!$AO$6:$AO$105,$T55))</f>
        <v/>
      </c>
      <c r="K55" s="37">
        <f>IF($T55=0,"",IF(AND(INDEX('計算（触らない）'!$F$6:$F$105,$T55)&lt;=2,INDEX('計算（触らない）'!$AB$6:$AB$105,$T55)&gt;0),INDEX('計算（触らない）'!$AB$6:$AB$105,$T55)&amp;"/12","―"))</f>
        <v/>
      </c>
      <c r="L55" s="40">
        <f>IF($T55=0,"",IF(INDEX('計算（触らない）'!$F$6:$F$105,$T55)=4,"―",INDEX('計算（触らない）'!$Z$6:$Z$105,$T55)))</f>
        <v/>
      </c>
      <c r="M55" s="37">
        <f>IF($T55=0,"","―")</f>
        <v/>
      </c>
      <c r="N55" s="40">
        <f>IF($T55=0,"",IF(INDEX('計算（触らない）'!$F$6:$F$105,$T55)=4,"―",INDEX('計算（触らない）'!$Z$6:$Z$105,$T55)))</f>
        <v/>
      </c>
      <c r="O55" s="43">
        <f>IF($T55=0,"",IF(AND(INDEX('計算（触らない）'!$F$6:$F$105,$T55)=4,INDEX('計算（触らない）'!$N$6:$N$105,$T55)=1),"―",INDEX('計算（触らない）'!$N$6:$N$105,$T55)))</f>
        <v/>
      </c>
      <c r="P55" s="40">
        <f>IF($T55=0,"",INDEX('計算（触らない）'!$AC$6:$AC$105,$T55))</f>
        <v/>
      </c>
      <c r="Q55" s="40">
        <f>IF($T55=0,"",IF(INDEX('計算（触らない）'!$F$6:$F$105,$T55)=4,"―",INDEX('計算（触らない）'!$Y$6:$Y$105,$T55)))</f>
        <v/>
      </c>
      <c r="R55" s="38">
        <f>IF($T55=0,"",TRIM(IF(INDEX('計算（触らない）'!$F$6:$F$105,$T55)=4,IF('計算（触らない）'!$B$1=1,"措法67の5","措法28の2"),"")&amp;IF(INDEX('計算（触らない）'!$AA$6:$AA$105,$T55)&gt;0,"改定償却","")&amp;IF(INDEX('計算（触らない）'!$AD$6:$AD$105,$T55)=1," "&amp;YEAR(INDEX('計算（触らない）'!$Q$6:$Q$105,$T55))&amp;"年"&amp;MONTH(INDEX('計算（触らない）'!$Q$6:$Q$105,$T55))&amp;"月"&amp;DAY(INDEX('計算（触らない）'!$Q$6:$Q$105,$T55))&amp;"日 売却・除却","")))</f>
        <v/>
      </c>
      <c r="S55" s="68" t="n"/>
      <c r="T55" s="68">
        <f>IFERROR(MATCH(49,'計算（触らない）'!$AG$6:$AG$105,0),0)</f>
        <v/>
      </c>
    </row>
    <row r="56" ht="20" customHeight="1">
      <c r="A56" s="37">
        <f>IF($T56=0,"",INDEX('計算（触らない）'!$A$6:$A$105,$T56))</f>
        <v/>
      </c>
      <c r="B56" s="38">
        <f>IF($T56=0,"",INDEX('固定資産台帳'!$B$6:$B$105,$T56)&amp;"")</f>
        <v/>
      </c>
      <c r="C56" s="37">
        <f>IF($T56=0,"",INDEX('固定資産台帳'!$D$6:$D$105,$T56)&amp;"")</f>
        <v/>
      </c>
      <c r="D56" s="39">
        <f>IF($T56=0,"",INDEX('計算（触らない）'!$D$6:$D$105,$T56))</f>
        <v/>
      </c>
      <c r="E56" s="40">
        <f>IF($T56=0,"",INDEX('計算（触らない）'!$C$6:$C$105,$T56))</f>
        <v/>
      </c>
      <c r="F56" s="41">
        <f>IF($T56=0,"",IF(INDEX('計算（触らない）'!$F$6:$F$105,$T56)=2,INDEX('計算（触らない）'!$AM$6:$AM$105,$T56),""))</f>
        <v/>
      </c>
      <c r="G56" s="40">
        <f>IF($T56=0,"",IF(INDEX('計算（触らない）'!$F$6:$F$105,$T56)=4,"―",INDEX('計算（触らない）'!$AN$6:$AN$105,$T56)))</f>
        <v/>
      </c>
      <c r="H56" s="37">
        <f>IF($T56=0,"",CHOOSE(INDEX('計算（触らない）'!$F$6:$F$105,$T56),"定額法","定率法","―","―"))</f>
        <v/>
      </c>
      <c r="I56" s="37">
        <f>IF($T56=0,"",IF(INDEX('計算（触らない）'!$F$6:$F$105,$T56)&lt;=2,INDEX('計算（触らない）'!$H$6:$H$105,$T56),"―"))</f>
        <v/>
      </c>
      <c r="J56" s="42">
        <f>IF($T56=0,"",INDEX('計算（触らない）'!$AO$6:$AO$105,$T56))</f>
        <v/>
      </c>
      <c r="K56" s="37">
        <f>IF($T56=0,"",IF(AND(INDEX('計算（触らない）'!$F$6:$F$105,$T56)&lt;=2,INDEX('計算（触らない）'!$AB$6:$AB$105,$T56)&gt;0),INDEX('計算（触らない）'!$AB$6:$AB$105,$T56)&amp;"/12","―"))</f>
        <v/>
      </c>
      <c r="L56" s="40">
        <f>IF($T56=0,"",IF(INDEX('計算（触らない）'!$F$6:$F$105,$T56)=4,"―",INDEX('計算（触らない）'!$Z$6:$Z$105,$T56)))</f>
        <v/>
      </c>
      <c r="M56" s="37">
        <f>IF($T56=0,"","―")</f>
        <v/>
      </c>
      <c r="N56" s="40">
        <f>IF($T56=0,"",IF(INDEX('計算（触らない）'!$F$6:$F$105,$T56)=4,"―",INDEX('計算（触らない）'!$Z$6:$Z$105,$T56)))</f>
        <v/>
      </c>
      <c r="O56" s="43">
        <f>IF($T56=0,"",IF(AND(INDEX('計算（触らない）'!$F$6:$F$105,$T56)=4,INDEX('計算（触らない）'!$N$6:$N$105,$T56)=1),"―",INDEX('計算（触らない）'!$N$6:$N$105,$T56)))</f>
        <v/>
      </c>
      <c r="P56" s="40">
        <f>IF($T56=0,"",INDEX('計算（触らない）'!$AC$6:$AC$105,$T56))</f>
        <v/>
      </c>
      <c r="Q56" s="40">
        <f>IF($T56=0,"",IF(INDEX('計算（触らない）'!$F$6:$F$105,$T56)=4,"―",INDEX('計算（触らない）'!$Y$6:$Y$105,$T56)))</f>
        <v/>
      </c>
      <c r="R56" s="38">
        <f>IF($T56=0,"",TRIM(IF(INDEX('計算（触らない）'!$F$6:$F$105,$T56)=4,IF('計算（触らない）'!$B$1=1,"措法67の5","措法28の2"),"")&amp;IF(INDEX('計算（触らない）'!$AA$6:$AA$105,$T56)&gt;0,"改定償却","")&amp;IF(INDEX('計算（触らない）'!$AD$6:$AD$105,$T56)=1," "&amp;YEAR(INDEX('計算（触らない）'!$Q$6:$Q$105,$T56))&amp;"年"&amp;MONTH(INDEX('計算（触らない）'!$Q$6:$Q$105,$T56))&amp;"月"&amp;DAY(INDEX('計算（触らない）'!$Q$6:$Q$105,$T56))&amp;"日 売却・除却","")))</f>
        <v/>
      </c>
      <c r="S56" s="68" t="n"/>
      <c r="T56" s="68">
        <f>IFERROR(MATCH(50,'計算（触らない）'!$AG$6:$AG$105,0),0)</f>
        <v/>
      </c>
    </row>
    <row r="57" ht="20" customHeight="1">
      <c r="A57" s="37">
        <f>IF($T57=0,"",INDEX('計算（触らない）'!$A$6:$A$105,$T57))</f>
        <v/>
      </c>
      <c r="B57" s="38">
        <f>IF($T57=0,"",INDEX('固定資産台帳'!$B$6:$B$105,$T57)&amp;"")</f>
        <v/>
      </c>
      <c r="C57" s="37">
        <f>IF($T57=0,"",INDEX('固定資産台帳'!$D$6:$D$105,$T57)&amp;"")</f>
        <v/>
      </c>
      <c r="D57" s="39">
        <f>IF($T57=0,"",INDEX('計算（触らない）'!$D$6:$D$105,$T57))</f>
        <v/>
      </c>
      <c r="E57" s="40">
        <f>IF($T57=0,"",INDEX('計算（触らない）'!$C$6:$C$105,$T57))</f>
        <v/>
      </c>
      <c r="F57" s="41">
        <f>IF($T57=0,"",IF(INDEX('計算（触らない）'!$F$6:$F$105,$T57)=2,INDEX('計算（触らない）'!$AM$6:$AM$105,$T57),""))</f>
        <v/>
      </c>
      <c r="G57" s="40">
        <f>IF($T57=0,"",IF(INDEX('計算（触らない）'!$F$6:$F$105,$T57)=4,"―",INDEX('計算（触らない）'!$AN$6:$AN$105,$T57)))</f>
        <v/>
      </c>
      <c r="H57" s="37">
        <f>IF($T57=0,"",CHOOSE(INDEX('計算（触らない）'!$F$6:$F$105,$T57),"定額法","定率法","―","―"))</f>
        <v/>
      </c>
      <c r="I57" s="37">
        <f>IF($T57=0,"",IF(INDEX('計算（触らない）'!$F$6:$F$105,$T57)&lt;=2,INDEX('計算（触らない）'!$H$6:$H$105,$T57),"―"))</f>
        <v/>
      </c>
      <c r="J57" s="42">
        <f>IF($T57=0,"",INDEX('計算（触らない）'!$AO$6:$AO$105,$T57))</f>
        <v/>
      </c>
      <c r="K57" s="37">
        <f>IF($T57=0,"",IF(AND(INDEX('計算（触らない）'!$F$6:$F$105,$T57)&lt;=2,INDEX('計算（触らない）'!$AB$6:$AB$105,$T57)&gt;0),INDEX('計算（触らない）'!$AB$6:$AB$105,$T57)&amp;"/12","―"))</f>
        <v/>
      </c>
      <c r="L57" s="40">
        <f>IF($T57=0,"",IF(INDEX('計算（触らない）'!$F$6:$F$105,$T57)=4,"―",INDEX('計算（触らない）'!$Z$6:$Z$105,$T57)))</f>
        <v/>
      </c>
      <c r="M57" s="37">
        <f>IF($T57=0,"","―")</f>
        <v/>
      </c>
      <c r="N57" s="40">
        <f>IF($T57=0,"",IF(INDEX('計算（触らない）'!$F$6:$F$105,$T57)=4,"―",INDEX('計算（触らない）'!$Z$6:$Z$105,$T57)))</f>
        <v/>
      </c>
      <c r="O57" s="43">
        <f>IF($T57=0,"",IF(AND(INDEX('計算（触らない）'!$F$6:$F$105,$T57)=4,INDEX('計算（触らない）'!$N$6:$N$105,$T57)=1),"―",INDEX('計算（触らない）'!$N$6:$N$105,$T57)))</f>
        <v/>
      </c>
      <c r="P57" s="40">
        <f>IF($T57=0,"",INDEX('計算（触らない）'!$AC$6:$AC$105,$T57))</f>
        <v/>
      </c>
      <c r="Q57" s="40">
        <f>IF($T57=0,"",IF(INDEX('計算（触らない）'!$F$6:$F$105,$T57)=4,"―",INDEX('計算（触らない）'!$Y$6:$Y$105,$T57)))</f>
        <v/>
      </c>
      <c r="R57" s="38">
        <f>IF($T57=0,"",TRIM(IF(INDEX('計算（触らない）'!$F$6:$F$105,$T57)=4,IF('計算（触らない）'!$B$1=1,"措法67の5","措法28の2"),"")&amp;IF(INDEX('計算（触らない）'!$AA$6:$AA$105,$T57)&gt;0,"改定償却","")&amp;IF(INDEX('計算（触らない）'!$AD$6:$AD$105,$T57)=1," "&amp;YEAR(INDEX('計算（触らない）'!$Q$6:$Q$105,$T57))&amp;"年"&amp;MONTH(INDEX('計算（触らない）'!$Q$6:$Q$105,$T57))&amp;"月"&amp;DAY(INDEX('計算（触らない）'!$Q$6:$Q$105,$T57))&amp;"日 売却・除却","")))</f>
        <v/>
      </c>
      <c r="S57" s="68" t="n"/>
      <c r="T57" s="68">
        <f>IFERROR(MATCH(51,'計算（触らない）'!$AG$6:$AG$105,0),0)</f>
        <v/>
      </c>
    </row>
    <row r="58" ht="20" customHeight="1">
      <c r="A58" s="37">
        <f>IF($T58=0,"",INDEX('計算（触らない）'!$A$6:$A$105,$T58))</f>
        <v/>
      </c>
      <c r="B58" s="38">
        <f>IF($T58=0,"",INDEX('固定資産台帳'!$B$6:$B$105,$T58)&amp;"")</f>
        <v/>
      </c>
      <c r="C58" s="37">
        <f>IF($T58=0,"",INDEX('固定資産台帳'!$D$6:$D$105,$T58)&amp;"")</f>
        <v/>
      </c>
      <c r="D58" s="39">
        <f>IF($T58=0,"",INDEX('計算（触らない）'!$D$6:$D$105,$T58))</f>
        <v/>
      </c>
      <c r="E58" s="40">
        <f>IF($T58=0,"",INDEX('計算（触らない）'!$C$6:$C$105,$T58))</f>
        <v/>
      </c>
      <c r="F58" s="41">
        <f>IF($T58=0,"",IF(INDEX('計算（触らない）'!$F$6:$F$105,$T58)=2,INDEX('計算（触らない）'!$AM$6:$AM$105,$T58),""))</f>
        <v/>
      </c>
      <c r="G58" s="40">
        <f>IF($T58=0,"",IF(INDEX('計算（触らない）'!$F$6:$F$105,$T58)=4,"―",INDEX('計算（触らない）'!$AN$6:$AN$105,$T58)))</f>
        <v/>
      </c>
      <c r="H58" s="37">
        <f>IF($T58=0,"",CHOOSE(INDEX('計算（触らない）'!$F$6:$F$105,$T58),"定額法","定率法","―","―"))</f>
        <v/>
      </c>
      <c r="I58" s="37">
        <f>IF($T58=0,"",IF(INDEX('計算（触らない）'!$F$6:$F$105,$T58)&lt;=2,INDEX('計算（触らない）'!$H$6:$H$105,$T58),"―"))</f>
        <v/>
      </c>
      <c r="J58" s="42">
        <f>IF($T58=0,"",INDEX('計算（触らない）'!$AO$6:$AO$105,$T58))</f>
        <v/>
      </c>
      <c r="K58" s="37">
        <f>IF($T58=0,"",IF(AND(INDEX('計算（触らない）'!$F$6:$F$105,$T58)&lt;=2,INDEX('計算（触らない）'!$AB$6:$AB$105,$T58)&gt;0),INDEX('計算（触らない）'!$AB$6:$AB$105,$T58)&amp;"/12","―"))</f>
        <v/>
      </c>
      <c r="L58" s="40">
        <f>IF($T58=0,"",IF(INDEX('計算（触らない）'!$F$6:$F$105,$T58)=4,"―",INDEX('計算（触らない）'!$Z$6:$Z$105,$T58)))</f>
        <v/>
      </c>
      <c r="M58" s="37">
        <f>IF($T58=0,"","―")</f>
        <v/>
      </c>
      <c r="N58" s="40">
        <f>IF($T58=0,"",IF(INDEX('計算（触らない）'!$F$6:$F$105,$T58)=4,"―",INDEX('計算（触らない）'!$Z$6:$Z$105,$T58)))</f>
        <v/>
      </c>
      <c r="O58" s="43">
        <f>IF($T58=0,"",IF(AND(INDEX('計算（触らない）'!$F$6:$F$105,$T58)=4,INDEX('計算（触らない）'!$N$6:$N$105,$T58)=1),"―",INDEX('計算（触らない）'!$N$6:$N$105,$T58)))</f>
        <v/>
      </c>
      <c r="P58" s="40">
        <f>IF($T58=0,"",INDEX('計算（触らない）'!$AC$6:$AC$105,$T58))</f>
        <v/>
      </c>
      <c r="Q58" s="40">
        <f>IF($T58=0,"",IF(INDEX('計算（触らない）'!$F$6:$F$105,$T58)=4,"―",INDEX('計算（触らない）'!$Y$6:$Y$105,$T58)))</f>
        <v/>
      </c>
      <c r="R58" s="38">
        <f>IF($T58=0,"",TRIM(IF(INDEX('計算（触らない）'!$F$6:$F$105,$T58)=4,IF('計算（触らない）'!$B$1=1,"措法67の5","措法28の2"),"")&amp;IF(INDEX('計算（触らない）'!$AA$6:$AA$105,$T58)&gt;0,"改定償却","")&amp;IF(INDEX('計算（触らない）'!$AD$6:$AD$105,$T58)=1," "&amp;YEAR(INDEX('計算（触らない）'!$Q$6:$Q$105,$T58))&amp;"年"&amp;MONTH(INDEX('計算（触らない）'!$Q$6:$Q$105,$T58))&amp;"月"&amp;DAY(INDEX('計算（触らない）'!$Q$6:$Q$105,$T58))&amp;"日 売却・除却","")))</f>
        <v/>
      </c>
      <c r="S58" s="68" t="n"/>
      <c r="T58" s="68">
        <f>IFERROR(MATCH(52,'計算（触らない）'!$AG$6:$AG$105,0),0)</f>
        <v/>
      </c>
    </row>
    <row r="59" ht="20" customHeight="1">
      <c r="A59" s="37">
        <f>IF($T59=0,"",INDEX('計算（触らない）'!$A$6:$A$105,$T59))</f>
        <v/>
      </c>
      <c r="B59" s="38">
        <f>IF($T59=0,"",INDEX('固定資産台帳'!$B$6:$B$105,$T59)&amp;"")</f>
        <v/>
      </c>
      <c r="C59" s="37">
        <f>IF($T59=0,"",INDEX('固定資産台帳'!$D$6:$D$105,$T59)&amp;"")</f>
        <v/>
      </c>
      <c r="D59" s="39">
        <f>IF($T59=0,"",INDEX('計算（触らない）'!$D$6:$D$105,$T59))</f>
        <v/>
      </c>
      <c r="E59" s="40">
        <f>IF($T59=0,"",INDEX('計算（触らない）'!$C$6:$C$105,$T59))</f>
        <v/>
      </c>
      <c r="F59" s="41">
        <f>IF($T59=0,"",IF(INDEX('計算（触らない）'!$F$6:$F$105,$T59)=2,INDEX('計算（触らない）'!$AM$6:$AM$105,$T59),""))</f>
        <v/>
      </c>
      <c r="G59" s="40">
        <f>IF($T59=0,"",IF(INDEX('計算（触らない）'!$F$6:$F$105,$T59)=4,"―",INDEX('計算（触らない）'!$AN$6:$AN$105,$T59)))</f>
        <v/>
      </c>
      <c r="H59" s="37">
        <f>IF($T59=0,"",CHOOSE(INDEX('計算（触らない）'!$F$6:$F$105,$T59),"定額法","定率法","―","―"))</f>
        <v/>
      </c>
      <c r="I59" s="37">
        <f>IF($T59=0,"",IF(INDEX('計算（触らない）'!$F$6:$F$105,$T59)&lt;=2,INDEX('計算（触らない）'!$H$6:$H$105,$T59),"―"))</f>
        <v/>
      </c>
      <c r="J59" s="42">
        <f>IF($T59=0,"",INDEX('計算（触らない）'!$AO$6:$AO$105,$T59))</f>
        <v/>
      </c>
      <c r="K59" s="37">
        <f>IF($T59=0,"",IF(AND(INDEX('計算（触らない）'!$F$6:$F$105,$T59)&lt;=2,INDEX('計算（触らない）'!$AB$6:$AB$105,$T59)&gt;0),INDEX('計算（触らない）'!$AB$6:$AB$105,$T59)&amp;"/12","―"))</f>
        <v/>
      </c>
      <c r="L59" s="40">
        <f>IF($T59=0,"",IF(INDEX('計算（触らない）'!$F$6:$F$105,$T59)=4,"―",INDEX('計算（触らない）'!$Z$6:$Z$105,$T59)))</f>
        <v/>
      </c>
      <c r="M59" s="37">
        <f>IF($T59=0,"","―")</f>
        <v/>
      </c>
      <c r="N59" s="40">
        <f>IF($T59=0,"",IF(INDEX('計算（触らない）'!$F$6:$F$105,$T59)=4,"―",INDEX('計算（触らない）'!$Z$6:$Z$105,$T59)))</f>
        <v/>
      </c>
      <c r="O59" s="43">
        <f>IF($T59=0,"",IF(AND(INDEX('計算（触らない）'!$F$6:$F$105,$T59)=4,INDEX('計算（触らない）'!$N$6:$N$105,$T59)=1),"―",INDEX('計算（触らない）'!$N$6:$N$105,$T59)))</f>
        <v/>
      </c>
      <c r="P59" s="40">
        <f>IF($T59=0,"",INDEX('計算（触らない）'!$AC$6:$AC$105,$T59))</f>
        <v/>
      </c>
      <c r="Q59" s="40">
        <f>IF($T59=0,"",IF(INDEX('計算（触らない）'!$F$6:$F$105,$T59)=4,"―",INDEX('計算（触らない）'!$Y$6:$Y$105,$T59)))</f>
        <v/>
      </c>
      <c r="R59" s="38">
        <f>IF($T59=0,"",TRIM(IF(INDEX('計算（触らない）'!$F$6:$F$105,$T59)=4,IF('計算（触らない）'!$B$1=1,"措法67の5","措法28の2"),"")&amp;IF(INDEX('計算（触らない）'!$AA$6:$AA$105,$T59)&gt;0,"改定償却","")&amp;IF(INDEX('計算（触らない）'!$AD$6:$AD$105,$T59)=1," "&amp;YEAR(INDEX('計算（触らない）'!$Q$6:$Q$105,$T59))&amp;"年"&amp;MONTH(INDEX('計算（触らない）'!$Q$6:$Q$105,$T59))&amp;"月"&amp;DAY(INDEX('計算（触らない）'!$Q$6:$Q$105,$T59))&amp;"日 売却・除却","")))</f>
        <v/>
      </c>
      <c r="S59" s="68" t="n"/>
      <c r="T59" s="68">
        <f>IFERROR(MATCH(53,'計算（触らない）'!$AG$6:$AG$105,0),0)</f>
        <v/>
      </c>
    </row>
    <row r="60" ht="20" customHeight="1">
      <c r="A60" s="37">
        <f>IF($T60=0,"",INDEX('計算（触らない）'!$A$6:$A$105,$T60))</f>
        <v/>
      </c>
      <c r="B60" s="38">
        <f>IF($T60=0,"",INDEX('固定資産台帳'!$B$6:$B$105,$T60)&amp;"")</f>
        <v/>
      </c>
      <c r="C60" s="37">
        <f>IF($T60=0,"",INDEX('固定資産台帳'!$D$6:$D$105,$T60)&amp;"")</f>
        <v/>
      </c>
      <c r="D60" s="39">
        <f>IF($T60=0,"",INDEX('計算（触らない）'!$D$6:$D$105,$T60))</f>
        <v/>
      </c>
      <c r="E60" s="40">
        <f>IF($T60=0,"",INDEX('計算（触らない）'!$C$6:$C$105,$T60))</f>
        <v/>
      </c>
      <c r="F60" s="41">
        <f>IF($T60=0,"",IF(INDEX('計算（触らない）'!$F$6:$F$105,$T60)=2,INDEX('計算（触らない）'!$AM$6:$AM$105,$T60),""))</f>
        <v/>
      </c>
      <c r="G60" s="40">
        <f>IF($T60=0,"",IF(INDEX('計算（触らない）'!$F$6:$F$105,$T60)=4,"―",INDEX('計算（触らない）'!$AN$6:$AN$105,$T60)))</f>
        <v/>
      </c>
      <c r="H60" s="37">
        <f>IF($T60=0,"",CHOOSE(INDEX('計算（触らない）'!$F$6:$F$105,$T60),"定額法","定率法","―","―"))</f>
        <v/>
      </c>
      <c r="I60" s="37">
        <f>IF($T60=0,"",IF(INDEX('計算（触らない）'!$F$6:$F$105,$T60)&lt;=2,INDEX('計算（触らない）'!$H$6:$H$105,$T60),"―"))</f>
        <v/>
      </c>
      <c r="J60" s="42">
        <f>IF($T60=0,"",INDEX('計算（触らない）'!$AO$6:$AO$105,$T60))</f>
        <v/>
      </c>
      <c r="K60" s="37">
        <f>IF($T60=0,"",IF(AND(INDEX('計算（触らない）'!$F$6:$F$105,$T60)&lt;=2,INDEX('計算（触らない）'!$AB$6:$AB$105,$T60)&gt;0),INDEX('計算（触らない）'!$AB$6:$AB$105,$T60)&amp;"/12","―"))</f>
        <v/>
      </c>
      <c r="L60" s="40">
        <f>IF($T60=0,"",IF(INDEX('計算（触らない）'!$F$6:$F$105,$T60)=4,"―",INDEX('計算（触らない）'!$Z$6:$Z$105,$T60)))</f>
        <v/>
      </c>
      <c r="M60" s="37">
        <f>IF($T60=0,"","―")</f>
        <v/>
      </c>
      <c r="N60" s="40">
        <f>IF($T60=0,"",IF(INDEX('計算（触らない）'!$F$6:$F$105,$T60)=4,"―",INDEX('計算（触らない）'!$Z$6:$Z$105,$T60)))</f>
        <v/>
      </c>
      <c r="O60" s="43">
        <f>IF($T60=0,"",IF(AND(INDEX('計算（触らない）'!$F$6:$F$105,$T60)=4,INDEX('計算（触らない）'!$N$6:$N$105,$T60)=1),"―",INDEX('計算（触らない）'!$N$6:$N$105,$T60)))</f>
        <v/>
      </c>
      <c r="P60" s="40">
        <f>IF($T60=0,"",INDEX('計算（触らない）'!$AC$6:$AC$105,$T60))</f>
        <v/>
      </c>
      <c r="Q60" s="40">
        <f>IF($T60=0,"",IF(INDEX('計算（触らない）'!$F$6:$F$105,$T60)=4,"―",INDEX('計算（触らない）'!$Y$6:$Y$105,$T60)))</f>
        <v/>
      </c>
      <c r="R60" s="38">
        <f>IF($T60=0,"",TRIM(IF(INDEX('計算（触らない）'!$F$6:$F$105,$T60)=4,IF('計算（触らない）'!$B$1=1,"措法67の5","措法28の2"),"")&amp;IF(INDEX('計算（触らない）'!$AA$6:$AA$105,$T60)&gt;0,"改定償却","")&amp;IF(INDEX('計算（触らない）'!$AD$6:$AD$105,$T60)=1," "&amp;YEAR(INDEX('計算（触らない）'!$Q$6:$Q$105,$T60))&amp;"年"&amp;MONTH(INDEX('計算（触らない）'!$Q$6:$Q$105,$T60))&amp;"月"&amp;DAY(INDEX('計算（触らない）'!$Q$6:$Q$105,$T60))&amp;"日 売却・除却","")))</f>
        <v/>
      </c>
      <c r="S60" s="68" t="n"/>
      <c r="T60" s="68">
        <f>IFERROR(MATCH(54,'計算（触らない）'!$AG$6:$AG$105,0),0)</f>
        <v/>
      </c>
    </row>
    <row r="61" ht="20" customHeight="1">
      <c r="A61" s="37">
        <f>IF($T61=0,"",INDEX('計算（触らない）'!$A$6:$A$105,$T61))</f>
        <v/>
      </c>
      <c r="B61" s="38">
        <f>IF($T61=0,"",INDEX('固定資産台帳'!$B$6:$B$105,$T61)&amp;"")</f>
        <v/>
      </c>
      <c r="C61" s="37">
        <f>IF($T61=0,"",INDEX('固定資産台帳'!$D$6:$D$105,$T61)&amp;"")</f>
        <v/>
      </c>
      <c r="D61" s="39">
        <f>IF($T61=0,"",INDEX('計算（触らない）'!$D$6:$D$105,$T61))</f>
        <v/>
      </c>
      <c r="E61" s="40">
        <f>IF($T61=0,"",INDEX('計算（触らない）'!$C$6:$C$105,$T61))</f>
        <v/>
      </c>
      <c r="F61" s="41">
        <f>IF($T61=0,"",IF(INDEX('計算（触らない）'!$F$6:$F$105,$T61)=2,INDEX('計算（触らない）'!$AM$6:$AM$105,$T61),""))</f>
        <v/>
      </c>
      <c r="G61" s="40">
        <f>IF($T61=0,"",IF(INDEX('計算（触らない）'!$F$6:$F$105,$T61)=4,"―",INDEX('計算（触らない）'!$AN$6:$AN$105,$T61)))</f>
        <v/>
      </c>
      <c r="H61" s="37">
        <f>IF($T61=0,"",CHOOSE(INDEX('計算（触らない）'!$F$6:$F$105,$T61),"定額法","定率法","―","―"))</f>
        <v/>
      </c>
      <c r="I61" s="37">
        <f>IF($T61=0,"",IF(INDEX('計算（触らない）'!$F$6:$F$105,$T61)&lt;=2,INDEX('計算（触らない）'!$H$6:$H$105,$T61),"―"))</f>
        <v/>
      </c>
      <c r="J61" s="42">
        <f>IF($T61=0,"",INDEX('計算（触らない）'!$AO$6:$AO$105,$T61))</f>
        <v/>
      </c>
      <c r="K61" s="37">
        <f>IF($T61=0,"",IF(AND(INDEX('計算（触らない）'!$F$6:$F$105,$T61)&lt;=2,INDEX('計算（触らない）'!$AB$6:$AB$105,$T61)&gt;0),INDEX('計算（触らない）'!$AB$6:$AB$105,$T61)&amp;"/12","―"))</f>
        <v/>
      </c>
      <c r="L61" s="40">
        <f>IF($T61=0,"",IF(INDEX('計算（触らない）'!$F$6:$F$105,$T61)=4,"―",INDEX('計算（触らない）'!$Z$6:$Z$105,$T61)))</f>
        <v/>
      </c>
      <c r="M61" s="37">
        <f>IF($T61=0,"","―")</f>
        <v/>
      </c>
      <c r="N61" s="40">
        <f>IF($T61=0,"",IF(INDEX('計算（触らない）'!$F$6:$F$105,$T61)=4,"―",INDEX('計算（触らない）'!$Z$6:$Z$105,$T61)))</f>
        <v/>
      </c>
      <c r="O61" s="43">
        <f>IF($T61=0,"",IF(AND(INDEX('計算（触らない）'!$F$6:$F$105,$T61)=4,INDEX('計算（触らない）'!$N$6:$N$105,$T61)=1),"―",INDEX('計算（触らない）'!$N$6:$N$105,$T61)))</f>
        <v/>
      </c>
      <c r="P61" s="40">
        <f>IF($T61=0,"",INDEX('計算（触らない）'!$AC$6:$AC$105,$T61))</f>
        <v/>
      </c>
      <c r="Q61" s="40">
        <f>IF($T61=0,"",IF(INDEX('計算（触らない）'!$F$6:$F$105,$T61)=4,"―",INDEX('計算（触らない）'!$Y$6:$Y$105,$T61)))</f>
        <v/>
      </c>
      <c r="R61" s="38">
        <f>IF($T61=0,"",TRIM(IF(INDEX('計算（触らない）'!$F$6:$F$105,$T61)=4,IF('計算（触らない）'!$B$1=1,"措法67の5","措法28の2"),"")&amp;IF(INDEX('計算（触らない）'!$AA$6:$AA$105,$T61)&gt;0,"改定償却","")&amp;IF(INDEX('計算（触らない）'!$AD$6:$AD$105,$T61)=1," "&amp;YEAR(INDEX('計算（触らない）'!$Q$6:$Q$105,$T61))&amp;"年"&amp;MONTH(INDEX('計算（触らない）'!$Q$6:$Q$105,$T61))&amp;"月"&amp;DAY(INDEX('計算（触らない）'!$Q$6:$Q$105,$T61))&amp;"日 売却・除却","")))</f>
        <v/>
      </c>
      <c r="S61" s="68" t="n"/>
      <c r="T61" s="68">
        <f>IFERROR(MATCH(55,'計算（触らない）'!$AG$6:$AG$105,0),0)</f>
        <v/>
      </c>
    </row>
    <row r="62" ht="20" customHeight="1">
      <c r="A62" s="37">
        <f>IF($T62=0,"",INDEX('計算（触らない）'!$A$6:$A$105,$T62))</f>
        <v/>
      </c>
      <c r="B62" s="38">
        <f>IF($T62=0,"",INDEX('固定資産台帳'!$B$6:$B$105,$T62)&amp;"")</f>
        <v/>
      </c>
      <c r="C62" s="37">
        <f>IF($T62=0,"",INDEX('固定資産台帳'!$D$6:$D$105,$T62)&amp;"")</f>
        <v/>
      </c>
      <c r="D62" s="39">
        <f>IF($T62=0,"",INDEX('計算（触らない）'!$D$6:$D$105,$T62))</f>
        <v/>
      </c>
      <c r="E62" s="40">
        <f>IF($T62=0,"",INDEX('計算（触らない）'!$C$6:$C$105,$T62))</f>
        <v/>
      </c>
      <c r="F62" s="41">
        <f>IF($T62=0,"",IF(INDEX('計算（触らない）'!$F$6:$F$105,$T62)=2,INDEX('計算（触らない）'!$AM$6:$AM$105,$T62),""))</f>
        <v/>
      </c>
      <c r="G62" s="40">
        <f>IF($T62=0,"",IF(INDEX('計算（触らない）'!$F$6:$F$105,$T62)=4,"―",INDEX('計算（触らない）'!$AN$6:$AN$105,$T62)))</f>
        <v/>
      </c>
      <c r="H62" s="37">
        <f>IF($T62=0,"",CHOOSE(INDEX('計算（触らない）'!$F$6:$F$105,$T62),"定額法","定率法","―","―"))</f>
        <v/>
      </c>
      <c r="I62" s="37">
        <f>IF($T62=0,"",IF(INDEX('計算（触らない）'!$F$6:$F$105,$T62)&lt;=2,INDEX('計算（触らない）'!$H$6:$H$105,$T62),"―"))</f>
        <v/>
      </c>
      <c r="J62" s="42">
        <f>IF($T62=0,"",INDEX('計算（触らない）'!$AO$6:$AO$105,$T62))</f>
        <v/>
      </c>
      <c r="K62" s="37">
        <f>IF($T62=0,"",IF(AND(INDEX('計算（触らない）'!$F$6:$F$105,$T62)&lt;=2,INDEX('計算（触らない）'!$AB$6:$AB$105,$T62)&gt;0),INDEX('計算（触らない）'!$AB$6:$AB$105,$T62)&amp;"/12","―"))</f>
        <v/>
      </c>
      <c r="L62" s="40">
        <f>IF($T62=0,"",IF(INDEX('計算（触らない）'!$F$6:$F$105,$T62)=4,"―",INDEX('計算（触らない）'!$Z$6:$Z$105,$T62)))</f>
        <v/>
      </c>
      <c r="M62" s="37">
        <f>IF($T62=0,"","―")</f>
        <v/>
      </c>
      <c r="N62" s="40">
        <f>IF($T62=0,"",IF(INDEX('計算（触らない）'!$F$6:$F$105,$T62)=4,"―",INDEX('計算（触らない）'!$Z$6:$Z$105,$T62)))</f>
        <v/>
      </c>
      <c r="O62" s="43">
        <f>IF($T62=0,"",IF(AND(INDEX('計算（触らない）'!$F$6:$F$105,$T62)=4,INDEX('計算（触らない）'!$N$6:$N$105,$T62)=1),"―",INDEX('計算（触らない）'!$N$6:$N$105,$T62)))</f>
        <v/>
      </c>
      <c r="P62" s="40">
        <f>IF($T62=0,"",INDEX('計算（触らない）'!$AC$6:$AC$105,$T62))</f>
        <v/>
      </c>
      <c r="Q62" s="40">
        <f>IF($T62=0,"",IF(INDEX('計算（触らない）'!$F$6:$F$105,$T62)=4,"―",INDEX('計算（触らない）'!$Y$6:$Y$105,$T62)))</f>
        <v/>
      </c>
      <c r="R62" s="38">
        <f>IF($T62=0,"",TRIM(IF(INDEX('計算（触らない）'!$F$6:$F$105,$T62)=4,IF('計算（触らない）'!$B$1=1,"措法67の5","措法28の2"),"")&amp;IF(INDEX('計算（触らない）'!$AA$6:$AA$105,$T62)&gt;0,"改定償却","")&amp;IF(INDEX('計算（触らない）'!$AD$6:$AD$105,$T62)=1," "&amp;YEAR(INDEX('計算（触らない）'!$Q$6:$Q$105,$T62))&amp;"年"&amp;MONTH(INDEX('計算（触らない）'!$Q$6:$Q$105,$T62))&amp;"月"&amp;DAY(INDEX('計算（触らない）'!$Q$6:$Q$105,$T62))&amp;"日 売却・除却","")))</f>
        <v/>
      </c>
      <c r="S62" s="68" t="n"/>
      <c r="T62" s="68">
        <f>IFERROR(MATCH(56,'計算（触らない）'!$AG$6:$AG$105,0),0)</f>
        <v/>
      </c>
    </row>
    <row r="63" ht="20" customHeight="1">
      <c r="A63" s="37">
        <f>IF($T63=0,"",INDEX('計算（触らない）'!$A$6:$A$105,$T63))</f>
        <v/>
      </c>
      <c r="B63" s="38">
        <f>IF($T63=0,"",INDEX('固定資産台帳'!$B$6:$B$105,$T63)&amp;"")</f>
        <v/>
      </c>
      <c r="C63" s="37">
        <f>IF($T63=0,"",INDEX('固定資産台帳'!$D$6:$D$105,$T63)&amp;"")</f>
        <v/>
      </c>
      <c r="D63" s="39">
        <f>IF($T63=0,"",INDEX('計算（触らない）'!$D$6:$D$105,$T63))</f>
        <v/>
      </c>
      <c r="E63" s="40">
        <f>IF($T63=0,"",INDEX('計算（触らない）'!$C$6:$C$105,$T63))</f>
        <v/>
      </c>
      <c r="F63" s="41">
        <f>IF($T63=0,"",IF(INDEX('計算（触らない）'!$F$6:$F$105,$T63)=2,INDEX('計算（触らない）'!$AM$6:$AM$105,$T63),""))</f>
        <v/>
      </c>
      <c r="G63" s="40">
        <f>IF($T63=0,"",IF(INDEX('計算（触らない）'!$F$6:$F$105,$T63)=4,"―",INDEX('計算（触らない）'!$AN$6:$AN$105,$T63)))</f>
        <v/>
      </c>
      <c r="H63" s="37">
        <f>IF($T63=0,"",CHOOSE(INDEX('計算（触らない）'!$F$6:$F$105,$T63),"定額法","定率法","―","―"))</f>
        <v/>
      </c>
      <c r="I63" s="37">
        <f>IF($T63=0,"",IF(INDEX('計算（触らない）'!$F$6:$F$105,$T63)&lt;=2,INDEX('計算（触らない）'!$H$6:$H$105,$T63),"―"))</f>
        <v/>
      </c>
      <c r="J63" s="42">
        <f>IF($T63=0,"",INDEX('計算（触らない）'!$AO$6:$AO$105,$T63))</f>
        <v/>
      </c>
      <c r="K63" s="37">
        <f>IF($T63=0,"",IF(AND(INDEX('計算（触らない）'!$F$6:$F$105,$T63)&lt;=2,INDEX('計算（触らない）'!$AB$6:$AB$105,$T63)&gt;0),INDEX('計算（触らない）'!$AB$6:$AB$105,$T63)&amp;"/12","―"))</f>
        <v/>
      </c>
      <c r="L63" s="40">
        <f>IF($T63=0,"",IF(INDEX('計算（触らない）'!$F$6:$F$105,$T63)=4,"―",INDEX('計算（触らない）'!$Z$6:$Z$105,$T63)))</f>
        <v/>
      </c>
      <c r="M63" s="37">
        <f>IF($T63=0,"","―")</f>
        <v/>
      </c>
      <c r="N63" s="40">
        <f>IF($T63=0,"",IF(INDEX('計算（触らない）'!$F$6:$F$105,$T63)=4,"―",INDEX('計算（触らない）'!$Z$6:$Z$105,$T63)))</f>
        <v/>
      </c>
      <c r="O63" s="43">
        <f>IF($T63=0,"",IF(AND(INDEX('計算（触らない）'!$F$6:$F$105,$T63)=4,INDEX('計算（触らない）'!$N$6:$N$105,$T63)=1),"―",INDEX('計算（触らない）'!$N$6:$N$105,$T63)))</f>
        <v/>
      </c>
      <c r="P63" s="40">
        <f>IF($T63=0,"",INDEX('計算（触らない）'!$AC$6:$AC$105,$T63))</f>
        <v/>
      </c>
      <c r="Q63" s="40">
        <f>IF($T63=0,"",IF(INDEX('計算（触らない）'!$F$6:$F$105,$T63)=4,"―",INDEX('計算（触らない）'!$Y$6:$Y$105,$T63)))</f>
        <v/>
      </c>
      <c r="R63" s="38">
        <f>IF($T63=0,"",TRIM(IF(INDEX('計算（触らない）'!$F$6:$F$105,$T63)=4,IF('計算（触らない）'!$B$1=1,"措法67の5","措法28の2"),"")&amp;IF(INDEX('計算（触らない）'!$AA$6:$AA$105,$T63)&gt;0,"改定償却","")&amp;IF(INDEX('計算（触らない）'!$AD$6:$AD$105,$T63)=1," "&amp;YEAR(INDEX('計算（触らない）'!$Q$6:$Q$105,$T63))&amp;"年"&amp;MONTH(INDEX('計算（触らない）'!$Q$6:$Q$105,$T63))&amp;"月"&amp;DAY(INDEX('計算（触らない）'!$Q$6:$Q$105,$T63))&amp;"日 売却・除却","")))</f>
        <v/>
      </c>
      <c r="S63" s="68" t="n"/>
      <c r="T63" s="68">
        <f>IFERROR(MATCH(57,'計算（触らない）'!$AG$6:$AG$105,0),0)</f>
        <v/>
      </c>
    </row>
    <row r="64" ht="20" customHeight="1">
      <c r="A64" s="37">
        <f>IF($T64=0,"",INDEX('計算（触らない）'!$A$6:$A$105,$T64))</f>
        <v/>
      </c>
      <c r="B64" s="38">
        <f>IF($T64=0,"",INDEX('固定資産台帳'!$B$6:$B$105,$T64)&amp;"")</f>
        <v/>
      </c>
      <c r="C64" s="37">
        <f>IF($T64=0,"",INDEX('固定資産台帳'!$D$6:$D$105,$T64)&amp;"")</f>
        <v/>
      </c>
      <c r="D64" s="39">
        <f>IF($T64=0,"",INDEX('計算（触らない）'!$D$6:$D$105,$T64))</f>
        <v/>
      </c>
      <c r="E64" s="40">
        <f>IF($T64=0,"",INDEX('計算（触らない）'!$C$6:$C$105,$T64))</f>
        <v/>
      </c>
      <c r="F64" s="41">
        <f>IF($T64=0,"",IF(INDEX('計算（触らない）'!$F$6:$F$105,$T64)=2,INDEX('計算（触らない）'!$AM$6:$AM$105,$T64),""))</f>
        <v/>
      </c>
      <c r="G64" s="40">
        <f>IF($T64=0,"",IF(INDEX('計算（触らない）'!$F$6:$F$105,$T64)=4,"―",INDEX('計算（触らない）'!$AN$6:$AN$105,$T64)))</f>
        <v/>
      </c>
      <c r="H64" s="37">
        <f>IF($T64=0,"",CHOOSE(INDEX('計算（触らない）'!$F$6:$F$105,$T64),"定額法","定率法","―","―"))</f>
        <v/>
      </c>
      <c r="I64" s="37">
        <f>IF($T64=0,"",IF(INDEX('計算（触らない）'!$F$6:$F$105,$T64)&lt;=2,INDEX('計算（触らない）'!$H$6:$H$105,$T64),"―"))</f>
        <v/>
      </c>
      <c r="J64" s="42">
        <f>IF($T64=0,"",INDEX('計算（触らない）'!$AO$6:$AO$105,$T64))</f>
        <v/>
      </c>
      <c r="K64" s="37">
        <f>IF($T64=0,"",IF(AND(INDEX('計算（触らない）'!$F$6:$F$105,$T64)&lt;=2,INDEX('計算（触らない）'!$AB$6:$AB$105,$T64)&gt;0),INDEX('計算（触らない）'!$AB$6:$AB$105,$T64)&amp;"/12","―"))</f>
        <v/>
      </c>
      <c r="L64" s="40">
        <f>IF($T64=0,"",IF(INDEX('計算（触らない）'!$F$6:$F$105,$T64)=4,"―",INDEX('計算（触らない）'!$Z$6:$Z$105,$T64)))</f>
        <v/>
      </c>
      <c r="M64" s="37">
        <f>IF($T64=0,"","―")</f>
        <v/>
      </c>
      <c r="N64" s="40">
        <f>IF($T64=0,"",IF(INDEX('計算（触らない）'!$F$6:$F$105,$T64)=4,"―",INDEX('計算（触らない）'!$Z$6:$Z$105,$T64)))</f>
        <v/>
      </c>
      <c r="O64" s="43">
        <f>IF($T64=0,"",IF(AND(INDEX('計算（触らない）'!$F$6:$F$105,$T64)=4,INDEX('計算（触らない）'!$N$6:$N$105,$T64)=1),"―",INDEX('計算（触らない）'!$N$6:$N$105,$T64)))</f>
        <v/>
      </c>
      <c r="P64" s="40">
        <f>IF($T64=0,"",INDEX('計算（触らない）'!$AC$6:$AC$105,$T64))</f>
        <v/>
      </c>
      <c r="Q64" s="40">
        <f>IF($T64=0,"",IF(INDEX('計算（触らない）'!$F$6:$F$105,$T64)=4,"―",INDEX('計算（触らない）'!$Y$6:$Y$105,$T64)))</f>
        <v/>
      </c>
      <c r="R64" s="38">
        <f>IF($T64=0,"",TRIM(IF(INDEX('計算（触らない）'!$F$6:$F$105,$T64)=4,IF('計算（触らない）'!$B$1=1,"措法67の5","措法28の2"),"")&amp;IF(INDEX('計算（触らない）'!$AA$6:$AA$105,$T64)&gt;0,"改定償却","")&amp;IF(INDEX('計算（触らない）'!$AD$6:$AD$105,$T64)=1," "&amp;YEAR(INDEX('計算（触らない）'!$Q$6:$Q$105,$T64))&amp;"年"&amp;MONTH(INDEX('計算（触らない）'!$Q$6:$Q$105,$T64))&amp;"月"&amp;DAY(INDEX('計算（触らない）'!$Q$6:$Q$105,$T64))&amp;"日 売却・除却","")))</f>
        <v/>
      </c>
      <c r="S64" s="68" t="n"/>
      <c r="T64" s="68">
        <f>IFERROR(MATCH(58,'計算（触らない）'!$AG$6:$AG$105,0),0)</f>
        <v/>
      </c>
    </row>
    <row r="65" ht="20" customHeight="1">
      <c r="A65" s="37">
        <f>IF($T65=0,"",INDEX('計算（触らない）'!$A$6:$A$105,$T65))</f>
        <v/>
      </c>
      <c r="B65" s="38">
        <f>IF($T65=0,"",INDEX('固定資産台帳'!$B$6:$B$105,$T65)&amp;"")</f>
        <v/>
      </c>
      <c r="C65" s="37">
        <f>IF($T65=0,"",INDEX('固定資産台帳'!$D$6:$D$105,$T65)&amp;"")</f>
        <v/>
      </c>
      <c r="D65" s="39">
        <f>IF($T65=0,"",INDEX('計算（触らない）'!$D$6:$D$105,$T65))</f>
        <v/>
      </c>
      <c r="E65" s="40">
        <f>IF($T65=0,"",INDEX('計算（触らない）'!$C$6:$C$105,$T65))</f>
        <v/>
      </c>
      <c r="F65" s="41">
        <f>IF($T65=0,"",IF(INDEX('計算（触らない）'!$F$6:$F$105,$T65)=2,INDEX('計算（触らない）'!$AM$6:$AM$105,$T65),""))</f>
        <v/>
      </c>
      <c r="G65" s="40">
        <f>IF($T65=0,"",IF(INDEX('計算（触らない）'!$F$6:$F$105,$T65)=4,"―",INDEX('計算（触らない）'!$AN$6:$AN$105,$T65)))</f>
        <v/>
      </c>
      <c r="H65" s="37">
        <f>IF($T65=0,"",CHOOSE(INDEX('計算（触らない）'!$F$6:$F$105,$T65),"定額法","定率法","―","―"))</f>
        <v/>
      </c>
      <c r="I65" s="37">
        <f>IF($T65=0,"",IF(INDEX('計算（触らない）'!$F$6:$F$105,$T65)&lt;=2,INDEX('計算（触らない）'!$H$6:$H$105,$T65),"―"))</f>
        <v/>
      </c>
      <c r="J65" s="42">
        <f>IF($T65=0,"",INDEX('計算（触らない）'!$AO$6:$AO$105,$T65))</f>
        <v/>
      </c>
      <c r="K65" s="37">
        <f>IF($T65=0,"",IF(AND(INDEX('計算（触らない）'!$F$6:$F$105,$T65)&lt;=2,INDEX('計算（触らない）'!$AB$6:$AB$105,$T65)&gt;0),INDEX('計算（触らない）'!$AB$6:$AB$105,$T65)&amp;"/12","―"))</f>
        <v/>
      </c>
      <c r="L65" s="40">
        <f>IF($T65=0,"",IF(INDEX('計算（触らない）'!$F$6:$F$105,$T65)=4,"―",INDEX('計算（触らない）'!$Z$6:$Z$105,$T65)))</f>
        <v/>
      </c>
      <c r="M65" s="37">
        <f>IF($T65=0,"","―")</f>
        <v/>
      </c>
      <c r="N65" s="40">
        <f>IF($T65=0,"",IF(INDEX('計算（触らない）'!$F$6:$F$105,$T65)=4,"―",INDEX('計算（触らない）'!$Z$6:$Z$105,$T65)))</f>
        <v/>
      </c>
      <c r="O65" s="43">
        <f>IF($T65=0,"",IF(AND(INDEX('計算（触らない）'!$F$6:$F$105,$T65)=4,INDEX('計算（触らない）'!$N$6:$N$105,$T65)=1),"―",INDEX('計算（触らない）'!$N$6:$N$105,$T65)))</f>
        <v/>
      </c>
      <c r="P65" s="40">
        <f>IF($T65=0,"",INDEX('計算（触らない）'!$AC$6:$AC$105,$T65))</f>
        <v/>
      </c>
      <c r="Q65" s="40">
        <f>IF($T65=0,"",IF(INDEX('計算（触らない）'!$F$6:$F$105,$T65)=4,"―",INDEX('計算（触らない）'!$Y$6:$Y$105,$T65)))</f>
        <v/>
      </c>
      <c r="R65" s="38">
        <f>IF($T65=0,"",TRIM(IF(INDEX('計算（触らない）'!$F$6:$F$105,$T65)=4,IF('計算（触らない）'!$B$1=1,"措法67の5","措法28の2"),"")&amp;IF(INDEX('計算（触らない）'!$AA$6:$AA$105,$T65)&gt;0,"改定償却","")&amp;IF(INDEX('計算（触らない）'!$AD$6:$AD$105,$T65)=1," "&amp;YEAR(INDEX('計算（触らない）'!$Q$6:$Q$105,$T65))&amp;"年"&amp;MONTH(INDEX('計算（触らない）'!$Q$6:$Q$105,$T65))&amp;"月"&amp;DAY(INDEX('計算（触らない）'!$Q$6:$Q$105,$T65))&amp;"日 売却・除却","")))</f>
        <v/>
      </c>
      <c r="S65" s="68" t="n"/>
      <c r="T65" s="68">
        <f>IFERROR(MATCH(59,'計算（触らない）'!$AG$6:$AG$105,0),0)</f>
        <v/>
      </c>
    </row>
    <row r="66" ht="20" customHeight="1">
      <c r="A66" s="37">
        <f>IF($T66=0,"",INDEX('計算（触らない）'!$A$6:$A$105,$T66))</f>
        <v/>
      </c>
      <c r="B66" s="38">
        <f>IF($T66=0,"",INDEX('固定資産台帳'!$B$6:$B$105,$T66)&amp;"")</f>
        <v/>
      </c>
      <c r="C66" s="37">
        <f>IF($T66=0,"",INDEX('固定資産台帳'!$D$6:$D$105,$T66)&amp;"")</f>
        <v/>
      </c>
      <c r="D66" s="39">
        <f>IF($T66=0,"",INDEX('計算（触らない）'!$D$6:$D$105,$T66))</f>
        <v/>
      </c>
      <c r="E66" s="40">
        <f>IF($T66=0,"",INDEX('計算（触らない）'!$C$6:$C$105,$T66))</f>
        <v/>
      </c>
      <c r="F66" s="41">
        <f>IF($T66=0,"",IF(INDEX('計算（触らない）'!$F$6:$F$105,$T66)=2,INDEX('計算（触らない）'!$AM$6:$AM$105,$T66),""))</f>
        <v/>
      </c>
      <c r="G66" s="40">
        <f>IF($T66=0,"",IF(INDEX('計算（触らない）'!$F$6:$F$105,$T66)=4,"―",INDEX('計算（触らない）'!$AN$6:$AN$105,$T66)))</f>
        <v/>
      </c>
      <c r="H66" s="37">
        <f>IF($T66=0,"",CHOOSE(INDEX('計算（触らない）'!$F$6:$F$105,$T66),"定額法","定率法","―","―"))</f>
        <v/>
      </c>
      <c r="I66" s="37">
        <f>IF($T66=0,"",IF(INDEX('計算（触らない）'!$F$6:$F$105,$T66)&lt;=2,INDEX('計算（触らない）'!$H$6:$H$105,$T66),"―"))</f>
        <v/>
      </c>
      <c r="J66" s="42">
        <f>IF($T66=0,"",INDEX('計算（触らない）'!$AO$6:$AO$105,$T66))</f>
        <v/>
      </c>
      <c r="K66" s="37">
        <f>IF($T66=0,"",IF(AND(INDEX('計算（触らない）'!$F$6:$F$105,$T66)&lt;=2,INDEX('計算（触らない）'!$AB$6:$AB$105,$T66)&gt;0),INDEX('計算（触らない）'!$AB$6:$AB$105,$T66)&amp;"/12","―"))</f>
        <v/>
      </c>
      <c r="L66" s="40">
        <f>IF($T66=0,"",IF(INDEX('計算（触らない）'!$F$6:$F$105,$T66)=4,"―",INDEX('計算（触らない）'!$Z$6:$Z$105,$T66)))</f>
        <v/>
      </c>
      <c r="M66" s="37">
        <f>IF($T66=0,"","―")</f>
        <v/>
      </c>
      <c r="N66" s="40">
        <f>IF($T66=0,"",IF(INDEX('計算（触らない）'!$F$6:$F$105,$T66)=4,"―",INDEX('計算（触らない）'!$Z$6:$Z$105,$T66)))</f>
        <v/>
      </c>
      <c r="O66" s="43">
        <f>IF($T66=0,"",IF(AND(INDEX('計算（触らない）'!$F$6:$F$105,$T66)=4,INDEX('計算（触らない）'!$N$6:$N$105,$T66)=1),"―",INDEX('計算（触らない）'!$N$6:$N$105,$T66)))</f>
        <v/>
      </c>
      <c r="P66" s="40">
        <f>IF($T66=0,"",INDEX('計算（触らない）'!$AC$6:$AC$105,$T66))</f>
        <v/>
      </c>
      <c r="Q66" s="40">
        <f>IF($T66=0,"",IF(INDEX('計算（触らない）'!$F$6:$F$105,$T66)=4,"―",INDEX('計算（触らない）'!$Y$6:$Y$105,$T66)))</f>
        <v/>
      </c>
      <c r="R66" s="38">
        <f>IF($T66=0,"",TRIM(IF(INDEX('計算（触らない）'!$F$6:$F$105,$T66)=4,IF('計算（触らない）'!$B$1=1,"措法67の5","措法28の2"),"")&amp;IF(INDEX('計算（触らない）'!$AA$6:$AA$105,$T66)&gt;0,"改定償却","")&amp;IF(INDEX('計算（触らない）'!$AD$6:$AD$105,$T66)=1," "&amp;YEAR(INDEX('計算（触らない）'!$Q$6:$Q$105,$T66))&amp;"年"&amp;MONTH(INDEX('計算（触らない）'!$Q$6:$Q$105,$T66))&amp;"月"&amp;DAY(INDEX('計算（触らない）'!$Q$6:$Q$105,$T66))&amp;"日 売却・除却","")))</f>
        <v/>
      </c>
      <c r="S66" s="68" t="n"/>
      <c r="T66" s="68">
        <f>IFERROR(MATCH(60,'計算（触らない）'!$AG$6:$AG$105,0),0)</f>
        <v/>
      </c>
    </row>
    <row r="67" ht="20" customHeight="1">
      <c r="A67" s="37">
        <f>IF($T67=0,"",INDEX('計算（触らない）'!$A$6:$A$105,$T67))</f>
        <v/>
      </c>
      <c r="B67" s="38">
        <f>IF($T67=0,"",INDEX('固定資産台帳'!$B$6:$B$105,$T67)&amp;"")</f>
        <v/>
      </c>
      <c r="C67" s="37">
        <f>IF($T67=0,"",INDEX('固定資産台帳'!$D$6:$D$105,$T67)&amp;"")</f>
        <v/>
      </c>
      <c r="D67" s="39">
        <f>IF($T67=0,"",INDEX('計算（触らない）'!$D$6:$D$105,$T67))</f>
        <v/>
      </c>
      <c r="E67" s="40">
        <f>IF($T67=0,"",INDEX('計算（触らない）'!$C$6:$C$105,$T67))</f>
        <v/>
      </c>
      <c r="F67" s="41">
        <f>IF($T67=0,"",IF(INDEX('計算（触らない）'!$F$6:$F$105,$T67)=2,INDEX('計算（触らない）'!$AM$6:$AM$105,$T67),""))</f>
        <v/>
      </c>
      <c r="G67" s="40">
        <f>IF($T67=0,"",IF(INDEX('計算（触らない）'!$F$6:$F$105,$T67)=4,"―",INDEX('計算（触らない）'!$AN$6:$AN$105,$T67)))</f>
        <v/>
      </c>
      <c r="H67" s="37">
        <f>IF($T67=0,"",CHOOSE(INDEX('計算（触らない）'!$F$6:$F$105,$T67),"定額法","定率法","―","―"))</f>
        <v/>
      </c>
      <c r="I67" s="37">
        <f>IF($T67=0,"",IF(INDEX('計算（触らない）'!$F$6:$F$105,$T67)&lt;=2,INDEX('計算（触らない）'!$H$6:$H$105,$T67),"―"))</f>
        <v/>
      </c>
      <c r="J67" s="42">
        <f>IF($T67=0,"",INDEX('計算（触らない）'!$AO$6:$AO$105,$T67))</f>
        <v/>
      </c>
      <c r="K67" s="37">
        <f>IF($T67=0,"",IF(AND(INDEX('計算（触らない）'!$F$6:$F$105,$T67)&lt;=2,INDEX('計算（触らない）'!$AB$6:$AB$105,$T67)&gt;0),INDEX('計算（触らない）'!$AB$6:$AB$105,$T67)&amp;"/12","―"))</f>
        <v/>
      </c>
      <c r="L67" s="40">
        <f>IF($T67=0,"",IF(INDEX('計算（触らない）'!$F$6:$F$105,$T67)=4,"―",INDEX('計算（触らない）'!$Z$6:$Z$105,$T67)))</f>
        <v/>
      </c>
      <c r="M67" s="37">
        <f>IF($T67=0,"","―")</f>
        <v/>
      </c>
      <c r="N67" s="40">
        <f>IF($T67=0,"",IF(INDEX('計算（触らない）'!$F$6:$F$105,$T67)=4,"―",INDEX('計算（触らない）'!$Z$6:$Z$105,$T67)))</f>
        <v/>
      </c>
      <c r="O67" s="43">
        <f>IF($T67=0,"",IF(AND(INDEX('計算（触らない）'!$F$6:$F$105,$T67)=4,INDEX('計算（触らない）'!$N$6:$N$105,$T67)=1),"―",INDEX('計算（触らない）'!$N$6:$N$105,$T67)))</f>
        <v/>
      </c>
      <c r="P67" s="40">
        <f>IF($T67=0,"",INDEX('計算（触らない）'!$AC$6:$AC$105,$T67))</f>
        <v/>
      </c>
      <c r="Q67" s="40">
        <f>IF($T67=0,"",IF(INDEX('計算（触らない）'!$F$6:$F$105,$T67)=4,"―",INDEX('計算（触らない）'!$Y$6:$Y$105,$T67)))</f>
        <v/>
      </c>
      <c r="R67" s="38">
        <f>IF($T67=0,"",TRIM(IF(INDEX('計算（触らない）'!$F$6:$F$105,$T67)=4,IF('計算（触らない）'!$B$1=1,"措法67の5","措法28の2"),"")&amp;IF(INDEX('計算（触らない）'!$AA$6:$AA$105,$T67)&gt;0,"改定償却","")&amp;IF(INDEX('計算（触らない）'!$AD$6:$AD$105,$T67)=1," "&amp;YEAR(INDEX('計算（触らない）'!$Q$6:$Q$105,$T67))&amp;"年"&amp;MONTH(INDEX('計算（触らない）'!$Q$6:$Q$105,$T67))&amp;"月"&amp;DAY(INDEX('計算（触らない）'!$Q$6:$Q$105,$T67))&amp;"日 売却・除却","")))</f>
        <v/>
      </c>
      <c r="S67" s="68" t="n"/>
      <c r="T67" s="68">
        <f>IFERROR(MATCH(61,'計算（触らない）'!$AG$6:$AG$105,0),0)</f>
        <v/>
      </c>
    </row>
    <row r="68" ht="20" customHeight="1">
      <c r="A68" s="37">
        <f>IF($T68=0,"",INDEX('計算（触らない）'!$A$6:$A$105,$T68))</f>
        <v/>
      </c>
      <c r="B68" s="38">
        <f>IF($T68=0,"",INDEX('固定資産台帳'!$B$6:$B$105,$T68)&amp;"")</f>
        <v/>
      </c>
      <c r="C68" s="37">
        <f>IF($T68=0,"",INDEX('固定資産台帳'!$D$6:$D$105,$T68)&amp;"")</f>
        <v/>
      </c>
      <c r="D68" s="39">
        <f>IF($T68=0,"",INDEX('計算（触らない）'!$D$6:$D$105,$T68))</f>
        <v/>
      </c>
      <c r="E68" s="40">
        <f>IF($T68=0,"",INDEX('計算（触らない）'!$C$6:$C$105,$T68))</f>
        <v/>
      </c>
      <c r="F68" s="41">
        <f>IF($T68=0,"",IF(INDEX('計算（触らない）'!$F$6:$F$105,$T68)=2,INDEX('計算（触らない）'!$AM$6:$AM$105,$T68),""))</f>
        <v/>
      </c>
      <c r="G68" s="40">
        <f>IF($T68=0,"",IF(INDEX('計算（触らない）'!$F$6:$F$105,$T68)=4,"―",INDEX('計算（触らない）'!$AN$6:$AN$105,$T68)))</f>
        <v/>
      </c>
      <c r="H68" s="37">
        <f>IF($T68=0,"",CHOOSE(INDEX('計算（触らない）'!$F$6:$F$105,$T68),"定額法","定率法","―","―"))</f>
        <v/>
      </c>
      <c r="I68" s="37">
        <f>IF($T68=0,"",IF(INDEX('計算（触らない）'!$F$6:$F$105,$T68)&lt;=2,INDEX('計算（触らない）'!$H$6:$H$105,$T68),"―"))</f>
        <v/>
      </c>
      <c r="J68" s="42">
        <f>IF($T68=0,"",INDEX('計算（触らない）'!$AO$6:$AO$105,$T68))</f>
        <v/>
      </c>
      <c r="K68" s="37">
        <f>IF($T68=0,"",IF(AND(INDEX('計算（触らない）'!$F$6:$F$105,$T68)&lt;=2,INDEX('計算（触らない）'!$AB$6:$AB$105,$T68)&gt;0),INDEX('計算（触らない）'!$AB$6:$AB$105,$T68)&amp;"/12","―"))</f>
        <v/>
      </c>
      <c r="L68" s="40">
        <f>IF($T68=0,"",IF(INDEX('計算（触らない）'!$F$6:$F$105,$T68)=4,"―",INDEX('計算（触らない）'!$Z$6:$Z$105,$T68)))</f>
        <v/>
      </c>
      <c r="M68" s="37">
        <f>IF($T68=0,"","―")</f>
        <v/>
      </c>
      <c r="N68" s="40">
        <f>IF($T68=0,"",IF(INDEX('計算（触らない）'!$F$6:$F$105,$T68)=4,"―",INDEX('計算（触らない）'!$Z$6:$Z$105,$T68)))</f>
        <v/>
      </c>
      <c r="O68" s="43">
        <f>IF($T68=0,"",IF(AND(INDEX('計算（触らない）'!$F$6:$F$105,$T68)=4,INDEX('計算（触らない）'!$N$6:$N$105,$T68)=1),"―",INDEX('計算（触らない）'!$N$6:$N$105,$T68)))</f>
        <v/>
      </c>
      <c r="P68" s="40">
        <f>IF($T68=0,"",INDEX('計算（触らない）'!$AC$6:$AC$105,$T68))</f>
        <v/>
      </c>
      <c r="Q68" s="40">
        <f>IF($T68=0,"",IF(INDEX('計算（触らない）'!$F$6:$F$105,$T68)=4,"―",INDEX('計算（触らない）'!$Y$6:$Y$105,$T68)))</f>
        <v/>
      </c>
      <c r="R68" s="38">
        <f>IF($T68=0,"",TRIM(IF(INDEX('計算（触らない）'!$F$6:$F$105,$T68)=4,IF('計算（触らない）'!$B$1=1,"措法67の5","措法28の2"),"")&amp;IF(INDEX('計算（触らない）'!$AA$6:$AA$105,$T68)&gt;0,"改定償却","")&amp;IF(INDEX('計算（触らない）'!$AD$6:$AD$105,$T68)=1," "&amp;YEAR(INDEX('計算（触らない）'!$Q$6:$Q$105,$T68))&amp;"年"&amp;MONTH(INDEX('計算（触らない）'!$Q$6:$Q$105,$T68))&amp;"月"&amp;DAY(INDEX('計算（触らない）'!$Q$6:$Q$105,$T68))&amp;"日 売却・除却","")))</f>
        <v/>
      </c>
      <c r="S68" s="68" t="n"/>
      <c r="T68" s="68">
        <f>IFERROR(MATCH(62,'計算（触らない）'!$AG$6:$AG$105,0),0)</f>
        <v/>
      </c>
    </row>
    <row r="69" ht="20" customHeight="1">
      <c r="A69" s="37">
        <f>IF($T69=0,"",INDEX('計算（触らない）'!$A$6:$A$105,$T69))</f>
        <v/>
      </c>
      <c r="B69" s="38">
        <f>IF($T69=0,"",INDEX('固定資産台帳'!$B$6:$B$105,$T69)&amp;"")</f>
        <v/>
      </c>
      <c r="C69" s="37">
        <f>IF($T69=0,"",INDEX('固定資産台帳'!$D$6:$D$105,$T69)&amp;"")</f>
        <v/>
      </c>
      <c r="D69" s="39">
        <f>IF($T69=0,"",INDEX('計算（触らない）'!$D$6:$D$105,$T69))</f>
        <v/>
      </c>
      <c r="E69" s="40">
        <f>IF($T69=0,"",INDEX('計算（触らない）'!$C$6:$C$105,$T69))</f>
        <v/>
      </c>
      <c r="F69" s="41">
        <f>IF($T69=0,"",IF(INDEX('計算（触らない）'!$F$6:$F$105,$T69)=2,INDEX('計算（触らない）'!$AM$6:$AM$105,$T69),""))</f>
        <v/>
      </c>
      <c r="G69" s="40">
        <f>IF($T69=0,"",IF(INDEX('計算（触らない）'!$F$6:$F$105,$T69)=4,"―",INDEX('計算（触らない）'!$AN$6:$AN$105,$T69)))</f>
        <v/>
      </c>
      <c r="H69" s="37">
        <f>IF($T69=0,"",CHOOSE(INDEX('計算（触らない）'!$F$6:$F$105,$T69),"定額法","定率法","―","―"))</f>
        <v/>
      </c>
      <c r="I69" s="37">
        <f>IF($T69=0,"",IF(INDEX('計算（触らない）'!$F$6:$F$105,$T69)&lt;=2,INDEX('計算（触らない）'!$H$6:$H$105,$T69),"―"))</f>
        <v/>
      </c>
      <c r="J69" s="42">
        <f>IF($T69=0,"",INDEX('計算（触らない）'!$AO$6:$AO$105,$T69))</f>
        <v/>
      </c>
      <c r="K69" s="37">
        <f>IF($T69=0,"",IF(AND(INDEX('計算（触らない）'!$F$6:$F$105,$T69)&lt;=2,INDEX('計算（触らない）'!$AB$6:$AB$105,$T69)&gt;0),INDEX('計算（触らない）'!$AB$6:$AB$105,$T69)&amp;"/12","―"))</f>
        <v/>
      </c>
      <c r="L69" s="40">
        <f>IF($T69=0,"",IF(INDEX('計算（触らない）'!$F$6:$F$105,$T69)=4,"―",INDEX('計算（触らない）'!$Z$6:$Z$105,$T69)))</f>
        <v/>
      </c>
      <c r="M69" s="37">
        <f>IF($T69=0,"","―")</f>
        <v/>
      </c>
      <c r="N69" s="40">
        <f>IF($T69=0,"",IF(INDEX('計算（触らない）'!$F$6:$F$105,$T69)=4,"―",INDEX('計算（触らない）'!$Z$6:$Z$105,$T69)))</f>
        <v/>
      </c>
      <c r="O69" s="43">
        <f>IF($T69=0,"",IF(AND(INDEX('計算（触らない）'!$F$6:$F$105,$T69)=4,INDEX('計算（触らない）'!$N$6:$N$105,$T69)=1),"―",INDEX('計算（触らない）'!$N$6:$N$105,$T69)))</f>
        <v/>
      </c>
      <c r="P69" s="40">
        <f>IF($T69=0,"",INDEX('計算（触らない）'!$AC$6:$AC$105,$T69))</f>
        <v/>
      </c>
      <c r="Q69" s="40">
        <f>IF($T69=0,"",IF(INDEX('計算（触らない）'!$F$6:$F$105,$T69)=4,"―",INDEX('計算（触らない）'!$Y$6:$Y$105,$T69)))</f>
        <v/>
      </c>
      <c r="R69" s="38">
        <f>IF($T69=0,"",TRIM(IF(INDEX('計算（触らない）'!$F$6:$F$105,$T69)=4,IF('計算（触らない）'!$B$1=1,"措法67の5","措法28の2"),"")&amp;IF(INDEX('計算（触らない）'!$AA$6:$AA$105,$T69)&gt;0,"改定償却","")&amp;IF(INDEX('計算（触らない）'!$AD$6:$AD$105,$T69)=1," "&amp;YEAR(INDEX('計算（触らない）'!$Q$6:$Q$105,$T69))&amp;"年"&amp;MONTH(INDEX('計算（触らない）'!$Q$6:$Q$105,$T69))&amp;"月"&amp;DAY(INDEX('計算（触らない）'!$Q$6:$Q$105,$T69))&amp;"日 売却・除却","")))</f>
        <v/>
      </c>
      <c r="S69" s="68" t="n"/>
      <c r="T69" s="68">
        <f>IFERROR(MATCH(63,'計算（触らない）'!$AG$6:$AG$105,0),0)</f>
        <v/>
      </c>
    </row>
    <row r="70" ht="20" customHeight="1">
      <c r="A70" s="37">
        <f>IF($T70=0,"",INDEX('計算（触らない）'!$A$6:$A$105,$T70))</f>
        <v/>
      </c>
      <c r="B70" s="38">
        <f>IF($T70=0,"",INDEX('固定資産台帳'!$B$6:$B$105,$T70)&amp;"")</f>
        <v/>
      </c>
      <c r="C70" s="37">
        <f>IF($T70=0,"",INDEX('固定資産台帳'!$D$6:$D$105,$T70)&amp;"")</f>
        <v/>
      </c>
      <c r="D70" s="39">
        <f>IF($T70=0,"",INDEX('計算（触らない）'!$D$6:$D$105,$T70))</f>
        <v/>
      </c>
      <c r="E70" s="40">
        <f>IF($T70=0,"",INDEX('計算（触らない）'!$C$6:$C$105,$T70))</f>
        <v/>
      </c>
      <c r="F70" s="41">
        <f>IF($T70=0,"",IF(INDEX('計算（触らない）'!$F$6:$F$105,$T70)=2,INDEX('計算（触らない）'!$AM$6:$AM$105,$T70),""))</f>
        <v/>
      </c>
      <c r="G70" s="40">
        <f>IF($T70=0,"",IF(INDEX('計算（触らない）'!$F$6:$F$105,$T70)=4,"―",INDEX('計算（触らない）'!$AN$6:$AN$105,$T70)))</f>
        <v/>
      </c>
      <c r="H70" s="37">
        <f>IF($T70=0,"",CHOOSE(INDEX('計算（触らない）'!$F$6:$F$105,$T70),"定額法","定率法","―","―"))</f>
        <v/>
      </c>
      <c r="I70" s="37">
        <f>IF($T70=0,"",IF(INDEX('計算（触らない）'!$F$6:$F$105,$T70)&lt;=2,INDEX('計算（触らない）'!$H$6:$H$105,$T70),"―"))</f>
        <v/>
      </c>
      <c r="J70" s="42">
        <f>IF($T70=0,"",INDEX('計算（触らない）'!$AO$6:$AO$105,$T70))</f>
        <v/>
      </c>
      <c r="K70" s="37">
        <f>IF($T70=0,"",IF(AND(INDEX('計算（触らない）'!$F$6:$F$105,$T70)&lt;=2,INDEX('計算（触らない）'!$AB$6:$AB$105,$T70)&gt;0),INDEX('計算（触らない）'!$AB$6:$AB$105,$T70)&amp;"/12","―"))</f>
        <v/>
      </c>
      <c r="L70" s="40">
        <f>IF($T70=0,"",IF(INDEX('計算（触らない）'!$F$6:$F$105,$T70)=4,"―",INDEX('計算（触らない）'!$Z$6:$Z$105,$T70)))</f>
        <v/>
      </c>
      <c r="M70" s="37">
        <f>IF($T70=0,"","―")</f>
        <v/>
      </c>
      <c r="N70" s="40">
        <f>IF($T70=0,"",IF(INDEX('計算（触らない）'!$F$6:$F$105,$T70)=4,"―",INDEX('計算（触らない）'!$Z$6:$Z$105,$T70)))</f>
        <v/>
      </c>
      <c r="O70" s="43">
        <f>IF($T70=0,"",IF(AND(INDEX('計算（触らない）'!$F$6:$F$105,$T70)=4,INDEX('計算（触らない）'!$N$6:$N$105,$T70)=1),"―",INDEX('計算（触らない）'!$N$6:$N$105,$T70)))</f>
        <v/>
      </c>
      <c r="P70" s="40">
        <f>IF($T70=0,"",INDEX('計算（触らない）'!$AC$6:$AC$105,$T70))</f>
        <v/>
      </c>
      <c r="Q70" s="40">
        <f>IF($T70=0,"",IF(INDEX('計算（触らない）'!$F$6:$F$105,$T70)=4,"―",INDEX('計算（触らない）'!$Y$6:$Y$105,$T70)))</f>
        <v/>
      </c>
      <c r="R70" s="38">
        <f>IF($T70=0,"",TRIM(IF(INDEX('計算（触らない）'!$F$6:$F$105,$T70)=4,IF('計算（触らない）'!$B$1=1,"措法67の5","措法28の2"),"")&amp;IF(INDEX('計算（触らない）'!$AA$6:$AA$105,$T70)&gt;0,"改定償却","")&amp;IF(INDEX('計算（触らない）'!$AD$6:$AD$105,$T70)=1," "&amp;YEAR(INDEX('計算（触らない）'!$Q$6:$Q$105,$T70))&amp;"年"&amp;MONTH(INDEX('計算（触らない）'!$Q$6:$Q$105,$T70))&amp;"月"&amp;DAY(INDEX('計算（触らない）'!$Q$6:$Q$105,$T70))&amp;"日 売却・除却","")))</f>
        <v/>
      </c>
      <c r="S70" s="68" t="n"/>
      <c r="T70" s="68">
        <f>IFERROR(MATCH(64,'計算（触らない）'!$AG$6:$AG$105,0),0)</f>
        <v/>
      </c>
    </row>
    <row r="71" ht="20" customHeight="1">
      <c r="A71" s="37">
        <f>IF($T71=0,"",INDEX('計算（触らない）'!$A$6:$A$105,$T71))</f>
        <v/>
      </c>
      <c r="B71" s="38">
        <f>IF($T71=0,"",INDEX('固定資産台帳'!$B$6:$B$105,$T71)&amp;"")</f>
        <v/>
      </c>
      <c r="C71" s="37">
        <f>IF($T71=0,"",INDEX('固定資産台帳'!$D$6:$D$105,$T71)&amp;"")</f>
        <v/>
      </c>
      <c r="D71" s="39">
        <f>IF($T71=0,"",INDEX('計算（触らない）'!$D$6:$D$105,$T71))</f>
        <v/>
      </c>
      <c r="E71" s="40">
        <f>IF($T71=0,"",INDEX('計算（触らない）'!$C$6:$C$105,$T71))</f>
        <v/>
      </c>
      <c r="F71" s="41">
        <f>IF($T71=0,"",IF(INDEX('計算（触らない）'!$F$6:$F$105,$T71)=2,INDEX('計算（触らない）'!$AM$6:$AM$105,$T71),""))</f>
        <v/>
      </c>
      <c r="G71" s="40">
        <f>IF($T71=0,"",IF(INDEX('計算（触らない）'!$F$6:$F$105,$T71)=4,"―",INDEX('計算（触らない）'!$AN$6:$AN$105,$T71)))</f>
        <v/>
      </c>
      <c r="H71" s="37">
        <f>IF($T71=0,"",CHOOSE(INDEX('計算（触らない）'!$F$6:$F$105,$T71),"定額法","定率法","―","―"))</f>
        <v/>
      </c>
      <c r="I71" s="37">
        <f>IF($T71=0,"",IF(INDEX('計算（触らない）'!$F$6:$F$105,$T71)&lt;=2,INDEX('計算（触らない）'!$H$6:$H$105,$T71),"―"))</f>
        <v/>
      </c>
      <c r="J71" s="42">
        <f>IF($T71=0,"",INDEX('計算（触らない）'!$AO$6:$AO$105,$T71))</f>
        <v/>
      </c>
      <c r="K71" s="37">
        <f>IF($T71=0,"",IF(AND(INDEX('計算（触らない）'!$F$6:$F$105,$T71)&lt;=2,INDEX('計算（触らない）'!$AB$6:$AB$105,$T71)&gt;0),INDEX('計算（触らない）'!$AB$6:$AB$105,$T71)&amp;"/12","―"))</f>
        <v/>
      </c>
      <c r="L71" s="40">
        <f>IF($T71=0,"",IF(INDEX('計算（触らない）'!$F$6:$F$105,$T71)=4,"―",INDEX('計算（触らない）'!$Z$6:$Z$105,$T71)))</f>
        <v/>
      </c>
      <c r="M71" s="37">
        <f>IF($T71=0,"","―")</f>
        <v/>
      </c>
      <c r="N71" s="40">
        <f>IF($T71=0,"",IF(INDEX('計算（触らない）'!$F$6:$F$105,$T71)=4,"―",INDEX('計算（触らない）'!$Z$6:$Z$105,$T71)))</f>
        <v/>
      </c>
      <c r="O71" s="43">
        <f>IF($T71=0,"",IF(AND(INDEX('計算（触らない）'!$F$6:$F$105,$T71)=4,INDEX('計算（触らない）'!$N$6:$N$105,$T71)=1),"―",INDEX('計算（触らない）'!$N$6:$N$105,$T71)))</f>
        <v/>
      </c>
      <c r="P71" s="40">
        <f>IF($T71=0,"",INDEX('計算（触らない）'!$AC$6:$AC$105,$T71))</f>
        <v/>
      </c>
      <c r="Q71" s="40">
        <f>IF($T71=0,"",IF(INDEX('計算（触らない）'!$F$6:$F$105,$T71)=4,"―",INDEX('計算（触らない）'!$Y$6:$Y$105,$T71)))</f>
        <v/>
      </c>
      <c r="R71" s="38">
        <f>IF($T71=0,"",TRIM(IF(INDEX('計算（触らない）'!$F$6:$F$105,$T71)=4,IF('計算（触らない）'!$B$1=1,"措法67の5","措法28の2"),"")&amp;IF(INDEX('計算（触らない）'!$AA$6:$AA$105,$T71)&gt;0,"改定償却","")&amp;IF(INDEX('計算（触らない）'!$AD$6:$AD$105,$T71)=1," "&amp;YEAR(INDEX('計算（触らない）'!$Q$6:$Q$105,$T71))&amp;"年"&amp;MONTH(INDEX('計算（触らない）'!$Q$6:$Q$105,$T71))&amp;"月"&amp;DAY(INDEX('計算（触らない）'!$Q$6:$Q$105,$T71))&amp;"日 売却・除却","")))</f>
        <v/>
      </c>
      <c r="S71" s="68" t="n"/>
      <c r="T71" s="68">
        <f>IFERROR(MATCH(65,'計算（触らない）'!$AG$6:$AG$105,0),0)</f>
        <v/>
      </c>
    </row>
    <row r="72" ht="20" customHeight="1">
      <c r="A72" s="37">
        <f>IF($T72=0,"",INDEX('計算（触らない）'!$A$6:$A$105,$T72))</f>
        <v/>
      </c>
      <c r="B72" s="38">
        <f>IF($T72=0,"",INDEX('固定資産台帳'!$B$6:$B$105,$T72)&amp;"")</f>
        <v/>
      </c>
      <c r="C72" s="37">
        <f>IF($T72=0,"",INDEX('固定資産台帳'!$D$6:$D$105,$T72)&amp;"")</f>
        <v/>
      </c>
      <c r="D72" s="39">
        <f>IF($T72=0,"",INDEX('計算（触らない）'!$D$6:$D$105,$T72))</f>
        <v/>
      </c>
      <c r="E72" s="40">
        <f>IF($T72=0,"",INDEX('計算（触らない）'!$C$6:$C$105,$T72))</f>
        <v/>
      </c>
      <c r="F72" s="41">
        <f>IF($T72=0,"",IF(INDEX('計算（触らない）'!$F$6:$F$105,$T72)=2,INDEX('計算（触らない）'!$AM$6:$AM$105,$T72),""))</f>
        <v/>
      </c>
      <c r="G72" s="40">
        <f>IF($T72=0,"",IF(INDEX('計算（触らない）'!$F$6:$F$105,$T72)=4,"―",INDEX('計算（触らない）'!$AN$6:$AN$105,$T72)))</f>
        <v/>
      </c>
      <c r="H72" s="37">
        <f>IF($T72=0,"",CHOOSE(INDEX('計算（触らない）'!$F$6:$F$105,$T72),"定額法","定率法","―","―"))</f>
        <v/>
      </c>
      <c r="I72" s="37">
        <f>IF($T72=0,"",IF(INDEX('計算（触らない）'!$F$6:$F$105,$T72)&lt;=2,INDEX('計算（触らない）'!$H$6:$H$105,$T72),"―"))</f>
        <v/>
      </c>
      <c r="J72" s="42">
        <f>IF($T72=0,"",INDEX('計算（触らない）'!$AO$6:$AO$105,$T72))</f>
        <v/>
      </c>
      <c r="K72" s="37">
        <f>IF($T72=0,"",IF(AND(INDEX('計算（触らない）'!$F$6:$F$105,$T72)&lt;=2,INDEX('計算（触らない）'!$AB$6:$AB$105,$T72)&gt;0),INDEX('計算（触らない）'!$AB$6:$AB$105,$T72)&amp;"/12","―"))</f>
        <v/>
      </c>
      <c r="L72" s="40">
        <f>IF($T72=0,"",IF(INDEX('計算（触らない）'!$F$6:$F$105,$T72)=4,"―",INDEX('計算（触らない）'!$Z$6:$Z$105,$T72)))</f>
        <v/>
      </c>
      <c r="M72" s="37">
        <f>IF($T72=0,"","―")</f>
        <v/>
      </c>
      <c r="N72" s="40">
        <f>IF($T72=0,"",IF(INDEX('計算（触らない）'!$F$6:$F$105,$T72)=4,"―",INDEX('計算（触らない）'!$Z$6:$Z$105,$T72)))</f>
        <v/>
      </c>
      <c r="O72" s="43">
        <f>IF($T72=0,"",IF(AND(INDEX('計算（触らない）'!$F$6:$F$105,$T72)=4,INDEX('計算（触らない）'!$N$6:$N$105,$T72)=1),"―",INDEX('計算（触らない）'!$N$6:$N$105,$T72)))</f>
        <v/>
      </c>
      <c r="P72" s="40">
        <f>IF($T72=0,"",INDEX('計算（触らない）'!$AC$6:$AC$105,$T72))</f>
        <v/>
      </c>
      <c r="Q72" s="40">
        <f>IF($T72=0,"",IF(INDEX('計算（触らない）'!$F$6:$F$105,$T72)=4,"―",INDEX('計算（触らない）'!$Y$6:$Y$105,$T72)))</f>
        <v/>
      </c>
      <c r="R72" s="38">
        <f>IF($T72=0,"",TRIM(IF(INDEX('計算（触らない）'!$F$6:$F$105,$T72)=4,IF('計算（触らない）'!$B$1=1,"措法67の5","措法28の2"),"")&amp;IF(INDEX('計算（触らない）'!$AA$6:$AA$105,$T72)&gt;0,"改定償却","")&amp;IF(INDEX('計算（触らない）'!$AD$6:$AD$105,$T72)=1," "&amp;YEAR(INDEX('計算（触らない）'!$Q$6:$Q$105,$T72))&amp;"年"&amp;MONTH(INDEX('計算（触らない）'!$Q$6:$Q$105,$T72))&amp;"月"&amp;DAY(INDEX('計算（触らない）'!$Q$6:$Q$105,$T72))&amp;"日 売却・除却","")))</f>
        <v/>
      </c>
      <c r="S72" s="68" t="n"/>
      <c r="T72" s="68">
        <f>IFERROR(MATCH(66,'計算（触らない）'!$AG$6:$AG$105,0),0)</f>
        <v/>
      </c>
    </row>
    <row r="73" ht="20" customHeight="1">
      <c r="A73" s="37">
        <f>IF($T73=0,"",INDEX('計算（触らない）'!$A$6:$A$105,$T73))</f>
        <v/>
      </c>
      <c r="B73" s="38">
        <f>IF($T73=0,"",INDEX('固定資産台帳'!$B$6:$B$105,$T73)&amp;"")</f>
        <v/>
      </c>
      <c r="C73" s="37">
        <f>IF($T73=0,"",INDEX('固定資産台帳'!$D$6:$D$105,$T73)&amp;"")</f>
        <v/>
      </c>
      <c r="D73" s="39">
        <f>IF($T73=0,"",INDEX('計算（触らない）'!$D$6:$D$105,$T73))</f>
        <v/>
      </c>
      <c r="E73" s="40">
        <f>IF($T73=0,"",INDEX('計算（触らない）'!$C$6:$C$105,$T73))</f>
        <v/>
      </c>
      <c r="F73" s="41">
        <f>IF($T73=0,"",IF(INDEX('計算（触らない）'!$F$6:$F$105,$T73)=2,INDEX('計算（触らない）'!$AM$6:$AM$105,$T73),""))</f>
        <v/>
      </c>
      <c r="G73" s="40">
        <f>IF($T73=0,"",IF(INDEX('計算（触らない）'!$F$6:$F$105,$T73)=4,"―",INDEX('計算（触らない）'!$AN$6:$AN$105,$T73)))</f>
        <v/>
      </c>
      <c r="H73" s="37">
        <f>IF($T73=0,"",CHOOSE(INDEX('計算（触らない）'!$F$6:$F$105,$T73),"定額法","定率法","―","―"))</f>
        <v/>
      </c>
      <c r="I73" s="37">
        <f>IF($T73=0,"",IF(INDEX('計算（触らない）'!$F$6:$F$105,$T73)&lt;=2,INDEX('計算（触らない）'!$H$6:$H$105,$T73),"―"))</f>
        <v/>
      </c>
      <c r="J73" s="42">
        <f>IF($T73=0,"",INDEX('計算（触らない）'!$AO$6:$AO$105,$T73))</f>
        <v/>
      </c>
      <c r="K73" s="37">
        <f>IF($T73=0,"",IF(AND(INDEX('計算（触らない）'!$F$6:$F$105,$T73)&lt;=2,INDEX('計算（触らない）'!$AB$6:$AB$105,$T73)&gt;0),INDEX('計算（触らない）'!$AB$6:$AB$105,$T73)&amp;"/12","―"))</f>
        <v/>
      </c>
      <c r="L73" s="40">
        <f>IF($T73=0,"",IF(INDEX('計算（触らない）'!$F$6:$F$105,$T73)=4,"―",INDEX('計算（触らない）'!$Z$6:$Z$105,$T73)))</f>
        <v/>
      </c>
      <c r="M73" s="37">
        <f>IF($T73=0,"","―")</f>
        <v/>
      </c>
      <c r="N73" s="40">
        <f>IF($T73=0,"",IF(INDEX('計算（触らない）'!$F$6:$F$105,$T73)=4,"―",INDEX('計算（触らない）'!$Z$6:$Z$105,$T73)))</f>
        <v/>
      </c>
      <c r="O73" s="43">
        <f>IF($T73=0,"",IF(AND(INDEX('計算（触らない）'!$F$6:$F$105,$T73)=4,INDEX('計算（触らない）'!$N$6:$N$105,$T73)=1),"―",INDEX('計算（触らない）'!$N$6:$N$105,$T73)))</f>
        <v/>
      </c>
      <c r="P73" s="40">
        <f>IF($T73=0,"",INDEX('計算（触らない）'!$AC$6:$AC$105,$T73))</f>
        <v/>
      </c>
      <c r="Q73" s="40">
        <f>IF($T73=0,"",IF(INDEX('計算（触らない）'!$F$6:$F$105,$T73)=4,"―",INDEX('計算（触らない）'!$Y$6:$Y$105,$T73)))</f>
        <v/>
      </c>
      <c r="R73" s="38">
        <f>IF($T73=0,"",TRIM(IF(INDEX('計算（触らない）'!$F$6:$F$105,$T73)=4,IF('計算（触らない）'!$B$1=1,"措法67の5","措法28の2"),"")&amp;IF(INDEX('計算（触らない）'!$AA$6:$AA$105,$T73)&gt;0,"改定償却","")&amp;IF(INDEX('計算（触らない）'!$AD$6:$AD$105,$T73)=1," "&amp;YEAR(INDEX('計算（触らない）'!$Q$6:$Q$105,$T73))&amp;"年"&amp;MONTH(INDEX('計算（触らない）'!$Q$6:$Q$105,$T73))&amp;"月"&amp;DAY(INDEX('計算（触らない）'!$Q$6:$Q$105,$T73))&amp;"日 売却・除却","")))</f>
        <v/>
      </c>
      <c r="S73" s="68" t="n"/>
      <c r="T73" s="68">
        <f>IFERROR(MATCH(67,'計算（触らない）'!$AG$6:$AG$105,0),0)</f>
        <v/>
      </c>
    </row>
    <row r="74" ht="20" customHeight="1">
      <c r="A74" s="37">
        <f>IF($T74=0,"",INDEX('計算（触らない）'!$A$6:$A$105,$T74))</f>
        <v/>
      </c>
      <c r="B74" s="38">
        <f>IF($T74=0,"",INDEX('固定資産台帳'!$B$6:$B$105,$T74)&amp;"")</f>
        <v/>
      </c>
      <c r="C74" s="37">
        <f>IF($T74=0,"",INDEX('固定資産台帳'!$D$6:$D$105,$T74)&amp;"")</f>
        <v/>
      </c>
      <c r="D74" s="39">
        <f>IF($T74=0,"",INDEX('計算（触らない）'!$D$6:$D$105,$T74))</f>
        <v/>
      </c>
      <c r="E74" s="40">
        <f>IF($T74=0,"",INDEX('計算（触らない）'!$C$6:$C$105,$T74))</f>
        <v/>
      </c>
      <c r="F74" s="41">
        <f>IF($T74=0,"",IF(INDEX('計算（触らない）'!$F$6:$F$105,$T74)=2,INDEX('計算（触らない）'!$AM$6:$AM$105,$T74),""))</f>
        <v/>
      </c>
      <c r="G74" s="40">
        <f>IF($T74=0,"",IF(INDEX('計算（触らない）'!$F$6:$F$105,$T74)=4,"―",INDEX('計算（触らない）'!$AN$6:$AN$105,$T74)))</f>
        <v/>
      </c>
      <c r="H74" s="37">
        <f>IF($T74=0,"",CHOOSE(INDEX('計算（触らない）'!$F$6:$F$105,$T74),"定額法","定率法","―","―"))</f>
        <v/>
      </c>
      <c r="I74" s="37">
        <f>IF($T74=0,"",IF(INDEX('計算（触らない）'!$F$6:$F$105,$T74)&lt;=2,INDEX('計算（触らない）'!$H$6:$H$105,$T74),"―"))</f>
        <v/>
      </c>
      <c r="J74" s="42">
        <f>IF($T74=0,"",INDEX('計算（触らない）'!$AO$6:$AO$105,$T74))</f>
        <v/>
      </c>
      <c r="K74" s="37">
        <f>IF($T74=0,"",IF(AND(INDEX('計算（触らない）'!$F$6:$F$105,$T74)&lt;=2,INDEX('計算（触らない）'!$AB$6:$AB$105,$T74)&gt;0),INDEX('計算（触らない）'!$AB$6:$AB$105,$T74)&amp;"/12","―"))</f>
        <v/>
      </c>
      <c r="L74" s="40">
        <f>IF($T74=0,"",IF(INDEX('計算（触らない）'!$F$6:$F$105,$T74)=4,"―",INDEX('計算（触らない）'!$Z$6:$Z$105,$T74)))</f>
        <v/>
      </c>
      <c r="M74" s="37">
        <f>IF($T74=0,"","―")</f>
        <v/>
      </c>
      <c r="N74" s="40">
        <f>IF($T74=0,"",IF(INDEX('計算（触らない）'!$F$6:$F$105,$T74)=4,"―",INDEX('計算（触らない）'!$Z$6:$Z$105,$T74)))</f>
        <v/>
      </c>
      <c r="O74" s="43">
        <f>IF($T74=0,"",IF(AND(INDEX('計算（触らない）'!$F$6:$F$105,$T74)=4,INDEX('計算（触らない）'!$N$6:$N$105,$T74)=1),"―",INDEX('計算（触らない）'!$N$6:$N$105,$T74)))</f>
        <v/>
      </c>
      <c r="P74" s="40">
        <f>IF($T74=0,"",INDEX('計算（触らない）'!$AC$6:$AC$105,$T74))</f>
        <v/>
      </c>
      <c r="Q74" s="40">
        <f>IF($T74=0,"",IF(INDEX('計算（触らない）'!$F$6:$F$105,$T74)=4,"―",INDEX('計算（触らない）'!$Y$6:$Y$105,$T74)))</f>
        <v/>
      </c>
      <c r="R74" s="38">
        <f>IF($T74=0,"",TRIM(IF(INDEX('計算（触らない）'!$F$6:$F$105,$T74)=4,IF('計算（触らない）'!$B$1=1,"措法67の5","措法28の2"),"")&amp;IF(INDEX('計算（触らない）'!$AA$6:$AA$105,$T74)&gt;0,"改定償却","")&amp;IF(INDEX('計算（触らない）'!$AD$6:$AD$105,$T74)=1," "&amp;YEAR(INDEX('計算（触らない）'!$Q$6:$Q$105,$T74))&amp;"年"&amp;MONTH(INDEX('計算（触らない）'!$Q$6:$Q$105,$T74))&amp;"月"&amp;DAY(INDEX('計算（触らない）'!$Q$6:$Q$105,$T74))&amp;"日 売却・除却","")))</f>
        <v/>
      </c>
      <c r="S74" s="68" t="n"/>
      <c r="T74" s="68">
        <f>IFERROR(MATCH(68,'計算（触らない）'!$AG$6:$AG$105,0),0)</f>
        <v/>
      </c>
    </row>
    <row r="75" ht="20" customHeight="1">
      <c r="A75" s="37">
        <f>IF($T75=0,"",INDEX('計算（触らない）'!$A$6:$A$105,$T75))</f>
        <v/>
      </c>
      <c r="B75" s="38">
        <f>IF($T75=0,"",INDEX('固定資産台帳'!$B$6:$B$105,$T75)&amp;"")</f>
        <v/>
      </c>
      <c r="C75" s="37">
        <f>IF($T75=0,"",INDEX('固定資産台帳'!$D$6:$D$105,$T75)&amp;"")</f>
        <v/>
      </c>
      <c r="D75" s="39">
        <f>IF($T75=0,"",INDEX('計算（触らない）'!$D$6:$D$105,$T75))</f>
        <v/>
      </c>
      <c r="E75" s="40">
        <f>IF($T75=0,"",INDEX('計算（触らない）'!$C$6:$C$105,$T75))</f>
        <v/>
      </c>
      <c r="F75" s="41">
        <f>IF($T75=0,"",IF(INDEX('計算（触らない）'!$F$6:$F$105,$T75)=2,INDEX('計算（触らない）'!$AM$6:$AM$105,$T75),""))</f>
        <v/>
      </c>
      <c r="G75" s="40">
        <f>IF($T75=0,"",IF(INDEX('計算（触らない）'!$F$6:$F$105,$T75)=4,"―",INDEX('計算（触らない）'!$AN$6:$AN$105,$T75)))</f>
        <v/>
      </c>
      <c r="H75" s="37">
        <f>IF($T75=0,"",CHOOSE(INDEX('計算（触らない）'!$F$6:$F$105,$T75),"定額法","定率法","―","―"))</f>
        <v/>
      </c>
      <c r="I75" s="37">
        <f>IF($T75=0,"",IF(INDEX('計算（触らない）'!$F$6:$F$105,$T75)&lt;=2,INDEX('計算（触らない）'!$H$6:$H$105,$T75),"―"))</f>
        <v/>
      </c>
      <c r="J75" s="42">
        <f>IF($T75=0,"",INDEX('計算（触らない）'!$AO$6:$AO$105,$T75))</f>
        <v/>
      </c>
      <c r="K75" s="37">
        <f>IF($T75=0,"",IF(AND(INDEX('計算（触らない）'!$F$6:$F$105,$T75)&lt;=2,INDEX('計算（触らない）'!$AB$6:$AB$105,$T75)&gt;0),INDEX('計算（触らない）'!$AB$6:$AB$105,$T75)&amp;"/12","―"))</f>
        <v/>
      </c>
      <c r="L75" s="40">
        <f>IF($T75=0,"",IF(INDEX('計算（触らない）'!$F$6:$F$105,$T75)=4,"―",INDEX('計算（触らない）'!$Z$6:$Z$105,$T75)))</f>
        <v/>
      </c>
      <c r="M75" s="37">
        <f>IF($T75=0,"","―")</f>
        <v/>
      </c>
      <c r="N75" s="40">
        <f>IF($T75=0,"",IF(INDEX('計算（触らない）'!$F$6:$F$105,$T75)=4,"―",INDEX('計算（触らない）'!$Z$6:$Z$105,$T75)))</f>
        <v/>
      </c>
      <c r="O75" s="43">
        <f>IF($T75=0,"",IF(AND(INDEX('計算（触らない）'!$F$6:$F$105,$T75)=4,INDEX('計算（触らない）'!$N$6:$N$105,$T75)=1),"―",INDEX('計算（触らない）'!$N$6:$N$105,$T75)))</f>
        <v/>
      </c>
      <c r="P75" s="40">
        <f>IF($T75=0,"",INDEX('計算（触らない）'!$AC$6:$AC$105,$T75))</f>
        <v/>
      </c>
      <c r="Q75" s="40">
        <f>IF($T75=0,"",IF(INDEX('計算（触らない）'!$F$6:$F$105,$T75)=4,"―",INDEX('計算（触らない）'!$Y$6:$Y$105,$T75)))</f>
        <v/>
      </c>
      <c r="R75" s="38">
        <f>IF($T75=0,"",TRIM(IF(INDEX('計算（触らない）'!$F$6:$F$105,$T75)=4,IF('計算（触らない）'!$B$1=1,"措法67の5","措法28の2"),"")&amp;IF(INDEX('計算（触らない）'!$AA$6:$AA$105,$T75)&gt;0,"改定償却","")&amp;IF(INDEX('計算（触らない）'!$AD$6:$AD$105,$T75)=1," "&amp;YEAR(INDEX('計算（触らない）'!$Q$6:$Q$105,$T75))&amp;"年"&amp;MONTH(INDEX('計算（触らない）'!$Q$6:$Q$105,$T75))&amp;"月"&amp;DAY(INDEX('計算（触らない）'!$Q$6:$Q$105,$T75))&amp;"日 売却・除却","")))</f>
        <v/>
      </c>
      <c r="S75" s="68" t="n"/>
      <c r="T75" s="68">
        <f>IFERROR(MATCH(69,'計算（触らない）'!$AG$6:$AG$105,0),0)</f>
        <v/>
      </c>
    </row>
    <row r="76" ht="20" customHeight="1">
      <c r="A76" s="37">
        <f>IF($T76=0,"",INDEX('計算（触らない）'!$A$6:$A$105,$T76))</f>
        <v/>
      </c>
      <c r="B76" s="38">
        <f>IF($T76=0,"",INDEX('固定資産台帳'!$B$6:$B$105,$T76)&amp;"")</f>
        <v/>
      </c>
      <c r="C76" s="37">
        <f>IF($T76=0,"",INDEX('固定資産台帳'!$D$6:$D$105,$T76)&amp;"")</f>
        <v/>
      </c>
      <c r="D76" s="39">
        <f>IF($T76=0,"",INDEX('計算（触らない）'!$D$6:$D$105,$T76))</f>
        <v/>
      </c>
      <c r="E76" s="40">
        <f>IF($T76=0,"",INDEX('計算（触らない）'!$C$6:$C$105,$T76))</f>
        <v/>
      </c>
      <c r="F76" s="41">
        <f>IF($T76=0,"",IF(INDEX('計算（触らない）'!$F$6:$F$105,$T76)=2,INDEX('計算（触らない）'!$AM$6:$AM$105,$T76),""))</f>
        <v/>
      </c>
      <c r="G76" s="40">
        <f>IF($T76=0,"",IF(INDEX('計算（触らない）'!$F$6:$F$105,$T76)=4,"―",INDEX('計算（触らない）'!$AN$6:$AN$105,$T76)))</f>
        <v/>
      </c>
      <c r="H76" s="37">
        <f>IF($T76=0,"",CHOOSE(INDEX('計算（触らない）'!$F$6:$F$105,$T76),"定額法","定率法","―","―"))</f>
        <v/>
      </c>
      <c r="I76" s="37">
        <f>IF($T76=0,"",IF(INDEX('計算（触らない）'!$F$6:$F$105,$T76)&lt;=2,INDEX('計算（触らない）'!$H$6:$H$105,$T76),"―"))</f>
        <v/>
      </c>
      <c r="J76" s="42">
        <f>IF($T76=0,"",INDEX('計算（触らない）'!$AO$6:$AO$105,$T76))</f>
        <v/>
      </c>
      <c r="K76" s="37">
        <f>IF($T76=0,"",IF(AND(INDEX('計算（触らない）'!$F$6:$F$105,$T76)&lt;=2,INDEX('計算（触らない）'!$AB$6:$AB$105,$T76)&gt;0),INDEX('計算（触らない）'!$AB$6:$AB$105,$T76)&amp;"/12","―"))</f>
        <v/>
      </c>
      <c r="L76" s="40">
        <f>IF($T76=0,"",IF(INDEX('計算（触らない）'!$F$6:$F$105,$T76)=4,"―",INDEX('計算（触らない）'!$Z$6:$Z$105,$T76)))</f>
        <v/>
      </c>
      <c r="M76" s="37">
        <f>IF($T76=0,"","―")</f>
        <v/>
      </c>
      <c r="N76" s="40">
        <f>IF($T76=0,"",IF(INDEX('計算（触らない）'!$F$6:$F$105,$T76)=4,"―",INDEX('計算（触らない）'!$Z$6:$Z$105,$T76)))</f>
        <v/>
      </c>
      <c r="O76" s="43">
        <f>IF($T76=0,"",IF(AND(INDEX('計算（触らない）'!$F$6:$F$105,$T76)=4,INDEX('計算（触らない）'!$N$6:$N$105,$T76)=1),"―",INDEX('計算（触らない）'!$N$6:$N$105,$T76)))</f>
        <v/>
      </c>
      <c r="P76" s="40">
        <f>IF($T76=0,"",INDEX('計算（触らない）'!$AC$6:$AC$105,$T76))</f>
        <v/>
      </c>
      <c r="Q76" s="40">
        <f>IF($T76=0,"",IF(INDEX('計算（触らない）'!$F$6:$F$105,$T76)=4,"―",INDEX('計算（触らない）'!$Y$6:$Y$105,$T76)))</f>
        <v/>
      </c>
      <c r="R76" s="38">
        <f>IF($T76=0,"",TRIM(IF(INDEX('計算（触らない）'!$F$6:$F$105,$T76)=4,IF('計算（触らない）'!$B$1=1,"措法67の5","措法28の2"),"")&amp;IF(INDEX('計算（触らない）'!$AA$6:$AA$105,$T76)&gt;0,"改定償却","")&amp;IF(INDEX('計算（触らない）'!$AD$6:$AD$105,$T76)=1," "&amp;YEAR(INDEX('計算（触らない）'!$Q$6:$Q$105,$T76))&amp;"年"&amp;MONTH(INDEX('計算（触らない）'!$Q$6:$Q$105,$T76))&amp;"月"&amp;DAY(INDEX('計算（触らない）'!$Q$6:$Q$105,$T76))&amp;"日 売却・除却","")))</f>
        <v/>
      </c>
      <c r="S76" s="68" t="n"/>
      <c r="T76" s="68">
        <f>IFERROR(MATCH(70,'計算（触らない）'!$AG$6:$AG$105,0),0)</f>
        <v/>
      </c>
    </row>
    <row r="77" ht="20" customHeight="1">
      <c r="A77" s="37">
        <f>IF($T77=0,"",INDEX('計算（触らない）'!$A$6:$A$105,$T77))</f>
        <v/>
      </c>
      <c r="B77" s="38">
        <f>IF($T77=0,"",INDEX('固定資産台帳'!$B$6:$B$105,$T77)&amp;"")</f>
        <v/>
      </c>
      <c r="C77" s="37">
        <f>IF($T77=0,"",INDEX('固定資産台帳'!$D$6:$D$105,$T77)&amp;"")</f>
        <v/>
      </c>
      <c r="D77" s="39">
        <f>IF($T77=0,"",INDEX('計算（触らない）'!$D$6:$D$105,$T77))</f>
        <v/>
      </c>
      <c r="E77" s="40">
        <f>IF($T77=0,"",INDEX('計算（触らない）'!$C$6:$C$105,$T77))</f>
        <v/>
      </c>
      <c r="F77" s="41">
        <f>IF($T77=0,"",IF(INDEX('計算（触らない）'!$F$6:$F$105,$T77)=2,INDEX('計算（触らない）'!$AM$6:$AM$105,$T77),""))</f>
        <v/>
      </c>
      <c r="G77" s="40">
        <f>IF($T77=0,"",IF(INDEX('計算（触らない）'!$F$6:$F$105,$T77)=4,"―",INDEX('計算（触らない）'!$AN$6:$AN$105,$T77)))</f>
        <v/>
      </c>
      <c r="H77" s="37">
        <f>IF($T77=0,"",CHOOSE(INDEX('計算（触らない）'!$F$6:$F$105,$T77),"定額法","定率法","―","―"))</f>
        <v/>
      </c>
      <c r="I77" s="37">
        <f>IF($T77=0,"",IF(INDEX('計算（触らない）'!$F$6:$F$105,$T77)&lt;=2,INDEX('計算（触らない）'!$H$6:$H$105,$T77),"―"))</f>
        <v/>
      </c>
      <c r="J77" s="42">
        <f>IF($T77=0,"",INDEX('計算（触らない）'!$AO$6:$AO$105,$T77))</f>
        <v/>
      </c>
      <c r="K77" s="37">
        <f>IF($T77=0,"",IF(AND(INDEX('計算（触らない）'!$F$6:$F$105,$T77)&lt;=2,INDEX('計算（触らない）'!$AB$6:$AB$105,$T77)&gt;0),INDEX('計算（触らない）'!$AB$6:$AB$105,$T77)&amp;"/12","―"))</f>
        <v/>
      </c>
      <c r="L77" s="40">
        <f>IF($T77=0,"",IF(INDEX('計算（触らない）'!$F$6:$F$105,$T77)=4,"―",INDEX('計算（触らない）'!$Z$6:$Z$105,$T77)))</f>
        <v/>
      </c>
      <c r="M77" s="37">
        <f>IF($T77=0,"","―")</f>
        <v/>
      </c>
      <c r="N77" s="40">
        <f>IF($T77=0,"",IF(INDEX('計算（触らない）'!$F$6:$F$105,$T77)=4,"―",INDEX('計算（触らない）'!$Z$6:$Z$105,$T77)))</f>
        <v/>
      </c>
      <c r="O77" s="43">
        <f>IF($T77=0,"",IF(AND(INDEX('計算（触らない）'!$F$6:$F$105,$T77)=4,INDEX('計算（触らない）'!$N$6:$N$105,$T77)=1),"―",INDEX('計算（触らない）'!$N$6:$N$105,$T77)))</f>
        <v/>
      </c>
      <c r="P77" s="40">
        <f>IF($T77=0,"",INDEX('計算（触らない）'!$AC$6:$AC$105,$T77))</f>
        <v/>
      </c>
      <c r="Q77" s="40">
        <f>IF($T77=0,"",IF(INDEX('計算（触らない）'!$F$6:$F$105,$T77)=4,"―",INDEX('計算（触らない）'!$Y$6:$Y$105,$T77)))</f>
        <v/>
      </c>
      <c r="R77" s="38">
        <f>IF($T77=0,"",TRIM(IF(INDEX('計算（触らない）'!$F$6:$F$105,$T77)=4,IF('計算（触らない）'!$B$1=1,"措法67の5","措法28の2"),"")&amp;IF(INDEX('計算（触らない）'!$AA$6:$AA$105,$T77)&gt;0,"改定償却","")&amp;IF(INDEX('計算（触らない）'!$AD$6:$AD$105,$T77)=1," "&amp;YEAR(INDEX('計算（触らない）'!$Q$6:$Q$105,$T77))&amp;"年"&amp;MONTH(INDEX('計算（触らない）'!$Q$6:$Q$105,$T77))&amp;"月"&amp;DAY(INDEX('計算（触らない）'!$Q$6:$Q$105,$T77))&amp;"日 売却・除却","")))</f>
        <v/>
      </c>
      <c r="S77" s="68" t="n"/>
      <c r="T77" s="68">
        <f>IFERROR(MATCH(71,'計算（触らない）'!$AG$6:$AG$105,0),0)</f>
        <v/>
      </c>
    </row>
    <row r="78" ht="20" customHeight="1">
      <c r="A78" s="37">
        <f>IF($T78=0,"",INDEX('計算（触らない）'!$A$6:$A$105,$T78))</f>
        <v/>
      </c>
      <c r="B78" s="38">
        <f>IF($T78=0,"",INDEX('固定資産台帳'!$B$6:$B$105,$T78)&amp;"")</f>
        <v/>
      </c>
      <c r="C78" s="37">
        <f>IF($T78=0,"",INDEX('固定資産台帳'!$D$6:$D$105,$T78)&amp;"")</f>
        <v/>
      </c>
      <c r="D78" s="39">
        <f>IF($T78=0,"",INDEX('計算（触らない）'!$D$6:$D$105,$T78))</f>
        <v/>
      </c>
      <c r="E78" s="40">
        <f>IF($T78=0,"",INDEX('計算（触らない）'!$C$6:$C$105,$T78))</f>
        <v/>
      </c>
      <c r="F78" s="41">
        <f>IF($T78=0,"",IF(INDEX('計算（触らない）'!$F$6:$F$105,$T78)=2,INDEX('計算（触らない）'!$AM$6:$AM$105,$T78),""))</f>
        <v/>
      </c>
      <c r="G78" s="40">
        <f>IF($T78=0,"",IF(INDEX('計算（触らない）'!$F$6:$F$105,$T78)=4,"―",INDEX('計算（触らない）'!$AN$6:$AN$105,$T78)))</f>
        <v/>
      </c>
      <c r="H78" s="37">
        <f>IF($T78=0,"",CHOOSE(INDEX('計算（触らない）'!$F$6:$F$105,$T78),"定額法","定率法","―","―"))</f>
        <v/>
      </c>
      <c r="I78" s="37">
        <f>IF($T78=0,"",IF(INDEX('計算（触らない）'!$F$6:$F$105,$T78)&lt;=2,INDEX('計算（触らない）'!$H$6:$H$105,$T78),"―"))</f>
        <v/>
      </c>
      <c r="J78" s="42">
        <f>IF($T78=0,"",INDEX('計算（触らない）'!$AO$6:$AO$105,$T78))</f>
        <v/>
      </c>
      <c r="K78" s="37">
        <f>IF($T78=0,"",IF(AND(INDEX('計算（触らない）'!$F$6:$F$105,$T78)&lt;=2,INDEX('計算（触らない）'!$AB$6:$AB$105,$T78)&gt;0),INDEX('計算（触らない）'!$AB$6:$AB$105,$T78)&amp;"/12","―"))</f>
        <v/>
      </c>
      <c r="L78" s="40">
        <f>IF($T78=0,"",IF(INDEX('計算（触らない）'!$F$6:$F$105,$T78)=4,"―",INDEX('計算（触らない）'!$Z$6:$Z$105,$T78)))</f>
        <v/>
      </c>
      <c r="M78" s="37">
        <f>IF($T78=0,"","―")</f>
        <v/>
      </c>
      <c r="N78" s="40">
        <f>IF($T78=0,"",IF(INDEX('計算（触らない）'!$F$6:$F$105,$T78)=4,"―",INDEX('計算（触らない）'!$Z$6:$Z$105,$T78)))</f>
        <v/>
      </c>
      <c r="O78" s="43">
        <f>IF($T78=0,"",IF(AND(INDEX('計算（触らない）'!$F$6:$F$105,$T78)=4,INDEX('計算（触らない）'!$N$6:$N$105,$T78)=1),"―",INDEX('計算（触らない）'!$N$6:$N$105,$T78)))</f>
        <v/>
      </c>
      <c r="P78" s="40">
        <f>IF($T78=0,"",INDEX('計算（触らない）'!$AC$6:$AC$105,$T78))</f>
        <v/>
      </c>
      <c r="Q78" s="40">
        <f>IF($T78=0,"",IF(INDEX('計算（触らない）'!$F$6:$F$105,$T78)=4,"―",INDEX('計算（触らない）'!$Y$6:$Y$105,$T78)))</f>
        <v/>
      </c>
      <c r="R78" s="38">
        <f>IF($T78=0,"",TRIM(IF(INDEX('計算（触らない）'!$F$6:$F$105,$T78)=4,IF('計算（触らない）'!$B$1=1,"措法67の5","措法28の2"),"")&amp;IF(INDEX('計算（触らない）'!$AA$6:$AA$105,$T78)&gt;0,"改定償却","")&amp;IF(INDEX('計算（触らない）'!$AD$6:$AD$105,$T78)=1," "&amp;YEAR(INDEX('計算（触らない）'!$Q$6:$Q$105,$T78))&amp;"年"&amp;MONTH(INDEX('計算（触らない）'!$Q$6:$Q$105,$T78))&amp;"月"&amp;DAY(INDEX('計算（触らない）'!$Q$6:$Q$105,$T78))&amp;"日 売却・除却","")))</f>
        <v/>
      </c>
      <c r="S78" s="68" t="n"/>
      <c r="T78" s="68">
        <f>IFERROR(MATCH(72,'計算（触らない）'!$AG$6:$AG$105,0),0)</f>
        <v/>
      </c>
    </row>
    <row r="79" ht="20" customHeight="1">
      <c r="A79" s="37">
        <f>IF($T79=0,"",INDEX('計算（触らない）'!$A$6:$A$105,$T79))</f>
        <v/>
      </c>
      <c r="B79" s="38">
        <f>IF($T79=0,"",INDEX('固定資産台帳'!$B$6:$B$105,$T79)&amp;"")</f>
        <v/>
      </c>
      <c r="C79" s="37">
        <f>IF($T79=0,"",INDEX('固定資産台帳'!$D$6:$D$105,$T79)&amp;"")</f>
        <v/>
      </c>
      <c r="D79" s="39">
        <f>IF($T79=0,"",INDEX('計算（触らない）'!$D$6:$D$105,$T79))</f>
        <v/>
      </c>
      <c r="E79" s="40">
        <f>IF($T79=0,"",INDEX('計算（触らない）'!$C$6:$C$105,$T79))</f>
        <v/>
      </c>
      <c r="F79" s="41">
        <f>IF($T79=0,"",IF(INDEX('計算（触らない）'!$F$6:$F$105,$T79)=2,INDEX('計算（触らない）'!$AM$6:$AM$105,$T79),""))</f>
        <v/>
      </c>
      <c r="G79" s="40">
        <f>IF($T79=0,"",IF(INDEX('計算（触らない）'!$F$6:$F$105,$T79)=4,"―",INDEX('計算（触らない）'!$AN$6:$AN$105,$T79)))</f>
        <v/>
      </c>
      <c r="H79" s="37">
        <f>IF($T79=0,"",CHOOSE(INDEX('計算（触らない）'!$F$6:$F$105,$T79),"定額法","定率法","―","―"))</f>
        <v/>
      </c>
      <c r="I79" s="37">
        <f>IF($T79=0,"",IF(INDEX('計算（触らない）'!$F$6:$F$105,$T79)&lt;=2,INDEX('計算（触らない）'!$H$6:$H$105,$T79),"―"))</f>
        <v/>
      </c>
      <c r="J79" s="42">
        <f>IF($T79=0,"",INDEX('計算（触らない）'!$AO$6:$AO$105,$T79))</f>
        <v/>
      </c>
      <c r="K79" s="37">
        <f>IF($T79=0,"",IF(AND(INDEX('計算（触らない）'!$F$6:$F$105,$T79)&lt;=2,INDEX('計算（触らない）'!$AB$6:$AB$105,$T79)&gt;0),INDEX('計算（触らない）'!$AB$6:$AB$105,$T79)&amp;"/12","―"))</f>
        <v/>
      </c>
      <c r="L79" s="40">
        <f>IF($T79=0,"",IF(INDEX('計算（触らない）'!$F$6:$F$105,$T79)=4,"―",INDEX('計算（触らない）'!$Z$6:$Z$105,$T79)))</f>
        <v/>
      </c>
      <c r="M79" s="37">
        <f>IF($T79=0,"","―")</f>
        <v/>
      </c>
      <c r="N79" s="40">
        <f>IF($T79=0,"",IF(INDEX('計算（触らない）'!$F$6:$F$105,$T79)=4,"―",INDEX('計算（触らない）'!$Z$6:$Z$105,$T79)))</f>
        <v/>
      </c>
      <c r="O79" s="43">
        <f>IF($T79=0,"",IF(AND(INDEX('計算（触らない）'!$F$6:$F$105,$T79)=4,INDEX('計算（触らない）'!$N$6:$N$105,$T79)=1),"―",INDEX('計算（触らない）'!$N$6:$N$105,$T79)))</f>
        <v/>
      </c>
      <c r="P79" s="40">
        <f>IF($T79=0,"",INDEX('計算（触らない）'!$AC$6:$AC$105,$T79))</f>
        <v/>
      </c>
      <c r="Q79" s="40">
        <f>IF($T79=0,"",IF(INDEX('計算（触らない）'!$F$6:$F$105,$T79)=4,"―",INDEX('計算（触らない）'!$Y$6:$Y$105,$T79)))</f>
        <v/>
      </c>
      <c r="R79" s="38">
        <f>IF($T79=0,"",TRIM(IF(INDEX('計算（触らない）'!$F$6:$F$105,$T79)=4,IF('計算（触らない）'!$B$1=1,"措法67の5","措法28の2"),"")&amp;IF(INDEX('計算（触らない）'!$AA$6:$AA$105,$T79)&gt;0,"改定償却","")&amp;IF(INDEX('計算（触らない）'!$AD$6:$AD$105,$T79)=1," "&amp;YEAR(INDEX('計算（触らない）'!$Q$6:$Q$105,$T79))&amp;"年"&amp;MONTH(INDEX('計算（触らない）'!$Q$6:$Q$105,$T79))&amp;"月"&amp;DAY(INDEX('計算（触らない）'!$Q$6:$Q$105,$T79))&amp;"日 売却・除却","")))</f>
        <v/>
      </c>
      <c r="S79" s="68" t="n"/>
      <c r="T79" s="68">
        <f>IFERROR(MATCH(73,'計算（触らない）'!$AG$6:$AG$105,0),0)</f>
        <v/>
      </c>
    </row>
    <row r="80" ht="20" customHeight="1">
      <c r="A80" s="37">
        <f>IF($T80=0,"",INDEX('計算（触らない）'!$A$6:$A$105,$T80))</f>
        <v/>
      </c>
      <c r="B80" s="38">
        <f>IF($T80=0,"",INDEX('固定資産台帳'!$B$6:$B$105,$T80)&amp;"")</f>
        <v/>
      </c>
      <c r="C80" s="37">
        <f>IF($T80=0,"",INDEX('固定資産台帳'!$D$6:$D$105,$T80)&amp;"")</f>
        <v/>
      </c>
      <c r="D80" s="39">
        <f>IF($T80=0,"",INDEX('計算（触らない）'!$D$6:$D$105,$T80))</f>
        <v/>
      </c>
      <c r="E80" s="40">
        <f>IF($T80=0,"",INDEX('計算（触らない）'!$C$6:$C$105,$T80))</f>
        <v/>
      </c>
      <c r="F80" s="41">
        <f>IF($T80=0,"",IF(INDEX('計算（触らない）'!$F$6:$F$105,$T80)=2,INDEX('計算（触らない）'!$AM$6:$AM$105,$T80),""))</f>
        <v/>
      </c>
      <c r="G80" s="40">
        <f>IF($T80=0,"",IF(INDEX('計算（触らない）'!$F$6:$F$105,$T80)=4,"―",INDEX('計算（触らない）'!$AN$6:$AN$105,$T80)))</f>
        <v/>
      </c>
      <c r="H80" s="37">
        <f>IF($T80=0,"",CHOOSE(INDEX('計算（触らない）'!$F$6:$F$105,$T80),"定額法","定率法","―","―"))</f>
        <v/>
      </c>
      <c r="I80" s="37">
        <f>IF($T80=0,"",IF(INDEX('計算（触らない）'!$F$6:$F$105,$T80)&lt;=2,INDEX('計算（触らない）'!$H$6:$H$105,$T80),"―"))</f>
        <v/>
      </c>
      <c r="J80" s="42">
        <f>IF($T80=0,"",INDEX('計算（触らない）'!$AO$6:$AO$105,$T80))</f>
        <v/>
      </c>
      <c r="K80" s="37">
        <f>IF($T80=0,"",IF(AND(INDEX('計算（触らない）'!$F$6:$F$105,$T80)&lt;=2,INDEX('計算（触らない）'!$AB$6:$AB$105,$T80)&gt;0),INDEX('計算（触らない）'!$AB$6:$AB$105,$T80)&amp;"/12","―"))</f>
        <v/>
      </c>
      <c r="L80" s="40">
        <f>IF($T80=0,"",IF(INDEX('計算（触らない）'!$F$6:$F$105,$T80)=4,"―",INDEX('計算（触らない）'!$Z$6:$Z$105,$T80)))</f>
        <v/>
      </c>
      <c r="M80" s="37">
        <f>IF($T80=0,"","―")</f>
        <v/>
      </c>
      <c r="N80" s="40">
        <f>IF($T80=0,"",IF(INDEX('計算（触らない）'!$F$6:$F$105,$T80)=4,"―",INDEX('計算（触らない）'!$Z$6:$Z$105,$T80)))</f>
        <v/>
      </c>
      <c r="O80" s="43">
        <f>IF($T80=0,"",IF(AND(INDEX('計算（触らない）'!$F$6:$F$105,$T80)=4,INDEX('計算（触らない）'!$N$6:$N$105,$T80)=1),"―",INDEX('計算（触らない）'!$N$6:$N$105,$T80)))</f>
        <v/>
      </c>
      <c r="P80" s="40">
        <f>IF($T80=0,"",INDEX('計算（触らない）'!$AC$6:$AC$105,$T80))</f>
        <v/>
      </c>
      <c r="Q80" s="40">
        <f>IF($T80=0,"",IF(INDEX('計算（触らない）'!$F$6:$F$105,$T80)=4,"―",INDEX('計算（触らない）'!$Y$6:$Y$105,$T80)))</f>
        <v/>
      </c>
      <c r="R80" s="38">
        <f>IF($T80=0,"",TRIM(IF(INDEX('計算（触らない）'!$F$6:$F$105,$T80)=4,IF('計算（触らない）'!$B$1=1,"措法67の5","措法28の2"),"")&amp;IF(INDEX('計算（触らない）'!$AA$6:$AA$105,$T80)&gt;0,"改定償却","")&amp;IF(INDEX('計算（触らない）'!$AD$6:$AD$105,$T80)=1," "&amp;YEAR(INDEX('計算（触らない）'!$Q$6:$Q$105,$T80))&amp;"年"&amp;MONTH(INDEX('計算（触らない）'!$Q$6:$Q$105,$T80))&amp;"月"&amp;DAY(INDEX('計算（触らない）'!$Q$6:$Q$105,$T80))&amp;"日 売却・除却","")))</f>
        <v/>
      </c>
      <c r="S80" s="68" t="n"/>
      <c r="T80" s="68">
        <f>IFERROR(MATCH(74,'計算（触らない）'!$AG$6:$AG$105,0),0)</f>
        <v/>
      </c>
    </row>
    <row r="81" ht="20" customHeight="1">
      <c r="A81" s="37">
        <f>IF($T81=0,"",INDEX('計算（触らない）'!$A$6:$A$105,$T81))</f>
        <v/>
      </c>
      <c r="B81" s="38">
        <f>IF($T81=0,"",INDEX('固定資産台帳'!$B$6:$B$105,$T81)&amp;"")</f>
        <v/>
      </c>
      <c r="C81" s="37">
        <f>IF($T81=0,"",INDEX('固定資産台帳'!$D$6:$D$105,$T81)&amp;"")</f>
        <v/>
      </c>
      <c r="D81" s="39">
        <f>IF($T81=0,"",INDEX('計算（触らない）'!$D$6:$D$105,$T81))</f>
        <v/>
      </c>
      <c r="E81" s="40">
        <f>IF($T81=0,"",INDEX('計算（触らない）'!$C$6:$C$105,$T81))</f>
        <v/>
      </c>
      <c r="F81" s="41">
        <f>IF($T81=0,"",IF(INDEX('計算（触らない）'!$F$6:$F$105,$T81)=2,INDEX('計算（触らない）'!$AM$6:$AM$105,$T81),""))</f>
        <v/>
      </c>
      <c r="G81" s="40">
        <f>IF($T81=0,"",IF(INDEX('計算（触らない）'!$F$6:$F$105,$T81)=4,"―",INDEX('計算（触らない）'!$AN$6:$AN$105,$T81)))</f>
        <v/>
      </c>
      <c r="H81" s="37">
        <f>IF($T81=0,"",CHOOSE(INDEX('計算（触らない）'!$F$6:$F$105,$T81),"定額法","定率法","―","―"))</f>
        <v/>
      </c>
      <c r="I81" s="37">
        <f>IF($T81=0,"",IF(INDEX('計算（触らない）'!$F$6:$F$105,$T81)&lt;=2,INDEX('計算（触らない）'!$H$6:$H$105,$T81),"―"))</f>
        <v/>
      </c>
      <c r="J81" s="42">
        <f>IF($T81=0,"",INDEX('計算（触らない）'!$AO$6:$AO$105,$T81))</f>
        <v/>
      </c>
      <c r="K81" s="37">
        <f>IF($T81=0,"",IF(AND(INDEX('計算（触らない）'!$F$6:$F$105,$T81)&lt;=2,INDEX('計算（触らない）'!$AB$6:$AB$105,$T81)&gt;0),INDEX('計算（触らない）'!$AB$6:$AB$105,$T81)&amp;"/12","―"))</f>
        <v/>
      </c>
      <c r="L81" s="40">
        <f>IF($T81=0,"",IF(INDEX('計算（触らない）'!$F$6:$F$105,$T81)=4,"―",INDEX('計算（触らない）'!$Z$6:$Z$105,$T81)))</f>
        <v/>
      </c>
      <c r="M81" s="37">
        <f>IF($T81=0,"","―")</f>
        <v/>
      </c>
      <c r="N81" s="40">
        <f>IF($T81=0,"",IF(INDEX('計算（触らない）'!$F$6:$F$105,$T81)=4,"―",INDEX('計算（触らない）'!$Z$6:$Z$105,$T81)))</f>
        <v/>
      </c>
      <c r="O81" s="43">
        <f>IF($T81=0,"",IF(AND(INDEX('計算（触らない）'!$F$6:$F$105,$T81)=4,INDEX('計算（触らない）'!$N$6:$N$105,$T81)=1),"―",INDEX('計算（触らない）'!$N$6:$N$105,$T81)))</f>
        <v/>
      </c>
      <c r="P81" s="40">
        <f>IF($T81=0,"",INDEX('計算（触らない）'!$AC$6:$AC$105,$T81))</f>
        <v/>
      </c>
      <c r="Q81" s="40">
        <f>IF($T81=0,"",IF(INDEX('計算（触らない）'!$F$6:$F$105,$T81)=4,"―",INDEX('計算（触らない）'!$Y$6:$Y$105,$T81)))</f>
        <v/>
      </c>
      <c r="R81" s="38">
        <f>IF($T81=0,"",TRIM(IF(INDEX('計算（触らない）'!$F$6:$F$105,$T81)=4,IF('計算（触らない）'!$B$1=1,"措法67の5","措法28の2"),"")&amp;IF(INDEX('計算（触らない）'!$AA$6:$AA$105,$T81)&gt;0,"改定償却","")&amp;IF(INDEX('計算（触らない）'!$AD$6:$AD$105,$T81)=1," "&amp;YEAR(INDEX('計算（触らない）'!$Q$6:$Q$105,$T81))&amp;"年"&amp;MONTH(INDEX('計算（触らない）'!$Q$6:$Q$105,$T81))&amp;"月"&amp;DAY(INDEX('計算（触らない）'!$Q$6:$Q$105,$T81))&amp;"日 売却・除却","")))</f>
        <v/>
      </c>
      <c r="S81" s="68" t="n"/>
      <c r="T81" s="68">
        <f>IFERROR(MATCH(75,'計算（触らない）'!$AG$6:$AG$105,0),0)</f>
        <v/>
      </c>
    </row>
    <row r="82" ht="20" customHeight="1">
      <c r="A82" s="37">
        <f>IF($T82=0,"",INDEX('計算（触らない）'!$A$6:$A$105,$T82))</f>
        <v/>
      </c>
      <c r="B82" s="38">
        <f>IF($T82=0,"",INDEX('固定資産台帳'!$B$6:$B$105,$T82)&amp;"")</f>
        <v/>
      </c>
      <c r="C82" s="37">
        <f>IF($T82=0,"",INDEX('固定資産台帳'!$D$6:$D$105,$T82)&amp;"")</f>
        <v/>
      </c>
      <c r="D82" s="39">
        <f>IF($T82=0,"",INDEX('計算（触らない）'!$D$6:$D$105,$T82))</f>
        <v/>
      </c>
      <c r="E82" s="40">
        <f>IF($T82=0,"",INDEX('計算（触らない）'!$C$6:$C$105,$T82))</f>
        <v/>
      </c>
      <c r="F82" s="41">
        <f>IF($T82=0,"",IF(INDEX('計算（触らない）'!$F$6:$F$105,$T82)=2,INDEX('計算（触らない）'!$AM$6:$AM$105,$T82),""))</f>
        <v/>
      </c>
      <c r="G82" s="40">
        <f>IF($T82=0,"",IF(INDEX('計算（触らない）'!$F$6:$F$105,$T82)=4,"―",INDEX('計算（触らない）'!$AN$6:$AN$105,$T82)))</f>
        <v/>
      </c>
      <c r="H82" s="37">
        <f>IF($T82=0,"",CHOOSE(INDEX('計算（触らない）'!$F$6:$F$105,$T82),"定額法","定率法","―","―"))</f>
        <v/>
      </c>
      <c r="I82" s="37">
        <f>IF($T82=0,"",IF(INDEX('計算（触らない）'!$F$6:$F$105,$T82)&lt;=2,INDEX('計算（触らない）'!$H$6:$H$105,$T82),"―"))</f>
        <v/>
      </c>
      <c r="J82" s="42">
        <f>IF($T82=0,"",INDEX('計算（触らない）'!$AO$6:$AO$105,$T82))</f>
        <v/>
      </c>
      <c r="K82" s="37">
        <f>IF($T82=0,"",IF(AND(INDEX('計算（触らない）'!$F$6:$F$105,$T82)&lt;=2,INDEX('計算（触らない）'!$AB$6:$AB$105,$T82)&gt;0),INDEX('計算（触らない）'!$AB$6:$AB$105,$T82)&amp;"/12","―"))</f>
        <v/>
      </c>
      <c r="L82" s="40">
        <f>IF($T82=0,"",IF(INDEX('計算（触らない）'!$F$6:$F$105,$T82)=4,"―",INDEX('計算（触らない）'!$Z$6:$Z$105,$T82)))</f>
        <v/>
      </c>
      <c r="M82" s="37">
        <f>IF($T82=0,"","―")</f>
        <v/>
      </c>
      <c r="N82" s="40">
        <f>IF($T82=0,"",IF(INDEX('計算（触らない）'!$F$6:$F$105,$T82)=4,"―",INDEX('計算（触らない）'!$Z$6:$Z$105,$T82)))</f>
        <v/>
      </c>
      <c r="O82" s="43">
        <f>IF($T82=0,"",IF(AND(INDEX('計算（触らない）'!$F$6:$F$105,$T82)=4,INDEX('計算（触らない）'!$N$6:$N$105,$T82)=1),"―",INDEX('計算（触らない）'!$N$6:$N$105,$T82)))</f>
        <v/>
      </c>
      <c r="P82" s="40">
        <f>IF($T82=0,"",INDEX('計算（触らない）'!$AC$6:$AC$105,$T82))</f>
        <v/>
      </c>
      <c r="Q82" s="40">
        <f>IF($T82=0,"",IF(INDEX('計算（触らない）'!$F$6:$F$105,$T82)=4,"―",INDEX('計算（触らない）'!$Y$6:$Y$105,$T82)))</f>
        <v/>
      </c>
      <c r="R82" s="38">
        <f>IF($T82=0,"",TRIM(IF(INDEX('計算（触らない）'!$F$6:$F$105,$T82)=4,IF('計算（触らない）'!$B$1=1,"措法67の5","措法28の2"),"")&amp;IF(INDEX('計算（触らない）'!$AA$6:$AA$105,$T82)&gt;0,"改定償却","")&amp;IF(INDEX('計算（触らない）'!$AD$6:$AD$105,$T82)=1," "&amp;YEAR(INDEX('計算（触らない）'!$Q$6:$Q$105,$T82))&amp;"年"&amp;MONTH(INDEX('計算（触らない）'!$Q$6:$Q$105,$T82))&amp;"月"&amp;DAY(INDEX('計算（触らない）'!$Q$6:$Q$105,$T82))&amp;"日 売却・除却","")))</f>
        <v/>
      </c>
      <c r="S82" s="68" t="n"/>
      <c r="T82" s="68">
        <f>IFERROR(MATCH(76,'計算（触らない）'!$AG$6:$AG$105,0),0)</f>
        <v/>
      </c>
    </row>
    <row r="83" ht="20" customHeight="1">
      <c r="A83" s="37">
        <f>IF($T83=0,"",INDEX('計算（触らない）'!$A$6:$A$105,$T83))</f>
        <v/>
      </c>
      <c r="B83" s="38">
        <f>IF($T83=0,"",INDEX('固定資産台帳'!$B$6:$B$105,$T83)&amp;"")</f>
        <v/>
      </c>
      <c r="C83" s="37">
        <f>IF($T83=0,"",INDEX('固定資産台帳'!$D$6:$D$105,$T83)&amp;"")</f>
        <v/>
      </c>
      <c r="D83" s="39">
        <f>IF($T83=0,"",INDEX('計算（触らない）'!$D$6:$D$105,$T83))</f>
        <v/>
      </c>
      <c r="E83" s="40">
        <f>IF($T83=0,"",INDEX('計算（触らない）'!$C$6:$C$105,$T83))</f>
        <v/>
      </c>
      <c r="F83" s="41">
        <f>IF($T83=0,"",IF(INDEX('計算（触らない）'!$F$6:$F$105,$T83)=2,INDEX('計算（触らない）'!$AM$6:$AM$105,$T83),""))</f>
        <v/>
      </c>
      <c r="G83" s="40">
        <f>IF($T83=0,"",IF(INDEX('計算（触らない）'!$F$6:$F$105,$T83)=4,"―",INDEX('計算（触らない）'!$AN$6:$AN$105,$T83)))</f>
        <v/>
      </c>
      <c r="H83" s="37">
        <f>IF($T83=0,"",CHOOSE(INDEX('計算（触らない）'!$F$6:$F$105,$T83),"定額法","定率法","―","―"))</f>
        <v/>
      </c>
      <c r="I83" s="37">
        <f>IF($T83=0,"",IF(INDEX('計算（触らない）'!$F$6:$F$105,$T83)&lt;=2,INDEX('計算（触らない）'!$H$6:$H$105,$T83),"―"))</f>
        <v/>
      </c>
      <c r="J83" s="42">
        <f>IF($T83=0,"",INDEX('計算（触らない）'!$AO$6:$AO$105,$T83))</f>
        <v/>
      </c>
      <c r="K83" s="37">
        <f>IF($T83=0,"",IF(AND(INDEX('計算（触らない）'!$F$6:$F$105,$T83)&lt;=2,INDEX('計算（触らない）'!$AB$6:$AB$105,$T83)&gt;0),INDEX('計算（触らない）'!$AB$6:$AB$105,$T83)&amp;"/12","―"))</f>
        <v/>
      </c>
      <c r="L83" s="40">
        <f>IF($T83=0,"",IF(INDEX('計算（触らない）'!$F$6:$F$105,$T83)=4,"―",INDEX('計算（触らない）'!$Z$6:$Z$105,$T83)))</f>
        <v/>
      </c>
      <c r="M83" s="37">
        <f>IF($T83=0,"","―")</f>
        <v/>
      </c>
      <c r="N83" s="40">
        <f>IF($T83=0,"",IF(INDEX('計算（触らない）'!$F$6:$F$105,$T83)=4,"―",INDEX('計算（触らない）'!$Z$6:$Z$105,$T83)))</f>
        <v/>
      </c>
      <c r="O83" s="43">
        <f>IF($T83=0,"",IF(AND(INDEX('計算（触らない）'!$F$6:$F$105,$T83)=4,INDEX('計算（触らない）'!$N$6:$N$105,$T83)=1),"―",INDEX('計算（触らない）'!$N$6:$N$105,$T83)))</f>
        <v/>
      </c>
      <c r="P83" s="40">
        <f>IF($T83=0,"",INDEX('計算（触らない）'!$AC$6:$AC$105,$T83))</f>
        <v/>
      </c>
      <c r="Q83" s="40">
        <f>IF($T83=0,"",IF(INDEX('計算（触らない）'!$F$6:$F$105,$T83)=4,"―",INDEX('計算（触らない）'!$Y$6:$Y$105,$T83)))</f>
        <v/>
      </c>
      <c r="R83" s="38">
        <f>IF($T83=0,"",TRIM(IF(INDEX('計算（触らない）'!$F$6:$F$105,$T83)=4,IF('計算（触らない）'!$B$1=1,"措法67の5","措法28の2"),"")&amp;IF(INDEX('計算（触らない）'!$AA$6:$AA$105,$T83)&gt;0,"改定償却","")&amp;IF(INDEX('計算（触らない）'!$AD$6:$AD$105,$T83)=1," "&amp;YEAR(INDEX('計算（触らない）'!$Q$6:$Q$105,$T83))&amp;"年"&amp;MONTH(INDEX('計算（触らない）'!$Q$6:$Q$105,$T83))&amp;"月"&amp;DAY(INDEX('計算（触らない）'!$Q$6:$Q$105,$T83))&amp;"日 売却・除却","")))</f>
        <v/>
      </c>
      <c r="S83" s="68" t="n"/>
      <c r="T83" s="68">
        <f>IFERROR(MATCH(77,'計算（触らない）'!$AG$6:$AG$105,0),0)</f>
        <v/>
      </c>
    </row>
    <row r="84" ht="20" customHeight="1">
      <c r="A84" s="37">
        <f>IF($T84=0,"",INDEX('計算（触らない）'!$A$6:$A$105,$T84))</f>
        <v/>
      </c>
      <c r="B84" s="38">
        <f>IF($T84=0,"",INDEX('固定資産台帳'!$B$6:$B$105,$T84)&amp;"")</f>
        <v/>
      </c>
      <c r="C84" s="37">
        <f>IF($T84=0,"",INDEX('固定資産台帳'!$D$6:$D$105,$T84)&amp;"")</f>
        <v/>
      </c>
      <c r="D84" s="39">
        <f>IF($T84=0,"",INDEX('計算（触らない）'!$D$6:$D$105,$T84))</f>
        <v/>
      </c>
      <c r="E84" s="40">
        <f>IF($T84=0,"",INDEX('計算（触らない）'!$C$6:$C$105,$T84))</f>
        <v/>
      </c>
      <c r="F84" s="41">
        <f>IF($T84=0,"",IF(INDEX('計算（触らない）'!$F$6:$F$105,$T84)=2,INDEX('計算（触らない）'!$AM$6:$AM$105,$T84),""))</f>
        <v/>
      </c>
      <c r="G84" s="40">
        <f>IF($T84=0,"",IF(INDEX('計算（触らない）'!$F$6:$F$105,$T84)=4,"―",INDEX('計算（触らない）'!$AN$6:$AN$105,$T84)))</f>
        <v/>
      </c>
      <c r="H84" s="37">
        <f>IF($T84=0,"",CHOOSE(INDEX('計算（触らない）'!$F$6:$F$105,$T84),"定額法","定率法","―","―"))</f>
        <v/>
      </c>
      <c r="I84" s="37">
        <f>IF($T84=0,"",IF(INDEX('計算（触らない）'!$F$6:$F$105,$T84)&lt;=2,INDEX('計算（触らない）'!$H$6:$H$105,$T84),"―"))</f>
        <v/>
      </c>
      <c r="J84" s="42">
        <f>IF($T84=0,"",INDEX('計算（触らない）'!$AO$6:$AO$105,$T84))</f>
        <v/>
      </c>
      <c r="K84" s="37">
        <f>IF($T84=0,"",IF(AND(INDEX('計算（触らない）'!$F$6:$F$105,$T84)&lt;=2,INDEX('計算（触らない）'!$AB$6:$AB$105,$T84)&gt;0),INDEX('計算（触らない）'!$AB$6:$AB$105,$T84)&amp;"/12","―"))</f>
        <v/>
      </c>
      <c r="L84" s="40">
        <f>IF($T84=0,"",IF(INDEX('計算（触らない）'!$F$6:$F$105,$T84)=4,"―",INDEX('計算（触らない）'!$Z$6:$Z$105,$T84)))</f>
        <v/>
      </c>
      <c r="M84" s="37">
        <f>IF($T84=0,"","―")</f>
        <v/>
      </c>
      <c r="N84" s="40">
        <f>IF($T84=0,"",IF(INDEX('計算（触らない）'!$F$6:$F$105,$T84)=4,"―",INDEX('計算（触らない）'!$Z$6:$Z$105,$T84)))</f>
        <v/>
      </c>
      <c r="O84" s="43">
        <f>IF($T84=0,"",IF(AND(INDEX('計算（触らない）'!$F$6:$F$105,$T84)=4,INDEX('計算（触らない）'!$N$6:$N$105,$T84)=1),"―",INDEX('計算（触らない）'!$N$6:$N$105,$T84)))</f>
        <v/>
      </c>
      <c r="P84" s="40">
        <f>IF($T84=0,"",INDEX('計算（触らない）'!$AC$6:$AC$105,$T84))</f>
        <v/>
      </c>
      <c r="Q84" s="40">
        <f>IF($T84=0,"",IF(INDEX('計算（触らない）'!$F$6:$F$105,$T84)=4,"―",INDEX('計算（触らない）'!$Y$6:$Y$105,$T84)))</f>
        <v/>
      </c>
      <c r="R84" s="38">
        <f>IF($T84=0,"",TRIM(IF(INDEX('計算（触らない）'!$F$6:$F$105,$T84)=4,IF('計算（触らない）'!$B$1=1,"措法67の5","措法28の2"),"")&amp;IF(INDEX('計算（触らない）'!$AA$6:$AA$105,$T84)&gt;0,"改定償却","")&amp;IF(INDEX('計算（触らない）'!$AD$6:$AD$105,$T84)=1," "&amp;YEAR(INDEX('計算（触らない）'!$Q$6:$Q$105,$T84))&amp;"年"&amp;MONTH(INDEX('計算（触らない）'!$Q$6:$Q$105,$T84))&amp;"月"&amp;DAY(INDEX('計算（触らない）'!$Q$6:$Q$105,$T84))&amp;"日 売却・除却","")))</f>
        <v/>
      </c>
      <c r="S84" s="68" t="n"/>
      <c r="T84" s="68">
        <f>IFERROR(MATCH(78,'計算（触らない）'!$AG$6:$AG$105,0),0)</f>
        <v/>
      </c>
    </row>
    <row r="85" ht="20" customHeight="1">
      <c r="A85" s="37">
        <f>IF($T85=0,"",INDEX('計算（触らない）'!$A$6:$A$105,$T85))</f>
        <v/>
      </c>
      <c r="B85" s="38">
        <f>IF($T85=0,"",INDEX('固定資産台帳'!$B$6:$B$105,$T85)&amp;"")</f>
        <v/>
      </c>
      <c r="C85" s="37">
        <f>IF($T85=0,"",INDEX('固定資産台帳'!$D$6:$D$105,$T85)&amp;"")</f>
        <v/>
      </c>
      <c r="D85" s="39">
        <f>IF($T85=0,"",INDEX('計算（触らない）'!$D$6:$D$105,$T85))</f>
        <v/>
      </c>
      <c r="E85" s="40">
        <f>IF($T85=0,"",INDEX('計算（触らない）'!$C$6:$C$105,$T85))</f>
        <v/>
      </c>
      <c r="F85" s="41">
        <f>IF($T85=0,"",IF(INDEX('計算（触らない）'!$F$6:$F$105,$T85)=2,INDEX('計算（触らない）'!$AM$6:$AM$105,$T85),""))</f>
        <v/>
      </c>
      <c r="G85" s="40">
        <f>IF($T85=0,"",IF(INDEX('計算（触らない）'!$F$6:$F$105,$T85)=4,"―",INDEX('計算（触らない）'!$AN$6:$AN$105,$T85)))</f>
        <v/>
      </c>
      <c r="H85" s="37">
        <f>IF($T85=0,"",CHOOSE(INDEX('計算（触らない）'!$F$6:$F$105,$T85),"定額法","定率法","―","―"))</f>
        <v/>
      </c>
      <c r="I85" s="37">
        <f>IF($T85=0,"",IF(INDEX('計算（触らない）'!$F$6:$F$105,$T85)&lt;=2,INDEX('計算（触らない）'!$H$6:$H$105,$T85),"―"))</f>
        <v/>
      </c>
      <c r="J85" s="42">
        <f>IF($T85=0,"",INDEX('計算（触らない）'!$AO$6:$AO$105,$T85))</f>
        <v/>
      </c>
      <c r="K85" s="37">
        <f>IF($T85=0,"",IF(AND(INDEX('計算（触らない）'!$F$6:$F$105,$T85)&lt;=2,INDEX('計算（触らない）'!$AB$6:$AB$105,$T85)&gt;0),INDEX('計算（触らない）'!$AB$6:$AB$105,$T85)&amp;"/12","―"))</f>
        <v/>
      </c>
      <c r="L85" s="40">
        <f>IF($T85=0,"",IF(INDEX('計算（触らない）'!$F$6:$F$105,$T85)=4,"―",INDEX('計算（触らない）'!$Z$6:$Z$105,$T85)))</f>
        <v/>
      </c>
      <c r="M85" s="37">
        <f>IF($T85=0,"","―")</f>
        <v/>
      </c>
      <c r="N85" s="40">
        <f>IF($T85=0,"",IF(INDEX('計算（触らない）'!$F$6:$F$105,$T85)=4,"―",INDEX('計算（触らない）'!$Z$6:$Z$105,$T85)))</f>
        <v/>
      </c>
      <c r="O85" s="43">
        <f>IF($T85=0,"",IF(AND(INDEX('計算（触らない）'!$F$6:$F$105,$T85)=4,INDEX('計算（触らない）'!$N$6:$N$105,$T85)=1),"―",INDEX('計算（触らない）'!$N$6:$N$105,$T85)))</f>
        <v/>
      </c>
      <c r="P85" s="40">
        <f>IF($T85=0,"",INDEX('計算（触らない）'!$AC$6:$AC$105,$T85))</f>
        <v/>
      </c>
      <c r="Q85" s="40">
        <f>IF($T85=0,"",IF(INDEX('計算（触らない）'!$F$6:$F$105,$T85)=4,"―",INDEX('計算（触らない）'!$Y$6:$Y$105,$T85)))</f>
        <v/>
      </c>
      <c r="R85" s="38">
        <f>IF($T85=0,"",TRIM(IF(INDEX('計算（触らない）'!$F$6:$F$105,$T85)=4,IF('計算（触らない）'!$B$1=1,"措法67の5","措法28の2"),"")&amp;IF(INDEX('計算（触らない）'!$AA$6:$AA$105,$T85)&gt;0,"改定償却","")&amp;IF(INDEX('計算（触らない）'!$AD$6:$AD$105,$T85)=1," "&amp;YEAR(INDEX('計算（触らない）'!$Q$6:$Q$105,$T85))&amp;"年"&amp;MONTH(INDEX('計算（触らない）'!$Q$6:$Q$105,$T85))&amp;"月"&amp;DAY(INDEX('計算（触らない）'!$Q$6:$Q$105,$T85))&amp;"日 売却・除却","")))</f>
        <v/>
      </c>
      <c r="S85" s="68" t="n"/>
      <c r="T85" s="68">
        <f>IFERROR(MATCH(79,'計算（触らない）'!$AG$6:$AG$105,0),0)</f>
        <v/>
      </c>
    </row>
    <row r="86" ht="20" customHeight="1">
      <c r="A86" s="37">
        <f>IF($T86=0,"",INDEX('計算（触らない）'!$A$6:$A$105,$T86))</f>
        <v/>
      </c>
      <c r="B86" s="38">
        <f>IF($T86=0,"",INDEX('固定資産台帳'!$B$6:$B$105,$T86)&amp;"")</f>
        <v/>
      </c>
      <c r="C86" s="37">
        <f>IF($T86=0,"",INDEX('固定資産台帳'!$D$6:$D$105,$T86)&amp;"")</f>
        <v/>
      </c>
      <c r="D86" s="39">
        <f>IF($T86=0,"",INDEX('計算（触らない）'!$D$6:$D$105,$T86))</f>
        <v/>
      </c>
      <c r="E86" s="40">
        <f>IF($T86=0,"",INDEX('計算（触らない）'!$C$6:$C$105,$T86))</f>
        <v/>
      </c>
      <c r="F86" s="41">
        <f>IF($T86=0,"",IF(INDEX('計算（触らない）'!$F$6:$F$105,$T86)=2,INDEX('計算（触らない）'!$AM$6:$AM$105,$T86),""))</f>
        <v/>
      </c>
      <c r="G86" s="40">
        <f>IF($T86=0,"",IF(INDEX('計算（触らない）'!$F$6:$F$105,$T86)=4,"―",INDEX('計算（触らない）'!$AN$6:$AN$105,$T86)))</f>
        <v/>
      </c>
      <c r="H86" s="37">
        <f>IF($T86=0,"",CHOOSE(INDEX('計算（触らない）'!$F$6:$F$105,$T86),"定額法","定率法","―","―"))</f>
        <v/>
      </c>
      <c r="I86" s="37">
        <f>IF($T86=0,"",IF(INDEX('計算（触らない）'!$F$6:$F$105,$T86)&lt;=2,INDEX('計算（触らない）'!$H$6:$H$105,$T86),"―"))</f>
        <v/>
      </c>
      <c r="J86" s="42">
        <f>IF($T86=0,"",INDEX('計算（触らない）'!$AO$6:$AO$105,$T86))</f>
        <v/>
      </c>
      <c r="K86" s="37">
        <f>IF($T86=0,"",IF(AND(INDEX('計算（触らない）'!$F$6:$F$105,$T86)&lt;=2,INDEX('計算（触らない）'!$AB$6:$AB$105,$T86)&gt;0),INDEX('計算（触らない）'!$AB$6:$AB$105,$T86)&amp;"/12","―"))</f>
        <v/>
      </c>
      <c r="L86" s="40">
        <f>IF($T86=0,"",IF(INDEX('計算（触らない）'!$F$6:$F$105,$T86)=4,"―",INDEX('計算（触らない）'!$Z$6:$Z$105,$T86)))</f>
        <v/>
      </c>
      <c r="M86" s="37">
        <f>IF($T86=0,"","―")</f>
        <v/>
      </c>
      <c r="N86" s="40">
        <f>IF($T86=0,"",IF(INDEX('計算（触らない）'!$F$6:$F$105,$T86)=4,"―",INDEX('計算（触らない）'!$Z$6:$Z$105,$T86)))</f>
        <v/>
      </c>
      <c r="O86" s="43">
        <f>IF($T86=0,"",IF(AND(INDEX('計算（触らない）'!$F$6:$F$105,$T86)=4,INDEX('計算（触らない）'!$N$6:$N$105,$T86)=1),"―",INDEX('計算（触らない）'!$N$6:$N$105,$T86)))</f>
        <v/>
      </c>
      <c r="P86" s="40">
        <f>IF($T86=0,"",INDEX('計算（触らない）'!$AC$6:$AC$105,$T86))</f>
        <v/>
      </c>
      <c r="Q86" s="40">
        <f>IF($T86=0,"",IF(INDEX('計算（触らない）'!$F$6:$F$105,$T86)=4,"―",INDEX('計算（触らない）'!$Y$6:$Y$105,$T86)))</f>
        <v/>
      </c>
      <c r="R86" s="38">
        <f>IF($T86=0,"",TRIM(IF(INDEX('計算（触らない）'!$F$6:$F$105,$T86)=4,IF('計算（触らない）'!$B$1=1,"措法67の5","措法28の2"),"")&amp;IF(INDEX('計算（触らない）'!$AA$6:$AA$105,$T86)&gt;0,"改定償却","")&amp;IF(INDEX('計算（触らない）'!$AD$6:$AD$105,$T86)=1," "&amp;YEAR(INDEX('計算（触らない）'!$Q$6:$Q$105,$T86))&amp;"年"&amp;MONTH(INDEX('計算（触らない）'!$Q$6:$Q$105,$T86))&amp;"月"&amp;DAY(INDEX('計算（触らない）'!$Q$6:$Q$105,$T86))&amp;"日 売却・除却","")))</f>
        <v/>
      </c>
      <c r="S86" s="68" t="n"/>
      <c r="T86" s="68">
        <f>IFERROR(MATCH(80,'計算（触らない）'!$AG$6:$AG$105,0),0)</f>
        <v/>
      </c>
    </row>
    <row r="87" ht="20" customHeight="1">
      <c r="A87" s="37">
        <f>IF($T87=0,"",INDEX('計算（触らない）'!$A$6:$A$105,$T87))</f>
        <v/>
      </c>
      <c r="B87" s="38">
        <f>IF($T87=0,"",INDEX('固定資産台帳'!$B$6:$B$105,$T87)&amp;"")</f>
        <v/>
      </c>
      <c r="C87" s="37">
        <f>IF($T87=0,"",INDEX('固定資産台帳'!$D$6:$D$105,$T87)&amp;"")</f>
        <v/>
      </c>
      <c r="D87" s="39">
        <f>IF($T87=0,"",INDEX('計算（触らない）'!$D$6:$D$105,$T87))</f>
        <v/>
      </c>
      <c r="E87" s="40">
        <f>IF($T87=0,"",INDEX('計算（触らない）'!$C$6:$C$105,$T87))</f>
        <v/>
      </c>
      <c r="F87" s="41">
        <f>IF($T87=0,"",IF(INDEX('計算（触らない）'!$F$6:$F$105,$T87)=2,INDEX('計算（触らない）'!$AM$6:$AM$105,$T87),""))</f>
        <v/>
      </c>
      <c r="G87" s="40">
        <f>IF($T87=0,"",IF(INDEX('計算（触らない）'!$F$6:$F$105,$T87)=4,"―",INDEX('計算（触らない）'!$AN$6:$AN$105,$T87)))</f>
        <v/>
      </c>
      <c r="H87" s="37">
        <f>IF($T87=0,"",CHOOSE(INDEX('計算（触らない）'!$F$6:$F$105,$T87),"定額法","定率法","―","―"))</f>
        <v/>
      </c>
      <c r="I87" s="37">
        <f>IF($T87=0,"",IF(INDEX('計算（触らない）'!$F$6:$F$105,$T87)&lt;=2,INDEX('計算（触らない）'!$H$6:$H$105,$T87),"―"))</f>
        <v/>
      </c>
      <c r="J87" s="42">
        <f>IF($T87=0,"",INDEX('計算（触らない）'!$AO$6:$AO$105,$T87))</f>
        <v/>
      </c>
      <c r="K87" s="37">
        <f>IF($T87=0,"",IF(AND(INDEX('計算（触らない）'!$F$6:$F$105,$T87)&lt;=2,INDEX('計算（触らない）'!$AB$6:$AB$105,$T87)&gt;0),INDEX('計算（触らない）'!$AB$6:$AB$105,$T87)&amp;"/12","―"))</f>
        <v/>
      </c>
      <c r="L87" s="40">
        <f>IF($T87=0,"",IF(INDEX('計算（触らない）'!$F$6:$F$105,$T87)=4,"―",INDEX('計算（触らない）'!$Z$6:$Z$105,$T87)))</f>
        <v/>
      </c>
      <c r="M87" s="37">
        <f>IF($T87=0,"","―")</f>
        <v/>
      </c>
      <c r="N87" s="40">
        <f>IF($T87=0,"",IF(INDEX('計算（触らない）'!$F$6:$F$105,$T87)=4,"―",INDEX('計算（触らない）'!$Z$6:$Z$105,$T87)))</f>
        <v/>
      </c>
      <c r="O87" s="43">
        <f>IF($T87=0,"",IF(AND(INDEX('計算（触らない）'!$F$6:$F$105,$T87)=4,INDEX('計算（触らない）'!$N$6:$N$105,$T87)=1),"―",INDEX('計算（触らない）'!$N$6:$N$105,$T87)))</f>
        <v/>
      </c>
      <c r="P87" s="40">
        <f>IF($T87=0,"",INDEX('計算（触らない）'!$AC$6:$AC$105,$T87))</f>
        <v/>
      </c>
      <c r="Q87" s="40">
        <f>IF($T87=0,"",IF(INDEX('計算（触らない）'!$F$6:$F$105,$T87)=4,"―",INDEX('計算（触らない）'!$Y$6:$Y$105,$T87)))</f>
        <v/>
      </c>
      <c r="R87" s="38">
        <f>IF($T87=0,"",TRIM(IF(INDEX('計算（触らない）'!$F$6:$F$105,$T87)=4,IF('計算（触らない）'!$B$1=1,"措法67の5","措法28の2"),"")&amp;IF(INDEX('計算（触らない）'!$AA$6:$AA$105,$T87)&gt;0,"改定償却","")&amp;IF(INDEX('計算（触らない）'!$AD$6:$AD$105,$T87)=1," "&amp;YEAR(INDEX('計算（触らない）'!$Q$6:$Q$105,$T87))&amp;"年"&amp;MONTH(INDEX('計算（触らない）'!$Q$6:$Q$105,$T87))&amp;"月"&amp;DAY(INDEX('計算（触らない）'!$Q$6:$Q$105,$T87))&amp;"日 売却・除却","")))</f>
        <v/>
      </c>
      <c r="S87" s="68" t="n"/>
      <c r="T87" s="68">
        <f>IFERROR(MATCH(81,'計算（触らない）'!$AG$6:$AG$105,0),0)</f>
        <v/>
      </c>
    </row>
    <row r="88" ht="20" customHeight="1">
      <c r="A88" s="37">
        <f>IF($T88=0,"",INDEX('計算（触らない）'!$A$6:$A$105,$T88))</f>
        <v/>
      </c>
      <c r="B88" s="38">
        <f>IF($T88=0,"",INDEX('固定資産台帳'!$B$6:$B$105,$T88)&amp;"")</f>
        <v/>
      </c>
      <c r="C88" s="37">
        <f>IF($T88=0,"",INDEX('固定資産台帳'!$D$6:$D$105,$T88)&amp;"")</f>
        <v/>
      </c>
      <c r="D88" s="39">
        <f>IF($T88=0,"",INDEX('計算（触らない）'!$D$6:$D$105,$T88))</f>
        <v/>
      </c>
      <c r="E88" s="40">
        <f>IF($T88=0,"",INDEX('計算（触らない）'!$C$6:$C$105,$T88))</f>
        <v/>
      </c>
      <c r="F88" s="41">
        <f>IF($T88=0,"",IF(INDEX('計算（触らない）'!$F$6:$F$105,$T88)=2,INDEX('計算（触らない）'!$AM$6:$AM$105,$T88),""))</f>
        <v/>
      </c>
      <c r="G88" s="40">
        <f>IF($T88=0,"",IF(INDEX('計算（触らない）'!$F$6:$F$105,$T88)=4,"―",INDEX('計算（触らない）'!$AN$6:$AN$105,$T88)))</f>
        <v/>
      </c>
      <c r="H88" s="37">
        <f>IF($T88=0,"",CHOOSE(INDEX('計算（触らない）'!$F$6:$F$105,$T88),"定額法","定率法","―","―"))</f>
        <v/>
      </c>
      <c r="I88" s="37">
        <f>IF($T88=0,"",IF(INDEX('計算（触らない）'!$F$6:$F$105,$T88)&lt;=2,INDEX('計算（触らない）'!$H$6:$H$105,$T88),"―"))</f>
        <v/>
      </c>
      <c r="J88" s="42">
        <f>IF($T88=0,"",INDEX('計算（触らない）'!$AO$6:$AO$105,$T88))</f>
        <v/>
      </c>
      <c r="K88" s="37">
        <f>IF($T88=0,"",IF(AND(INDEX('計算（触らない）'!$F$6:$F$105,$T88)&lt;=2,INDEX('計算（触らない）'!$AB$6:$AB$105,$T88)&gt;0),INDEX('計算（触らない）'!$AB$6:$AB$105,$T88)&amp;"/12","―"))</f>
        <v/>
      </c>
      <c r="L88" s="40">
        <f>IF($T88=0,"",IF(INDEX('計算（触らない）'!$F$6:$F$105,$T88)=4,"―",INDEX('計算（触らない）'!$Z$6:$Z$105,$T88)))</f>
        <v/>
      </c>
      <c r="M88" s="37">
        <f>IF($T88=0,"","―")</f>
        <v/>
      </c>
      <c r="N88" s="40">
        <f>IF($T88=0,"",IF(INDEX('計算（触らない）'!$F$6:$F$105,$T88)=4,"―",INDEX('計算（触らない）'!$Z$6:$Z$105,$T88)))</f>
        <v/>
      </c>
      <c r="O88" s="43">
        <f>IF($T88=0,"",IF(AND(INDEX('計算（触らない）'!$F$6:$F$105,$T88)=4,INDEX('計算（触らない）'!$N$6:$N$105,$T88)=1),"―",INDEX('計算（触らない）'!$N$6:$N$105,$T88)))</f>
        <v/>
      </c>
      <c r="P88" s="40">
        <f>IF($T88=0,"",INDEX('計算（触らない）'!$AC$6:$AC$105,$T88))</f>
        <v/>
      </c>
      <c r="Q88" s="40">
        <f>IF($T88=0,"",IF(INDEX('計算（触らない）'!$F$6:$F$105,$T88)=4,"―",INDEX('計算（触らない）'!$Y$6:$Y$105,$T88)))</f>
        <v/>
      </c>
      <c r="R88" s="38">
        <f>IF($T88=0,"",TRIM(IF(INDEX('計算（触らない）'!$F$6:$F$105,$T88)=4,IF('計算（触らない）'!$B$1=1,"措法67の5","措法28の2"),"")&amp;IF(INDEX('計算（触らない）'!$AA$6:$AA$105,$T88)&gt;0,"改定償却","")&amp;IF(INDEX('計算（触らない）'!$AD$6:$AD$105,$T88)=1," "&amp;YEAR(INDEX('計算（触らない）'!$Q$6:$Q$105,$T88))&amp;"年"&amp;MONTH(INDEX('計算（触らない）'!$Q$6:$Q$105,$T88))&amp;"月"&amp;DAY(INDEX('計算（触らない）'!$Q$6:$Q$105,$T88))&amp;"日 売却・除却","")))</f>
        <v/>
      </c>
      <c r="S88" s="68" t="n"/>
      <c r="T88" s="68">
        <f>IFERROR(MATCH(82,'計算（触らない）'!$AG$6:$AG$105,0),0)</f>
        <v/>
      </c>
    </row>
    <row r="89" ht="20" customHeight="1">
      <c r="A89" s="37">
        <f>IF($T89=0,"",INDEX('計算（触らない）'!$A$6:$A$105,$T89))</f>
        <v/>
      </c>
      <c r="B89" s="38">
        <f>IF($T89=0,"",INDEX('固定資産台帳'!$B$6:$B$105,$T89)&amp;"")</f>
        <v/>
      </c>
      <c r="C89" s="37">
        <f>IF($T89=0,"",INDEX('固定資産台帳'!$D$6:$D$105,$T89)&amp;"")</f>
        <v/>
      </c>
      <c r="D89" s="39">
        <f>IF($T89=0,"",INDEX('計算（触らない）'!$D$6:$D$105,$T89))</f>
        <v/>
      </c>
      <c r="E89" s="40">
        <f>IF($T89=0,"",INDEX('計算（触らない）'!$C$6:$C$105,$T89))</f>
        <v/>
      </c>
      <c r="F89" s="41">
        <f>IF($T89=0,"",IF(INDEX('計算（触らない）'!$F$6:$F$105,$T89)=2,INDEX('計算（触らない）'!$AM$6:$AM$105,$T89),""))</f>
        <v/>
      </c>
      <c r="G89" s="40">
        <f>IF($T89=0,"",IF(INDEX('計算（触らない）'!$F$6:$F$105,$T89)=4,"―",INDEX('計算（触らない）'!$AN$6:$AN$105,$T89)))</f>
        <v/>
      </c>
      <c r="H89" s="37">
        <f>IF($T89=0,"",CHOOSE(INDEX('計算（触らない）'!$F$6:$F$105,$T89),"定額法","定率法","―","―"))</f>
        <v/>
      </c>
      <c r="I89" s="37">
        <f>IF($T89=0,"",IF(INDEX('計算（触らない）'!$F$6:$F$105,$T89)&lt;=2,INDEX('計算（触らない）'!$H$6:$H$105,$T89),"―"))</f>
        <v/>
      </c>
      <c r="J89" s="42">
        <f>IF($T89=0,"",INDEX('計算（触らない）'!$AO$6:$AO$105,$T89))</f>
        <v/>
      </c>
      <c r="K89" s="37">
        <f>IF($T89=0,"",IF(AND(INDEX('計算（触らない）'!$F$6:$F$105,$T89)&lt;=2,INDEX('計算（触らない）'!$AB$6:$AB$105,$T89)&gt;0),INDEX('計算（触らない）'!$AB$6:$AB$105,$T89)&amp;"/12","―"))</f>
        <v/>
      </c>
      <c r="L89" s="40">
        <f>IF($T89=0,"",IF(INDEX('計算（触らない）'!$F$6:$F$105,$T89)=4,"―",INDEX('計算（触らない）'!$Z$6:$Z$105,$T89)))</f>
        <v/>
      </c>
      <c r="M89" s="37">
        <f>IF($T89=0,"","―")</f>
        <v/>
      </c>
      <c r="N89" s="40">
        <f>IF($T89=0,"",IF(INDEX('計算（触らない）'!$F$6:$F$105,$T89)=4,"―",INDEX('計算（触らない）'!$Z$6:$Z$105,$T89)))</f>
        <v/>
      </c>
      <c r="O89" s="43">
        <f>IF($T89=0,"",IF(AND(INDEX('計算（触らない）'!$F$6:$F$105,$T89)=4,INDEX('計算（触らない）'!$N$6:$N$105,$T89)=1),"―",INDEX('計算（触らない）'!$N$6:$N$105,$T89)))</f>
        <v/>
      </c>
      <c r="P89" s="40">
        <f>IF($T89=0,"",INDEX('計算（触らない）'!$AC$6:$AC$105,$T89))</f>
        <v/>
      </c>
      <c r="Q89" s="40">
        <f>IF($T89=0,"",IF(INDEX('計算（触らない）'!$F$6:$F$105,$T89)=4,"―",INDEX('計算（触らない）'!$Y$6:$Y$105,$T89)))</f>
        <v/>
      </c>
      <c r="R89" s="38">
        <f>IF($T89=0,"",TRIM(IF(INDEX('計算（触らない）'!$F$6:$F$105,$T89)=4,IF('計算（触らない）'!$B$1=1,"措法67の5","措法28の2"),"")&amp;IF(INDEX('計算（触らない）'!$AA$6:$AA$105,$T89)&gt;0,"改定償却","")&amp;IF(INDEX('計算（触らない）'!$AD$6:$AD$105,$T89)=1," "&amp;YEAR(INDEX('計算（触らない）'!$Q$6:$Q$105,$T89))&amp;"年"&amp;MONTH(INDEX('計算（触らない）'!$Q$6:$Q$105,$T89))&amp;"月"&amp;DAY(INDEX('計算（触らない）'!$Q$6:$Q$105,$T89))&amp;"日 売却・除却","")))</f>
        <v/>
      </c>
      <c r="S89" s="68" t="n"/>
      <c r="T89" s="68">
        <f>IFERROR(MATCH(83,'計算（触らない）'!$AG$6:$AG$105,0),0)</f>
        <v/>
      </c>
    </row>
    <row r="90" ht="20" customHeight="1">
      <c r="A90" s="37">
        <f>IF($T90=0,"",INDEX('計算（触らない）'!$A$6:$A$105,$T90))</f>
        <v/>
      </c>
      <c r="B90" s="38">
        <f>IF($T90=0,"",INDEX('固定資産台帳'!$B$6:$B$105,$T90)&amp;"")</f>
        <v/>
      </c>
      <c r="C90" s="37">
        <f>IF($T90=0,"",INDEX('固定資産台帳'!$D$6:$D$105,$T90)&amp;"")</f>
        <v/>
      </c>
      <c r="D90" s="39">
        <f>IF($T90=0,"",INDEX('計算（触らない）'!$D$6:$D$105,$T90))</f>
        <v/>
      </c>
      <c r="E90" s="40">
        <f>IF($T90=0,"",INDEX('計算（触らない）'!$C$6:$C$105,$T90))</f>
        <v/>
      </c>
      <c r="F90" s="41">
        <f>IF($T90=0,"",IF(INDEX('計算（触らない）'!$F$6:$F$105,$T90)=2,INDEX('計算（触らない）'!$AM$6:$AM$105,$T90),""))</f>
        <v/>
      </c>
      <c r="G90" s="40">
        <f>IF($T90=0,"",IF(INDEX('計算（触らない）'!$F$6:$F$105,$T90)=4,"―",INDEX('計算（触らない）'!$AN$6:$AN$105,$T90)))</f>
        <v/>
      </c>
      <c r="H90" s="37">
        <f>IF($T90=0,"",CHOOSE(INDEX('計算（触らない）'!$F$6:$F$105,$T90),"定額法","定率法","―","―"))</f>
        <v/>
      </c>
      <c r="I90" s="37">
        <f>IF($T90=0,"",IF(INDEX('計算（触らない）'!$F$6:$F$105,$T90)&lt;=2,INDEX('計算（触らない）'!$H$6:$H$105,$T90),"―"))</f>
        <v/>
      </c>
      <c r="J90" s="42">
        <f>IF($T90=0,"",INDEX('計算（触らない）'!$AO$6:$AO$105,$T90))</f>
        <v/>
      </c>
      <c r="K90" s="37">
        <f>IF($T90=0,"",IF(AND(INDEX('計算（触らない）'!$F$6:$F$105,$T90)&lt;=2,INDEX('計算（触らない）'!$AB$6:$AB$105,$T90)&gt;0),INDEX('計算（触らない）'!$AB$6:$AB$105,$T90)&amp;"/12","―"))</f>
        <v/>
      </c>
      <c r="L90" s="40">
        <f>IF($T90=0,"",IF(INDEX('計算（触らない）'!$F$6:$F$105,$T90)=4,"―",INDEX('計算（触らない）'!$Z$6:$Z$105,$T90)))</f>
        <v/>
      </c>
      <c r="M90" s="37">
        <f>IF($T90=0,"","―")</f>
        <v/>
      </c>
      <c r="N90" s="40">
        <f>IF($T90=0,"",IF(INDEX('計算（触らない）'!$F$6:$F$105,$T90)=4,"―",INDEX('計算（触らない）'!$Z$6:$Z$105,$T90)))</f>
        <v/>
      </c>
      <c r="O90" s="43">
        <f>IF($T90=0,"",IF(AND(INDEX('計算（触らない）'!$F$6:$F$105,$T90)=4,INDEX('計算（触らない）'!$N$6:$N$105,$T90)=1),"―",INDEX('計算（触らない）'!$N$6:$N$105,$T90)))</f>
        <v/>
      </c>
      <c r="P90" s="40">
        <f>IF($T90=0,"",INDEX('計算（触らない）'!$AC$6:$AC$105,$T90))</f>
        <v/>
      </c>
      <c r="Q90" s="40">
        <f>IF($T90=0,"",IF(INDEX('計算（触らない）'!$F$6:$F$105,$T90)=4,"―",INDEX('計算（触らない）'!$Y$6:$Y$105,$T90)))</f>
        <v/>
      </c>
      <c r="R90" s="38">
        <f>IF($T90=0,"",TRIM(IF(INDEX('計算（触らない）'!$F$6:$F$105,$T90)=4,IF('計算（触らない）'!$B$1=1,"措法67の5","措法28の2"),"")&amp;IF(INDEX('計算（触らない）'!$AA$6:$AA$105,$T90)&gt;0,"改定償却","")&amp;IF(INDEX('計算（触らない）'!$AD$6:$AD$105,$T90)=1," "&amp;YEAR(INDEX('計算（触らない）'!$Q$6:$Q$105,$T90))&amp;"年"&amp;MONTH(INDEX('計算（触らない）'!$Q$6:$Q$105,$T90))&amp;"月"&amp;DAY(INDEX('計算（触らない）'!$Q$6:$Q$105,$T90))&amp;"日 売却・除却","")))</f>
        <v/>
      </c>
      <c r="S90" s="68" t="n"/>
      <c r="T90" s="68">
        <f>IFERROR(MATCH(84,'計算（触らない）'!$AG$6:$AG$105,0),0)</f>
        <v/>
      </c>
    </row>
    <row r="91" ht="20" customHeight="1">
      <c r="A91" s="37">
        <f>IF($T91=0,"",INDEX('計算（触らない）'!$A$6:$A$105,$T91))</f>
        <v/>
      </c>
      <c r="B91" s="38">
        <f>IF($T91=0,"",INDEX('固定資産台帳'!$B$6:$B$105,$T91)&amp;"")</f>
        <v/>
      </c>
      <c r="C91" s="37">
        <f>IF($T91=0,"",INDEX('固定資産台帳'!$D$6:$D$105,$T91)&amp;"")</f>
        <v/>
      </c>
      <c r="D91" s="39">
        <f>IF($T91=0,"",INDEX('計算（触らない）'!$D$6:$D$105,$T91))</f>
        <v/>
      </c>
      <c r="E91" s="40">
        <f>IF($T91=0,"",INDEX('計算（触らない）'!$C$6:$C$105,$T91))</f>
        <v/>
      </c>
      <c r="F91" s="41">
        <f>IF($T91=0,"",IF(INDEX('計算（触らない）'!$F$6:$F$105,$T91)=2,INDEX('計算（触らない）'!$AM$6:$AM$105,$T91),""))</f>
        <v/>
      </c>
      <c r="G91" s="40">
        <f>IF($T91=0,"",IF(INDEX('計算（触らない）'!$F$6:$F$105,$T91)=4,"―",INDEX('計算（触らない）'!$AN$6:$AN$105,$T91)))</f>
        <v/>
      </c>
      <c r="H91" s="37">
        <f>IF($T91=0,"",CHOOSE(INDEX('計算（触らない）'!$F$6:$F$105,$T91),"定額法","定率法","―","―"))</f>
        <v/>
      </c>
      <c r="I91" s="37">
        <f>IF($T91=0,"",IF(INDEX('計算（触らない）'!$F$6:$F$105,$T91)&lt;=2,INDEX('計算（触らない）'!$H$6:$H$105,$T91),"―"))</f>
        <v/>
      </c>
      <c r="J91" s="42">
        <f>IF($T91=0,"",INDEX('計算（触らない）'!$AO$6:$AO$105,$T91))</f>
        <v/>
      </c>
      <c r="K91" s="37">
        <f>IF($T91=0,"",IF(AND(INDEX('計算（触らない）'!$F$6:$F$105,$T91)&lt;=2,INDEX('計算（触らない）'!$AB$6:$AB$105,$T91)&gt;0),INDEX('計算（触らない）'!$AB$6:$AB$105,$T91)&amp;"/12","―"))</f>
        <v/>
      </c>
      <c r="L91" s="40">
        <f>IF($T91=0,"",IF(INDEX('計算（触らない）'!$F$6:$F$105,$T91)=4,"―",INDEX('計算（触らない）'!$Z$6:$Z$105,$T91)))</f>
        <v/>
      </c>
      <c r="M91" s="37">
        <f>IF($T91=0,"","―")</f>
        <v/>
      </c>
      <c r="N91" s="40">
        <f>IF($T91=0,"",IF(INDEX('計算（触らない）'!$F$6:$F$105,$T91)=4,"―",INDEX('計算（触らない）'!$Z$6:$Z$105,$T91)))</f>
        <v/>
      </c>
      <c r="O91" s="43">
        <f>IF($T91=0,"",IF(AND(INDEX('計算（触らない）'!$F$6:$F$105,$T91)=4,INDEX('計算（触らない）'!$N$6:$N$105,$T91)=1),"―",INDEX('計算（触らない）'!$N$6:$N$105,$T91)))</f>
        <v/>
      </c>
      <c r="P91" s="40">
        <f>IF($T91=0,"",INDEX('計算（触らない）'!$AC$6:$AC$105,$T91))</f>
        <v/>
      </c>
      <c r="Q91" s="40">
        <f>IF($T91=0,"",IF(INDEX('計算（触らない）'!$F$6:$F$105,$T91)=4,"―",INDEX('計算（触らない）'!$Y$6:$Y$105,$T91)))</f>
        <v/>
      </c>
      <c r="R91" s="38">
        <f>IF($T91=0,"",TRIM(IF(INDEX('計算（触らない）'!$F$6:$F$105,$T91)=4,IF('計算（触らない）'!$B$1=1,"措法67の5","措法28の2"),"")&amp;IF(INDEX('計算（触らない）'!$AA$6:$AA$105,$T91)&gt;0,"改定償却","")&amp;IF(INDEX('計算（触らない）'!$AD$6:$AD$105,$T91)=1," "&amp;YEAR(INDEX('計算（触らない）'!$Q$6:$Q$105,$T91))&amp;"年"&amp;MONTH(INDEX('計算（触らない）'!$Q$6:$Q$105,$T91))&amp;"月"&amp;DAY(INDEX('計算（触らない）'!$Q$6:$Q$105,$T91))&amp;"日 売却・除却","")))</f>
        <v/>
      </c>
      <c r="S91" s="68" t="n"/>
      <c r="T91" s="68">
        <f>IFERROR(MATCH(85,'計算（触らない）'!$AG$6:$AG$105,0),0)</f>
        <v/>
      </c>
    </row>
    <row r="92" ht="20" customHeight="1">
      <c r="A92" s="37">
        <f>IF($T92=0,"",INDEX('計算（触らない）'!$A$6:$A$105,$T92))</f>
        <v/>
      </c>
      <c r="B92" s="38">
        <f>IF($T92=0,"",INDEX('固定資産台帳'!$B$6:$B$105,$T92)&amp;"")</f>
        <v/>
      </c>
      <c r="C92" s="37">
        <f>IF($T92=0,"",INDEX('固定資産台帳'!$D$6:$D$105,$T92)&amp;"")</f>
        <v/>
      </c>
      <c r="D92" s="39">
        <f>IF($T92=0,"",INDEX('計算（触らない）'!$D$6:$D$105,$T92))</f>
        <v/>
      </c>
      <c r="E92" s="40">
        <f>IF($T92=0,"",INDEX('計算（触らない）'!$C$6:$C$105,$T92))</f>
        <v/>
      </c>
      <c r="F92" s="41">
        <f>IF($T92=0,"",IF(INDEX('計算（触らない）'!$F$6:$F$105,$T92)=2,INDEX('計算（触らない）'!$AM$6:$AM$105,$T92),""))</f>
        <v/>
      </c>
      <c r="G92" s="40">
        <f>IF($T92=0,"",IF(INDEX('計算（触らない）'!$F$6:$F$105,$T92)=4,"―",INDEX('計算（触らない）'!$AN$6:$AN$105,$T92)))</f>
        <v/>
      </c>
      <c r="H92" s="37">
        <f>IF($T92=0,"",CHOOSE(INDEX('計算（触らない）'!$F$6:$F$105,$T92),"定額法","定率法","―","―"))</f>
        <v/>
      </c>
      <c r="I92" s="37">
        <f>IF($T92=0,"",IF(INDEX('計算（触らない）'!$F$6:$F$105,$T92)&lt;=2,INDEX('計算（触らない）'!$H$6:$H$105,$T92),"―"))</f>
        <v/>
      </c>
      <c r="J92" s="42">
        <f>IF($T92=0,"",INDEX('計算（触らない）'!$AO$6:$AO$105,$T92))</f>
        <v/>
      </c>
      <c r="K92" s="37">
        <f>IF($T92=0,"",IF(AND(INDEX('計算（触らない）'!$F$6:$F$105,$T92)&lt;=2,INDEX('計算（触らない）'!$AB$6:$AB$105,$T92)&gt;0),INDEX('計算（触らない）'!$AB$6:$AB$105,$T92)&amp;"/12","―"))</f>
        <v/>
      </c>
      <c r="L92" s="40">
        <f>IF($T92=0,"",IF(INDEX('計算（触らない）'!$F$6:$F$105,$T92)=4,"―",INDEX('計算（触らない）'!$Z$6:$Z$105,$T92)))</f>
        <v/>
      </c>
      <c r="M92" s="37">
        <f>IF($T92=0,"","―")</f>
        <v/>
      </c>
      <c r="N92" s="40">
        <f>IF($T92=0,"",IF(INDEX('計算（触らない）'!$F$6:$F$105,$T92)=4,"―",INDEX('計算（触らない）'!$Z$6:$Z$105,$T92)))</f>
        <v/>
      </c>
      <c r="O92" s="43">
        <f>IF($T92=0,"",IF(AND(INDEX('計算（触らない）'!$F$6:$F$105,$T92)=4,INDEX('計算（触らない）'!$N$6:$N$105,$T92)=1),"―",INDEX('計算（触らない）'!$N$6:$N$105,$T92)))</f>
        <v/>
      </c>
      <c r="P92" s="40">
        <f>IF($T92=0,"",INDEX('計算（触らない）'!$AC$6:$AC$105,$T92))</f>
        <v/>
      </c>
      <c r="Q92" s="40">
        <f>IF($T92=0,"",IF(INDEX('計算（触らない）'!$F$6:$F$105,$T92)=4,"―",INDEX('計算（触らない）'!$Y$6:$Y$105,$T92)))</f>
        <v/>
      </c>
      <c r="R92" s="38">
        <f>IF($T92=0,"",TRIM(IF(INDEX('計算（触らない）'!$F$6:$F$105,$T92)=4,IF('計算（触らない）'!$B$1=1,"措法67の5","措法28の2"),"")&amp;IF(INDEX('計算（触らない）'!$AA$6:$AA$105,$T92)&gt;0,"改定償却","")&amp;IF(INDEX('計算（触らない）'!$AD$6:$AD$105,$T92)=1," "&amp;YEAR(INDEX('計算（触らない）'!$Q$6:$Q$105,$T92))&amp;"年"&amp;MONTH(INDEX('計算（触らない）'!$Q$6:$Q$105,$T92))&amp;"月"&amp;DAY(INDEX('計算（触らない）'!$Q$6:$Q$105,$T92))&amp;"日 売却・除却","")))</f>
        <v/>
      </c>
      <c r="S92" s="68" t="n"/>
      <c r="T92" s="68">
        <f>IFERROR(MATCH(86,'計算（触らない）'!$AG$6:$AG$105,0),0)</f>
        <v/>
      </c>
    </row>
    <row r="93" ht="20" customHeight="1">
      <c r="A93" s="37">
        <f>IF($T93=0,"",INDEX('計算（触らない）'!$A$6:$A$105,$T93))</f>
        <v/>
      </c>
      <c r="B93" s="38">
        <f>IF($T93=0,"",INDEX('固定資産台帳'!$B$6:$B$105,$T93)&amp;"")</f>
        <v/>
      </c>
      <c r="C93" s="37">
        <f>IF($T93=0,"",INDEX('固定資産台帳'!$D$6:$D$105,$T93)&amp;"")</f>
        <v/>
      </c>
      <c r="D93" s="39">
        <f>IF($T93=0,"",INDEX('計算（触らない）'!$D$6:$D$105,$T93))</f>
        <v/>
      </c>
      <c r="E93" s="40">
        <f>IF($T93=0,"",INDEX('計算（触らない）'!$C$6:$C$105,$T93))</f>
        <v/>
      </c>
      <c r="F93" s="41">
        <f>IF($T93=0,"",IF(INDEX('計算（触らない）'!$F$6:$F$105,$T93)=2,INDEX('計算（触らない）'!$AM$6:$AM$105,$T93),""))</f>
        <v/>
      </c>
      <c r="G93" s="40">
        <f>IF($T93=0,"",IF(INDEX('計算（触らない）'!$F$6:$F$105,$T93)=4,"―",INDEX('計算（触らない）'!$AN$6:$AN$105,$T93)))</f>
        <v/>
      </c>
      <c r="H93" s="37">
        <f>IF($T93=0,"",CHOOSE(INDEX('計算（触らない）'!$F$6:$F$105,$T93),"定額法","定率法","―","―"))</f>
        <v/>
      </c>
      <c r="I93" s="37">
        <f>IF($T93=0,"",IF(INDEX('計算（触らない）'!$F$6:$F$105,$T93)&lt;=2,INDEX('計算（触らない）'!$H$6:$H$105,$T93),"―"))</f>
        <v/>
      </c>
      <c r="J93" s="42">
        <f>IF($T93=0,"",INDEX('計算（触らない）'!$AO$6:$AO$105,$T93))</f>
        <v/>
      </c>
      <c r="K93" s="37">
        <f>IF($T93=0,"",IF(AND(INDEX('計算（触らない）'!$F$6:$F$105,$T93)&lt;=2,INDEX('計算（触らない）'!$AB$6:$AB$105,$T93)&gt;0),INDEX('計算（触らない）'!$AB$6:$AB$105,$T93)&amp;"/12","―"))</f>
        <v/>
      </c>
      <c r="L93" s="40">
        <f>IF($T93=0,"",IF(INDEX('計算（触らない）'!$F$6:$F$105,$T93)=4,"―",INDEX('計算（触らない）'!$Z$6:$Z$105,$T93)))</f>
        <v/>
      </c>
      <c r="M93" s="37">
        <f>IF($T93=0,"","―")</f>
        <v/>
      </c>
      <c r="N93" s="40">
        <f>IF($T93=0,"",IF(INDEX('計算（触らない）'!$F$6:$F$105,$T93)=4,"―",INDEX('計算（触らない）'!$Z$6:$Z$105,$T93)))</f>
        <v/>
      </c>
      <c r="O93" s="43">
        <f>IF($T93=0,"",IF(AND(INDEX('計算（触らない）'!$F$6:$F$105,$T93)=4,INDEX('計算（触らない）'!$N$6:$N$105,$T93)=1),"―",INDEX('計算（触らない）'!$N$6:$N$105,$T93)))</f>
        <v/>
      </c>
      <c r="P93" s="40">
        <f>IF($T93=0,"",INDEX('計算（触らない）'!$AC$6:$AC$105,$T93))</f>
        <v/>
      </c>
      <c r="Q93" s="40">
        <f>IF($T93=0,"",IF(INDEX('計算（触らない）'!$F$6:$F$105,$T93)=4,"―",INDEX('計算（触らない）'!$Y$6:$Y$105,$T93)))</f>
        <v/>
      </c>
      <c r="R93" s="38">
        <f>IF($T93=0,"",TRIM(IF(INDEX('計算（触らない）'!$F$6:$F$105,$T93)=4,IF('計算（触らない）'!$B$1=1,"措法67の5","措法28の2"),"")&amp;IF(INDEX('計算（触らない）'!$AA$6:$AA$105,$T93)&gt;0,"改定償却","")&amp;IF(INDEX('計算（触らない）'!$AD$6:$AD$105,$T93)=1," "&amp;YEAR(INDEX('計算（触らない）'!$Q$6:$Q$105,$T93))&amp;"年"&amp;MONTH(INDEX('計算（触らない）'!$Q$6:$Q$105,$T93))&amp;"月"&amp;DAY(INDEX('計算（触らない）'!$Q$6:$Q$105,$T93))&amp;"日 売却・除却","")))</f>
        <v/>
      </c>
      <c r="S93" s="68" t="n"/>
      <c r="T93" s="68">
        <f>IFERROR(MATCH(87,'計算（触らない）'!$AG$6:$AG$105,0),0)</f>
        <v/>
      </c>
    </row>
    <row r="94" ht="20" customHeight="1">
      <c r="A94" s="37">
        <f>IF($T94=0,"",INDEX('計算（触らない）'!$A$6:$A$105,$T94))</f>
        <v/>
      </c>
      <c r="B94" s="38">
        <f>IF($T94=0,"",INDEX('固定資産台帳'!$B$6:$B$105,$T94)&amp;"")</f>
        <v/>
      </c>
      <c r="C94" s="37">
        <f>IF($T94=0,"",INDEX('固定資産台帳'!$D$6:$D$105,$T94)&amp;"")</f>
        <v/>
      </c>
      <c r="D94" s="39">
        <f>IF($T94=0,"",INDEX('計算（触らない）'!$D$6:$D$105,$T94))</f>
        <v/>
      </c>
      <c r="E94" s="40">
        <f>IF($T94=0,"",INDEX('計算（触らない）'!$C$6:$C$105,$T94))</f>
        <v/>
      </c>
      <c r="F94" s="41">
        <f>IF($T94=0,"",IF(INDEX('計算（触らない）'!$F$6:$F$105,$T94)=2,INDEX('計算（触らない）'!$AM$6:$AM$105,$T94),""))</f>
        <v/>
      </c>
      <c r="G94" s="40">
        <f>IF($T94=0,"",IF(INDEX('計算（触らない）'!$F$6:$F$105,$T94)=4,"―",INDEX('計算（触らない）'!$AN$6:$AN$105,$T94)))</f>
        <v/>
      </c>
      <c r="H94" s="37">
        <f>IF($T94=0,"",CHOOSE(INDEX('計算（触らない）'!$F$6:$F$105,$T94),"定額法","定率法","―","―"))</f>
        <v/>
      </c>
      <c r="I94" s="37">
        <f>IF($T94=0,"",IF(INDEX('計算（触らない）'!$F$6:$F$105,$T94)&lt;=2,INDEX('計算（触らない）'!$H$6:$H$105,$T94),"―"))</f>
        <v/>
      </c>
      <c r="J94" s="42">
        <f>IF($T94=0,"",INDEX('計算（触らない）'!$AO$6:$AO$105,$T94))</f>
        <v/>
      </c>
      <c r="K94" s="37">
        <f>IF($T94=0,"",IF(AND(INDEX('計算（触らない）'!$F$6:$F$105,$T94)&lt;=2,INDEX('計算（触らない）'!$AB$6:$AB$105,$T94)&gt;0),INDEX('計算（触らない）'!$AB$6:$AB$105,$T94)&amp;"/12","―"))</f>
        <v/>
      </c>
      <c r="L94" s="40">
        <f>IF($T94=0,"",IF(INDEX('計算（触らない）'!$F$6:$F$105,$T94)=4,"―",INDEX('計算（触らない）'!$Z$6:$Z$105,$T94)))</f>
        <v/>
      </c>
      <c r="M94" s="37">
        <f>IF($T94=0,"","―")</f>
        <v/>
      </c>
      <c r="N94" s="40">
        <f>IF($T94=0,"",IF(INDEX('計算（触らない）'!$F$6:$F$105,$T94)=4,"―",INDEX('計算（触らない）'!$Z$6:$Z$105,$T94)))</f>
        <v/>
      </c>
      <c r="O94" s="43">
        <f>IF($T94=0,"",IF(AND(INDEX('計算（触らない）'!$F$6:$F$105,$T94)=4,INDEX('計算（触らない）'!$N$6:$N$105,$T94)=1),"―",INDEX('計算（触らない）'!$N$6:$N$105,$T94)))</f>
        <v/>
      </c>
      <c r="P94" s="40">
        <f>IF($T94=0,"",INDEX('計算（触らない）'!$AC$6:$AC$105,$T94))</f>
        <v/>
      </c>
      <c r="Q94" s="40">
        <f>IF($T94=0,"",IF(INDEX('計算（触らない）'!$F$6:$F$105,$T94)=4,"―",INDEX('計算（触らない）'!$Y$6:$Y$105,$T94)))</f>
        <v/>
      </c>
      <c r="R94" s="38">
        <f>IF($T94=0,"",TRIM(IF(INDEX('計算（触らない）'!$F$6:$F$105,$T94)=4,IF('計算（触らない）'!$B$1=1,"措法67の5","措法28の2"),"")&amp;IF(INDEX('計算（触らない）'!$AA$6:$AA$105,$T94)&gt;0,"改定償却","")&amp;IF(INDEX('計算（触らない）'!$AD$6:$AD$105,$T94)=1," "&amp;YEAR(INDEX('計算（触らない）'!$Q$6:$Q$105,$T94))&amp;"年"&amp;MONTH(INDEX('計算（触らない）'!$Q$6:$Q$105,$T94))&amp;"月"&amp;DAY(INDEX('計算（触らない）'!$Q$6:$Q$105,$T94))&amp;"日 売却・除却","")))</f>
        <v/>
      </c>
      <c r="S94" s="68" t="n"/>
      <c r="T94" s="68">
        <f>IFERROR(MATCH(88,'計算（触らない）'!$AG$6:$AG$105,0),0)</f>
        <v/>
      </c>
    </row>
    <row r="95" ht="20" customHeight="1">
      <c r="A95" s="37">
        <f>IF($T95=0,"",INDEX('計算（触らない）'!$A$6:$A$105,$T95))</f>
        <v/>
      </c>
      <c r="B95" s="38">
        <f>IF($T95=0,"",INDEX('固定資産台帳'!$B$6:$B$105,$T95)&amp;"")</f>
        <v/>
      </c>
      <c r="C95" s="37">
        <f>IF($T95=0,"",INDEX('固定資産台帳'!$D$6:$D$105,$T95)&amp;"")</f>
        <v/>
      </c>
      <c r="D95" s="39">
        <f>IF($T95=0,"",INDEX('計算（触らない）'!$D$6:$D$105,$T95))</f>
        <v/>
      </c>
      <c r="E95" s="40">
        <f>IF($T95=0,"",INDEX('計算（触らない）'!$C$6:$C$105,$T95))</f>
        <v/>
      </c>
      <c r="F95" s="41">
        <f>IF($T95=0,"",IF(INDEX('計算（触らない）'!$F$6:$F$105,$T95)=2,INDEX('計算（触らない）'!$AM$6:$AM$105,$T95),""))</f>
        <v/>
      </c>
      <c r="G95" s="40">
        <f>IF($T95=0,"",IF(INDEX('計算（触らない）'!$F$6:$F$105,$T95)=4,"―",INDEX('計算（触らない）'!$AN$6:$AN$105,$T95)))</f>
        <v/>
      </c>
      <c r="H95" s="37">
        <f>IF($T95=0,"",CHOOSE(INDEX('計算（触らない）'!$F$6:$F$105,$T95),"定額法","定率法","―","―"))</f>
        <v/>
      </c>
      <c r="I95" s="37">
        <f>IF($T95=0,"",IF(INDEX('計算（触らない）'!$F$6:$F$105,$T95)&lt;=2,INDEX('計算（触らない）'!$H$6:$H$105,$T95),"―"))</f>
        <v/>
      </c>
      <c r="J95" s="42">
        <f>IF($T95=0,"",INDEX('計算（触らない）'!$AO$6:$AO$105,$T95))</f>
        <v/>
      </c>
      <c r="K95" s="37">
        <f>IF($T95=0,"",IF(AND(INDEX('計算（触らない）'!$F$6:$F$105,$T95)&lt;=2,INDEX('計算（触らない）'!$AB$6:$AB$105,$T95)&gt;0),INDEX('計算（触らない）'!$AB$6:$AB$105,$T95)&amp;"/12","―"))</f>
        <v/>
      </c>
      <c r="L95" s="40">
        <f>IF($T95=0,"",IF(INDEX('計算（触らない）'!$F$6:$F$105,$T95)=4,"―",INDEX('計算（触らない）'!$Z$6:$Z$105,$T95)))</f>
        <v/>
      </c>
      <c r="M95" s="37">
        <f>IF($T95=0,"","―")</f>
        <v/>
      </c>
      <c r="N95" s="40">
        <f>IF($T95=0,"",IF(INDEX('計算（触らない）'!$F$6:$F$105,$T95)=4,"―",INDEX('計算（触らない）'!$Z$6:$Z$105,$T95)))</f>
        <v/>
      </c>
      <c r="O95" s="43">
        <f>IF($T95=0,"",IF(AND(INDEX('計算（触らない）'!$F$6:$F$105,$T95)=4,INDEX('計算（触らない）'!$N$6:$N$105,$T95)=1),"―",INDEX('計算（触らない）'!$N$6:$N$105,$T95)))</f>
        <v/>
      </c>
      <c r="P95" s="40">
        <f>IF($T95=0,"",INDEX('計算（触らない）'!$AC$6:$AC$105,$T95))</f>
        <v/>
      </c>
      <c r="Q95" s="40">
        <f>IF($T95=0,"",IF(INDEX('計算（触らない）'!$F$6:$F$105,$T95)=4,"―",INDEX('計算（触らない）'!$Y$6:$Y$105,$T95)))</f>
        <v/>
      </c>
      <c r="R95" s="38">
        <f>IF($T95=0,"",TRIM(IF(INDEX('計算（触らない）'!$F$6:$F$105,$T95)=4,IF('計算（触らない）'!$B$1=1,"措法67の5","措法28の2"),"")&amp;IF(INDEX('計算（触らない）'!$AA$6:$AA$105,$T95)&gt;0,"改定償却","")&amp;IF(INDEX('計算（触らない）'!$AD$6:$AD$105,$T95)=1," "&amp;YEAR(INDEX('計算（触らない）'!$Q$6:$Q$105,$T95))&amp;"年"&amp;MONTH(INDEX('計算（触らない）'!$Q$6:$Q$105,$T95))&amp;"月"&amp;DAY(INDEX('計算（触らない）'!$Q$6:$Q$105,$T95))&amp;"日 売却・除却","")))</f>
        <v/>
      </c>
      <c r="S95" s="68" t="n"/>
      <c r="T95" s="68">
        <f>IFERROR(MATCH(89,'計算（触らない）'!$AG$6:$AG$105,0),0)</f>
        <v/>
      </c>
    </row>
    <row r="96" ht="20" customHeight="1">
      <c r="A96" s="37">
        <f>IF($T96=0,"",INDEX('計算（触らない）'!$A$6:$A$105,$T96))</f>
        <v/>
      </c>
      <c r="B96" s="38">
        <f>IF($T96=0,"",INDEX('固定資産台帳'!$B$6:$B$105,$T96)&amp;"")</f>
        <v/>
      </c>
      <c r="C96" s="37">
        <f>IF($T96=0,"",INDEX('固定資産台帳'!$D$6:$D$105,$T96)&amp;"")</f>
        <v/>
      </c>
      <c r="D96" s="39">
        <f>IF($T96=0,"",INDEX('計算（触らない）'!$D$6:$D$105,$T96))</f>
        <v/>
      </c>
      <c r="E96" s="40">
        <f>IF($T96=0,"",INDEX('計算（触らない）'!$C$6:$C$105,$T96))</f>
        <v/>
      </c>
      <c r="F96" s="41">
        <f>IF($T96=0,"",IF(INDEX('計算（触らない）'!$F$6:$F$105,$T96)=2,INDEX('計算（触らない）'!$AM$6:$AM$105,$T96),""))</f>
        <v/>
      </c>
      <c r="G96" s="40">
        <f>IF($T96=0,"",IF(INDEX('計算（触らない）'!$F$6:$F$105,$T96)=4,"―",INDEX('計算（触らない）'!$AN$6:$AN$105,$T96)))</f>
        <v/>
      </c>
      <c r="H96" s="37">
        <f>IF($T96=0,"",CHOOSE(INDEX('計算（触らない）'!$F$6:$F$105,$T96),"定額法","定率法","―","―"))</f>
        <v/>
      </c>
      <c r="I96" s="37">
        <f>IF($T96=0,"",IF(INDEX('計算（触らない）'!$F$6:$F$105,$T96)&lt;=2,INDEX('計算（触らない）'!$H$6:$H$105,$T96),"―"))</f>
        <v/>
      </c>
      <c r="J96" s="42">
        <f>IF($T96=0,"",INDEX('計算（触らない）'!$AO$6:$AO$105,$T96))</f>
        <v/>
      </c>
      <c r="K96" s="37">
        <f>IF($T96=0,"",IF(AND(INDEX('計算（触らない）'!$F$6:$F$105,$T96)&lt;=2,INDEX('計算（触らない）'!$AB$6:$AB$105,$T96)&gt;0),INDEX('計算（触らない）'!$AB$6:$AB$105,$T96)&amp;"/12","―"))</f>
        <v/>
      </c>
      <c r="L96" s="40">
        <f>IF($T96=0,"",IF(INDEX('計算（触らない）'!$F$6:$F$105,$T96)=4,"―",INDEX('計算（触らない）'!$Z$6:$Z$105,$T96)))</f>
        <v/>
      </c>
      <c r="M96" s="37">
        <f>IF($T96=0,"","―")</f>
        <v/>
      </c>
      <c r="N96" s="40">
        <f>IF($T96=0,"",IF(INDEX('計算（触らない）'!$F$6:$F$105,$T96)=4,"―",INDEX('計算（触らない）'!$Z$6:$Z$105,$T96)))</f>
        <v/>
      </c>
      <c r="O96" s="43">
        <f>IF($T96=0,"",IF(AND(INDEX('計算（触らない）'!$F$6:$F$105,$T96)=4,INDEX('計算（触らない）'!$N$6:$N$105,$T96)=1),"―",INDEX('計算（触らない）'!$N$6:$N$105,$T96)))</f>
        <v/>
      </c>
      <c r="P96" s="40">
        <f>IF($T96=0,"",INDEX('計算（触らない）'!$AC$6:$AC$105,$T96))</f>
        <v/>
      </c>
      <c r="Q96" s="40">
        <f>IF($T96=0,"",IF(INDEX('計算（触らない）'!$F$6:$F$105,$T96)=4,"―",INDEX('計算（触らない）'!$Y$6:$Y$105,$T96)))</f>
        <v/>
      </c>
      <c r="R96" s="38">
        <f>IF($T96=0,"",TRIM(IF(INDEX('計算（触らない）'!$F$6:$F$105,$T96)=4,IF('計算（触らない）'!$B$1=1,"措法67の5","措法28の2"),"")&amp;IF(INDEX('計算（触らない）'!$AA$6:$AA$105,$T96)&gt;0,"改定償却","")&amp;IF(INDEX('計算（触らない）'!$AD$6:$AD$105,$T96)=1," "&amp;YEAR(INDEX('計算（触らない）'!$Q$6:$Q$105,$T96))&amp;"年"&amp;MONTH(INDEX('計算（触らない）'!$Q$6:$Q$105,$T96))&amp;"月"&amp;DAY(INDEX('計算（触らない）'!$Q$6:$Q$105,$T96))&amp;"日 売却・除却","")))</f>
        <v/>
      </c>
      <c r="S96" s="68" t="n"/>
      <c r="T96" s="68">
        <f>IFERROR(MATCH(90,'計算（触らない）'!$AG$6:$AG$105,0),0)</f>
        <v/>
      </c>
    </row>
    <row r="97" ht="20" customHeight="1">
      <c r="A97" s="37">
        <f>IF($T97=0,"",INDEX('計算（触らない）'!$A$6:$A$105,$T97))</f>
        <v/>
      </c>
      <c r="B97" s="38">
        <f>IF($T97=0,"",INDEX('固定資産台帳'!$B$6:$B$105,$T97)&amp;"")</f>
        <v/>
      </c>
      <c r="C97" s="37">
        <f>IF($T97=0,"",INDEX('固定資産台帳'!$D$6:$D$105,$T97)&amp;"")</f>
        <v/>
      </c>
      <c r="D97" s="39">
        <f>IF($T97=0,"",INDEX('計算（触らない）'!$D$6:$D$105,$T97))</f>
        <v/>
      </c>
      <c r="E97" s="40">
        <f>IF($T97=0,"",INDEX('計算（触らない）'!$C$6:$C$105,$T97))</f>
        <v/>
      </c>
      <c r="F97" s="41">
        <f>IF($T97=0,"",IF(INDEX('計算（触らない）'!$F$6:$F$105,$T97)=2,INDEX('計算（触らない）'!$AM$6:$AM$105,$T97),""))</f>
        <v/>
      </c>
      <c r="G97" s="40">
        <f>IF($T97=0,"",IF(INDEX('計算（触らない）'!$F$6:$F$105,$T97)=4,"―",INDEX('計算（触らない）'!$AN$6:$AN$105,$T97)))</f>
        <v/>
      </c>
      <c r="H97" s="37">
        <f>IF($T97=0,"",CHOOSE(INDEX('計算（触らない）'!$F$6:$F$105,$T97),"定額法","定率法","―","―"))</f>
        <v/>
      </c>
      <c r="I97" s="37">
        <f>IF($T97=0,"",IF(INDEX('計算（触らない）'!$F$6:$F$105,$T97)&lt;=2,INDEX('計算（触らない）'!$H$6:$H$105,$T97),"―"))</f>
        <v/>
      </c>
      <c r="J97" s="42">
        <f>IF($T97=0,"",INDEX('計算（触らない）'!$AO$6:$AO$105,$T97))</f>
        <v/>
      </c>
      <c r="K97" s="37">
        <f>IF($T97=0,"",IF(AND(INDEX('計算（触らない）'!$F$6:$F$105,$T97)&lt;=2,INDEX('計算（触らない）'!$AB$6:$AB$105,$T97)&gt;0),INDEX('計算（触らない）'!$AB$6:$AB$105,$T97)&amp;"/12","―"))</f>
        <v/>
      </c>
      <c r="L97" s="40">
        <f>IF($T97=0,"",IF(INDEX('計算（触らない）'!$F$6:$F$105,$T97)=4,"―",INDEX('計算（触らない）'!$Z$6:$Z$105,$T97)))</f>
        <v/>
      </c>
      <c r="M97" s="37">
        <f>IF($T97=0,"","―")</f>
        <v/>
      </c>
      <c r="N97" s="40">
        <f>IF($T97=0,"",IF(INDEX('計算（触らない）'!$F$6:$F$105,$T97)=4,"―",INDEX('計算（触らない）'!$Z$6:$Z$105,$T97)))</f>
        <v/>
      </c>
      <c r="O97" s="43">
        <f>IF($T97=0,"",IF(AND(INDEX('計算（触らない）'!$F$6:$F$105,$T97)=4,INDEX('計算（触らない）'!$N$6:$N$105,$T97)=1),"―",INDEX('計算（触らない）'!$N$6:$N$105,$T97)))</f>
        <v/>
      </c>
      <c r="P97" s="40">
        <f>IF($T97=0,"",INDEX('計算（触らない）'!$AC$6:$AC$105,$T97))</f>
        <v/>
      </c>
      <c r="Q97" s="40">
        <f>IF($T97=0,"",IF(INDEX('計算（触らない）'!$F$6:$F$105,$T97)=4,"―",INDEX('計算（触らない）'!$Y$6:$Y$105,$T97)))</f>
        <v/>
      </c>
      <c r="R97" s="38">
        <f>IF($T97=0,"",TRIM(IF(INDEX('計算（触らない）'!$F$6:$F$105,$T97)=4,IF('計算（触らない）'!$B$1=1,"措法67の5","措法28の2"),"")&amp;IF(INDEX('計算（触らない）'!$AA$6:$AA$105,$T97)&gt;0,"改定償却","")&amp;IF(INDEX('計算（触らない）'!$AD$6:$AD$105,$T97)=1," "&amp;YEAR(INDEX('計算（触らない）'!$Q$6:$Q$105,$T97))&amp;"年"&amp;MONTH(INDEX('計算（触らない）'!$Q$6:$Q$105,$T97))&amp;"月"&amp;DAY(INDEX('計算（触らない）'!$Q$6:$Q$105,$T97))&amp;"日 売却・除却","")))</f>
        <v/>
      </c>
      <c r="S97" s="68" t="n"/>
      <c r="T97" s="68">
        <f>IFERROR(MATCH(91,'計算（触らない）'!$AG$6:$AG$105,0),0)</f>
        <v/>
      </c>
    </row>
    <row r="98" ht="20" customHeight="1">
      <c r="A98" s="37">
        <f>IF($T98=0,"",INDEX('計算（触らない）'!$A$6:$A$105,$T98))</f>
        <v/>
      </c>
      <c r="B98" s="38">
        <f>IF($T98=0,"",INDEX('固定資産台帳'!$B$6:$B$105,$T98)&amp;"")</f>
        <v/>
      </c>
      <c r="C98" s="37">
        <f>IF($T98=0,"",INDEX('固定資産台帳'!$D$6:$D$105,$T98)&amp;"")</f>
        <v/>
      </c>
      <c r="D98" s="39">
        <f>IF($T98=0,"",INDEX('計算（触らない）'!$D$6:$D$105,$T98))</f>
        <v/>
      </c>
      <c r="E98" s="40">
        <f>IF($T98=0,"",INDEX('計算（触らない）'!$C$6:$C$105,$T98))</f>
        <v/>
      </c>
      <c r="F98" s="41">
        <f>IF($T98=0,"",IF(INDEX('計算（触らない）'!$F$6:$F$105,$T98)=2,INDEX('計算（触らない）'!$AM$6:$AM$105,$T98),""))</f>
        <v/>
      </c>
      <c r="G98" s="40">
        <f>IF($T98=0,"",IF(INDEX('計算（触らない）'!$F$6:$F$105,$T98)=4,"―",INDEX('計算（触らない）'!$AN$6:$AN$105,$T98)))</f>
        <v/>
      </c>
      <c r="H98" s="37">
        <f>IF($T98=0,"",CHOOSE(INDEX('計算（触らない）'!$F$6:$F$105,$T98),"定額法","定率法","―","―"))</f>
        <v/>
      </c>
      <c r="I98" s="37">
        <f>IF($T98=0,"",IF(INDEX('計算（触らない）'!$F$6:$F$105,$T98)&lt;=2,INDEX('計算（触らない）'!$H$6:$H$105,$T98),"―"))</f>
        <v/>
      </c>
      <c r="J98" s="42">
        <f>IF($T98=0,"",INDEX('計算（触らない）'!$AO$6:$AO$105,$T98))</f>
        <v/>
      </c>
      <c r="K98" s="37">
        <f>IF($T98=0,"",IF(AND(INDEX('計算（触らない）'!$F$6:$F$105,$T98)&lt;=2,INDEX('計算（触らない）'!$AB$6:$AB$105,$T98)&gt;0),INDEX('計算（触らない）'!$AB$6:$AB$105,$T98)&amp;"/12","―"))</f>
        <v/>
      </c>
      <c r="L98" s="40">
        <f>IF($T98=0,"",IF(INDEX('計算（触らない）'!$F$6:$F$105,$T98)=4,"―",INDEX('計算（触らない）'!$Z$6:$Z$105,$T98)))</f>
        <v/>
      </c>
      <c r="M98" s="37">
        <f>IF($T98=0,"","―")</f>
        <v/>
      </c>
      <c r="N98" s="40">
        <f>IF($T98=0,"",IF(INDEX('計算（触らない）'!$F$6:$F$105,$T98)=4,"―",INDEX('計算（触らない）'!$Z$6:$Z$105,$T98)))</f>
        <v/>
      </c>
      <c r="O98" s="43">
        <f>IF($T98=0,"",IF(AND(INDEX('計算（触らない）'!$F$6:$F$105,$T98)=4,INDEX('計算（触らない）'!$N$6:$N$105,$T98)=1),"―",INDEX('計算（触らない）'!$N$6:$N$105,$T98)))</f>
        <v/>
      </c>
      <c r="P98" s="40">
        <f>IF($T98=0,"",INDEX('計算（触らない）'!$AC$6:$AC$105,$T98))</f>
        <v/>
      </c>
      <c r="Q98" s="40">
        <f>IF($T98=0,"",IF(INDEX('計算（触らない）'!$F$6:$F$105,$T98)=4,"―",INDEX('計算（触らない）'!$Y$6:$Y$105,$T98)))</f>
        <v/>
      </c>
      <c r="R98" s="38">
        <f>IF($T98=0,"",TRIM(IF(INDEX('計算（触らない）'!$F$6:$F$105,$T98)=4,IF('計算（触らない）'!$B$1=1,"措法67の5","措法28の2"),"")&amp;IF(INDEX('計算（触らない）'!$AA$6:$AA$105,$T98)&gt;0,"改定償却","")&amp;IF(INDEX('計算（触らない）'!$AD$6:$AD$105,$T98)=1," "&amp;YEAR(INDEX('計算（触らない）'!$Q$6:$Q$105,$T98))&amp;"年"&amp;MONTH(INDEX('計算（触らない）'!$Q$6:$Q$105,$T98))&amp;"月"&amp;DAY(INDEX('計算（触らない）'!$Q$6:$Q$105,$T98))&amp;"日 売却・除却","")))</f>
        <v/>
      </c>
      <c r="S98" s="68" t="n"/>
      <c r="T98" s="68">
        <f>IFERROR(MATCH(92,'計算（触らない）'!$AG$6:$AG$105,0),0)</f>
        <v/>
      </c>
    </row>
    <row r="99" ht="20" customHeight="1">
      <c r="A99" s="37">
        <f>IF($T99=0,"",INDEX('計算（触らない）'!$A$6:$A$105,$T99))</f>
        <v/>
      </c>
      <c r="B99" s="38">
        <f>IF($T99=0,"",INDEX('固定資産台帳'!$B$6:$B$105,$T99)&amp;"")</f>
        <v/>
      </c>
      <c r="C99" s="37">
        <f>IF($T99=0,"",INDEX('固定資産台帳'!$D$6:$D$105,$T99)&amp;"")</f>
        <v/>
      </c>
      <c r="D99" s="39">
        <f>IF($T99=0,"",INDEX('計算（触らない）'!$D$6:$D$105,$T99))</f>
        <v/>
      </c>
      <c r="E99" s="40">
        <f>IF($T99=0,"",INDEX('計算（触らない）'!$C$6:$C$105,$T99))</f>
        <v/>
      </c>
      <c r="F99" s="41">
        <f>IF($T99=0,"",IF(INDEX('計算（触らない）'!$F$6:$F$105,$T99)=2,INDEX('計算（触らない）'!$AM$6:$AM$105,$T99),""))</f>
        <v/>
      </c>
      <c r="G99" s="40">
        <f>IF($T99=0,"",IF(INDEX('計算（触らない）'!$F$6:$F$105,$T99)=4,"―",INDEX('計算（触らない）'!$AN$6:$AN$105,$T99)))</f>
        <v/>
      </c>
      <c r="H99" s="37">
        <f>IF($T99=0,"",CHOOSE(INDEX('計算（触らない）'!$F$6:$F$105,$T99),"定額法","定率法","―","―"))</f>
        <v/>
      </c>
      <c r="I99" s="37">
        <f>IF($T99=0,"",IF(INDEX('計算（触らない）'!$F$6:$F$105,$T99)&lt;=2,INDEX('計算（触らない）'!$H$6:$H$105,$T99),"―"))</f>
        <v/>
      </c>
      <c r="J99" s="42">
        <f>IF($T99=0,"",INDEX('計算（触らない）'!$AO$6:$AO$105,$T99))</f>
        <v/>
      </c>
      <c r="K99" s="37">
        <f>IF($T99=0,"",IF(AND(INDEX('計算（触らない）'!$F$6:$F$105,$T99)&lt;=2,INDEX('計算（触らない）'!$AB$6:$AB$105,$T99)&gt;0),INDEX('計算（触らない）'!$AB$6:$AB$105,$T99)&amp;"/12","―"))</f>
        <v/>
      </c>
      <c r="L99" s="40">
        <f>IF($T99=0,"",IF(INDEX('計算（触らない）'!$F$6:$F$105,$T99)=4,"―",INDEX('計算（触らない）'!$Z$6:$Z$105,$T99)))</f>
        <v/>
      </c>
      <c r="M99" s="37">
        <f>IF($T99=0,"","―")</f>
        <v/>
      </c>
      <c r="N99" s="40">
        <f>IF($T99=0,"",IF(INDEX('計算（触らない）'!$F$6:$F$105,$T99)=4,"―",INDEX('計算（触らない）'!$Z$6:$Z$105,$T99)))</f>
        <v/>
      </c>
      <c r="O99" s="43">
        <f>IF($T99=0,"",IF(AND(INDEX('計算（触らない）'!$F$6:$F$105,$T99)=4,INDEX('計算（触らない）'!$N$6:$N$105,$T99)=1),"―",INDEX('計算（触らない）'!$N$6:$N$105,$T99)))</f>
        <v/>
      </c>
      <c r="P99" s="40">
        <f>IF($T99=0,"",INDEX('計算（触らない）'!$AC$6:$AC$105,$T99))</f>
        <v/>
      </c>
      <c r="Q99" s="40">
        <f>IF($T99=0,"",IF(INDEX('計算（触らない）'!$F$6:$F$105,$T99)=4,"―",INDEX('計算（触らない）'!$Y$6:$Y$105,$T99)))</f>
        <v/>
      </c>
      <c r="R99" s="38">
        <f>IF($T99=0,"",TRIM(IF(INDEX('計算（触らない）'!$F$6:$F$105,$T99)=4,IF('計算（触らない）'!$B$1=1,"措法67の5","措法28の2"),"")&amp;IF(INDEX('計算（触らない）'!$AA$6:$AA$105,$T99)&gt;0,"改定償却","")&amp;IF(INDEX('計算（触らない）'!$AD$6:$AD$105,$T99)=1," "&amp;YEAR(INDEX('計算（触らない）'!$Q$6:$Q$105,$T99))&amp;"年"&amp;MONTH(INDEX('計算（触らない）'!$Q$6:$Q$105,$T99))&amp;"月"&amp;DAY(INDEX('計算（触らない）'!$Q$6:$Q$105,$T99))&amp;"日 売却・除却","")))</f>
        <v/>
      </c>
      <c r="S99" s="68" t="n"/>
      <c r="T99" s="68">
        <f>IFERROR(MATCH(93,'計算（触らない）'!$AG$6:$AG$105,0),0)</f>
        <v/>
      </c>
    </row>
    <row r="100" ht="20" customHeight="1">
      <c r="A100" s="37">
        <f>IF($T100=0,"",INDEX('計算（触らない）'!$A$6:$A$105,$T100))</f>
        <v/>
      </c>
      <c r="B100" s="38">
        <f>IF($T100=0,"",INDEX('固定資産台帳'!$B$6:$B$105,$T100)&amp;"")</f>
        <v/>
      </c>
      <c r="C100" s="37">
        <f>IF($T100=0,"",INDEX('固定資産台帳'!$D$6:$D$105,$T100)&amp;"")</f>
        <v/>
      </c>
      <c r="D100" s="39">
        <f>IF($T100=0,"",INDEX('計算（触らない）'!$D$6:$D$105,$T100))</f>
        <v/>
      </c>
      <c r="E100" s="40">
        <f>IF($T100=0,"",INDEX('計算（触らない）'!$C$6:$C$105,$T100))</f>
        <v/>
      </c>
      <c r="F100" s="41">
        <f>IF($T100=0,"",IF(INDEX('計算（触らない）'!$F$6:$F$105,$T100)=2,INDEX('計算（触らない）'!$AM$6:$AM$105,$T100),""))</f>
        <v/>
      </c>
      <c r="G100" s="40">
        <f>IF($T100=0,"",IF(INDEX('計算（触らない）'!$F$6:$F$105,$T100)=4,"―",INDEX('計算（触らない）'!$AN$6:$AN$105,$T100)))</f>
        <v/>
      </c>
      <c r="H100" s="37">
        <f>IF($T100=0,"",CHOOSE(INDEX('計算（触らない）'!$F$6:$F$105,$T100),"定額法","定率法","―","―"))</f>
        <v/>
      </c>
      <c r="I100" s="37">
        <f>IF($T100=0,"",IF(INDEX('計算（触らない）'!$F$6:$F$105,$T100)&lt;=2,INDEX('計算（触らない）'!$H$6:$H$105,$T100),"―"))</f>
        <v/>
      </c>
      <c r="J100" s="42">
        <f>IF($T100=0,"",INDEX('計算（触らない）'!$AO$6:$AO$105,$T100))</f>
        <v/>
      </c>
      <c r="K100" s="37">
        <f>IF($T100=0,"",IF(AND(INDEX('計算（触らない）'!$F$6:$F$105,$T100)&lt;=2,INDEX('計算（触らない）'!$AB$6:$AB$105,$T100)&gt;0),INDEX('計算（触らない）'!$AB$6:$AB$105,$T100)&amp;"/12","―"))</f>
        <v/>
      </c>
      <c r="L100" s="40">
        <f>IF($T100=0,"",IF(INDEX('計算（触らない）'!$F$6:$F$105,$T100)=4,"―",INDEX('計算（触らない）'!$Z$6:$Z$105,$T100)))</f>
        <v/>
      </c>
      <c r="M100" s="37">
        <f>IF($T100=0,"","―")</f>
        <v/>
      </c>
      <c r="N100" s="40">
        <f>IF($T100=0,"",IF(INDEX('計算（触らない）'!$F$6:$F$105,$T100)=4,"―",INDEX('計算（触らない）'!$Z$6:$Z$105,$T100)))</f>
        <v/>
      </c>
      <c r="O100" s="43">
        <f>IF($T100=0,"",IF(AND(INDEX('計算（触らない）'!$F$6:$F$105,$T100)=4,INDEX('計算（触らない）'!$N$6:$N$105,$T100)=1),"―",INDEX('計算（触らない）'!$N$6:$N$105,$T100)))</f>
        <v/>
      </c>
      <c r="P100" s="40">
        <f>IF($T100=0,"",INDEX('計算（触らない）'!$AC$6:$AC$105,$T100))</f>
        <v/>
      </c>
      <c r="Q100" s="40">
        <f>IF($T100=0,"",IF(INDEX('計算（触らない）'!$F$6:$F$105,$T100)=4,"―",INDEX('計算（触らない）'!$Y$6:$Y$105,$T100)))</f>
        <v/>
      </c>
      <c r="R100" s="38">
        <f>IF($T100=0,"",TRIM(IF(INDEX('計算（触らない）'!$F$6:$F$105,$T100)=4,IF('計算（触らない）'!$B$1=1,"措法67の5","措法28の2"),"")&amp;IF(INDEX('計算（触らない）'!$AA$6:$AA$105,$T100)&gt;0,"改定償却","")&amp;IF(INDEX('計算（触らない）'!$AD$6:$AD$105,$T100)=1," "&amp;YEAR(INDEX('計算（触らない）'!$Q$6:$Q$105,$T100))&amp;"年"&amp;MONTH(INDEX('計算（触らない）'!$Q$6:$Q$105,$T100))&amp;"月"&amp;DAY(INDEX('計算（触らない）'!$Q$6:$Q$105,$T100))&amp;"日 売却・除却","")))</f>
        <v/>
      </c>
      <c r="S100" s="68" t="n"/>
      <c r="T100" s="68">
        <f>IFERROR(MATCH(94,'計算（触らない）'!$AG$6:$AG$105,0),0)</f>
        <v/>
      </c>
    </row>
    <row r="101" ht="20" customHeight="1">
      <c r="A101" s="37">
        <f>IF($T101=0,"",INDEX('計算（触らない）'!$A$6:$A$105,$T101))</f>
        <v/>
      </c>
      <c r="B101" s="38">
        <f>IF($T101=0,"",INDEX('固定資産台帳'!$B$6:$B$105,$T101)&amp;"")</f>
        <v/>
      </c>
      <c r="C101" s="37">
        <f>IF($T101=0,"",INDEX('固定資産台帳'!$D$6:$D$105,$T101)&amp;"")</f>
        <v/>
      </c>
      <c r="D101" s="39">
        <f>IF($T101=0,"",INDEX('計算（触らない）'!$D$6:$D$105,$T101))</f>
        <v/>
      </c>
      <c r="E101" s="40">
        <f>IF($T101=0,"",INDEX('計算（触らない）'!$C$6:$C$105,$T101))</f>
        <v/>
      </c>
      <c r="F101" s="41">
        <f>IF($T101=0,"",IF(INDEX('計算（触らない）'!$F$6:$F$105,$T101)=2,INDEX('計算（触らない）'!$AM$6:$AM$105,$T101),""))</f>
        <v/>
      </c>
      <c r="G101" s="40">
        <f>IF($T101=0,"",IF(INDEX('計算（触らない）'!$F$6:$F$105,$T101)=4,"―",INDEX('計算（触らない）'!$AN$6:$AN$105,$T101)))</f>
        <v/>
      </c>
      <c r="H101" s="37">
        <f>IF($T101=0,"",CHOOSE(INDEX('計算（触らない）'!$F$6:$F$105,$T101),"定額法","定率法","―","―"))</f>
        <v/>
      </c>
      <c r="I101" s="37">
        <f>IF($T101=0,"",IF(INDEX('計算（触らない）'!$F$6:$F$105,$T101)&lt;=2,INDEX('計算（触らない）'!$H$6:$H$105,$T101),"―"))</f>
        <v/>
      </c>
      <c r="J101" s="42">
        <f>IF($T101=0,"",INDEX('計算（触らない）'!$AO$6:$AO$105,$T101))</f>
        <v/>
      </c>
      <c r="K101" s="37">
        <f>IF($T101=0,"",IF(AND(INDEX('計算（触らない）'!$F$6:$F$105,$T101)&lt;=2,INDEX('計算（触らない）'!$AB$6:$AB$105,$T101)&gt;0),INDEX('計算（触らない）'!$AB$6:$AB$105,$T101)&amp;"/12","―"))</f>
        <v/>
      </c>
      <c r="L101" s="40">
        <f>IF($T101=0,"",IF(INDEX('計算（触らない）'!$F$6:$F$105,$T101)=4,"―",INDEX('計算（触らない）'!$Z$6:$Z$105,$T101)))</f>
        <v/>
      </c>
      <c r="M101" s="37">
        <f>IF($T101=0,"","―")</f>
        <v/>
      </c>
      <c r="N101" s="40">
        <f>IF($T101=0,"",IF(INDEX('計算（触らない）'!$F$6:$F$105,$T101)=4,"―",INDEX('計算（触らない）'!$Z$6:$Z$105,$T101)))</f>
        <v/>
      </c>
      <c r="O101" s="43">
        <f>IF($T101=0,"",IF(AND(INDEX('計算（触らない）'!$F$6:$F$105,$T101)=4,INDEX('計算（触らない）'!$N$6:$N$105,$T101)=1),"―",INDEX('計算（触らない）'!$N$6:$N$105,$T101)))</f>
        <v/>
      </c>
      <c r="P101" s="40">
        <f>IF($T101=0,"",INDEX('計算（触らない）'!$AC$6:$AC$105,$T101))</f>
        <v/>
      </c>
      <c r="Q101" s="40">
        <f>IF($T101=0,"",IF(INDEX('計算（触らない）'!$F$6:$F$105,$T101)=4,"―",INDEX('計算（触らない）'!$Y$6:$Y$105,$T101)))</f>
        <v/>
      </c>
      <c r="R101" s="38">
        <f>IF($T101=0,"",TRIM(IF(INDEX('計算（触らない）'!$F$6:$F$105,$T101)=4,IF('計算（触らない）'!$B$1=1,"措法67の5","措法28の2"),"")&amp;IF(INDEX('計算（触らない）'!$AA$6:$AA$105,$T101)&gt;0,"改定償却","")&amp;IF(INDEX('計算（触らない）'!$AD$6:$AD$105,$T101)=1," "&amp;YEAR(INDEX('計算（触らない）'!$Q$6:$Q$105,$T101))&amp;"年"&amp;MONTH(INDEX('計算（触らない）'!$Q$6:$Q$105,$T101))&amp;"月"&amp;DAY(INDEX('計算（触らない）'!$Q$6:$Q$105,$T101))&amp;"日 売却・除却","")))</f>
        <v/>
      </c>
      <c r="S101" s="68" t="n"/>
      <c r="T101" s="68">
        <f>IFERROR(MATCH(95,'計算（触らない）'!$AG$6:$AG$105,0),0)</f>
        <v/>
      </c>
    </row>
    <row r="102" ht="20" customHeight="1">
      <c r="A102" s="37">
        <f>IF($T102=0,"",INDEX('計算（触らない）'!$A$6:$A$105,$T102))</f>
        <v/>
      </c>
      <c r="B102" s="38">
        <f>IF($T102=0,"",INDEX('固定資産台帳'!$B$6:$B$105,$T102)&amp;"")</f>
        <v/>
      </c>
      <c r="C102" s="37">
        <f>IF($T102=0,"",INDEX('固定資産台帳'!$D$6:$D$105,$T102)&amp;"")</f>
        <v/>
      </c>
      <c r="D102" s="39">
        <f>IF($T102=0,"",INDEX('計算（触らない）'!$D$6:$D$105,$T102))</f>
        <v/>
      </c>
      <c r="E102" s="40">
        <f>IF($T102=0,"",INDEX('計算（触らない）'!$C$6:$C$105,$T102))</f>
        <v/>
      </c>
      <c r="F102" s="41">
        <f>IF($T102=0,"",IF(INDEX('計算（触らない）'!$F$6:$F$105,$T102)=2,INDEX('計算（触らない）'!$AM$6:$AM$105,$T102),""))</f>
        <v/>
      </c>
      <c r="G102" s="40">
        <f>IF($T102=0,"",IF(INDEX('計算（触らない）'!$F$6:$F$105,$T102)=4,"―",INDEX('計算（触らない）'!$AN$6:$AN$105,$T102)))</f>
        <v/>
      </c>
      <c r="H102" s="37">
        <f>IF($T102=0,"",CHOOSE(INDEX('計算（触らない）'!$F$6:$F$105,$T102),"定額法","定率法","―","―"))</f>
        <v/>
      </c>
      <c r="I102" s="37">
        <f>IF($T102=0,"",IF(INDEX('計算（触らない）'!$F$6:$F$105,$T102)&lt;=2,INDEX('計算（触らない）'!$H$6:$H$105,$T102),"―"))</f>
        <v/>
      </c>
      <c r="J102" s="42">
        <f>IF($T102=0,"",INDEX('計算（触らない）'!$AO$6:$AO$105,$T102))</f>
        <v/>
      </c>
      <c r="K102" s="37">
        <f>IF($T102=0,"",IF(AND(INDEX('計算（触らない）'!$F$6:$F$105,$T102)&lt;=2,INDEX('計算（触らない）'!$AB$6:$AB$105,$T102)&gt;0),INDEX('計算（触らない）'!$AB$6:$AB$105,$T102)&amp;"/12","―"))</f>
        <v/>
      </c>
      <c r="L102" s="40">
        <f>IF($T102=0,"",IF(INDEX('計算（触らない）'!$F$6:$F$105,$T102)=4,"―",INDEX('計算（触らない）'!$Z$6:$Z$105,$T102)))</f>
        <v/>
      </c>
      <c r="M102" s="37">
        <f>IF($T102=0,"","―")</f>
        <v/>
      </c>
      <c r="N102" s="40">
        <f>IF($T102=0,"",IF(INDEX('計算（触らない）'!$F$6:$F$105,$T102)=4,"―",INDEX('計算（触らない）'!$Z$6:$Z$105,$T102)))</f>
        <v/>
      </c>
      <c r="O102" s="43">
        <f>IF($T102=0,"",IF(AND(INDEX('計算（触らない）'!$F$6:$F$105,$T102)=4,INDEX('計算（触らない）'!$N$6:$N$105,$T102)=1),"―",INDEX('計算（触らない）'!$N$6:$N$105,$T102)))</f>
        <v/>
      </c>
      <c r="P102" s="40">
        <f>IF($T102=0,"",INDEX('計算（触らない）'!$AC$6:$AC$105,$T102))</f>
        <v/>
      </c>
      <c r="Q102" s="40">
        <f>IF($T102=0,"",IF(INDEX('計算（触らない）'!$F$6:$F$105,$T102)=4,"―",INDEX('計算（触らない）'!$Y$6:$Y$105,$T102)))</f>
        <v/>
      </c>
      <c r="R102" s="38">
        <f>IF($T102=0,"",TRIM(IF(INDEX('計算（触らない）'!$F$6:$F$105,$T102)=4,IF('計算（触らない）'!$B$1=1,"措法67の5","措法28の2"),"")&amp;IF(INDEX('計算（触らない）'!$AA$6:$AA$105,$T102)&gt;0,"改定償却","")&amp;IF(INDEX('計算（触らない）'!$AD$6:$AD$105,$T102)=1," "&amp;YEAR(INDEX('計算（触らない）'!$Q$6:$Q$105,$T102))&amp;"年"&amp;MONTH(INDEX('計算（触らない）'!$Q$6:$Q$105,$T102))&amp;"月"&amp;DAY(INDEX('計算（触らない）'!$Q$6:$Q$105,$T102))&amp;"日 売却・除却","")))</f>
        <v/>
      </c>
      <c r="S102" s="68" t="n"/>
      <c r="T102" s="68">
        <f>IFERROR(MATCH(96,'計算（触らない）'!$AG$6:$AG$105,0),0)</f>
        <v/>
      </c>
    </row>
    <row r="103" ht="20" customHeight="1">
      <c r="A103" s="37">
        <f>IF($T103=0,"",INDEX('計算（触らない）'!$A$6:$A$105,$T103))</f>
        <v/>
      </c>
      <c r="B103" s="38">
        <f>IF($T103=0,"",INDEX('固定資産台帳'!$B$6:$B$105,$T103)&amp;"")</f>
        <v/>
      </c>
      <c r="C103" s="37">
        <f>IF($T103=0,"",INDEX('固定資産台帳'!$D$6:$D$105,$T103)&amp;"")</f>
        <v/>
      </c>
      <c r="D103" s="39">
        <f>IF($T103=0,"",INDEX('計算（触らない）'!$D$6:$D$105,$T103))</f>
        <v/>
      </c>
      <c r="E103" s="40">
        <f>IF($T103=0,"",INDEX('計算（触らない）'!$C$6:$C$105,$T103))</f>
        <v/>
      </c>
      <c r="F103" s="41">
        <f>IF($T103=0,"",IF(INDEX('計算（触らない）'!$F$6:$F$105,$T103)=2,INDEX('計算（触らない）'!$AM$6:$AM$105,$T103),""))</f>
        <v/>
      </c>
      <c r="G103" s="40">
        <f>IF($T103=0,"",IF(INDEX('計算（触らない）'!$F$6:$F$105,$T103)=4,"―",INDEX('計算（触らない）'!$AN$6:$AN$105,$T103)))</f>
        <v/>
      </c>
      <c r="H103" s="37">
        <f>IF($T103=0,"",CHOOSE(INDEX('計算（触らない）'!$F$6:$F$105,$T103),"定額法","定率法","―","―"))</f>
        <v/>
      </c>
      <c r="I103" s="37">
        <f>IF($T103=0,"",IF(INDEX('計算（触らない）'!$F$6:$F$105,$T103)&lt;=2,INDEX('計算（触らない）'!$H$6:$H$105,$T103),"―"))</f>
        <v/>
      </c>
      <c r="J103" s="42">
        <f>IF($T103=0,"",INDEX('計算（触らない）'!$AO$6:$AO$105,$T103))</f>
        <v/>
      </c>
      <c r="K103" s="37">
        <f>IF($T103=0,"",IF(AND(INDEX('計算（触らない）'!$F$6:$F$105,$T103)&lt;=2,INDEX('計算（触らない）'!$AB$6:$AB$105,$T103)&gt;0),INDEX('計算（触らない）'!$AB$6:$AB$105,$T103)&amp;"/12","―"))</f>
        <v/>
      </c>
      <c r="L103" s="40">
        <f>IF($T103=0,"",IF(INDEX('計算（触らない）'!$F$6:$F$105,$T103)=4,"―",INDEX('計算（触らない）'!$Z$6:$Z$105,$T103)))</f>
        <v/>
      </c>
      <c r="M103" s="37">
        <f>IF($T103=0,"","―")</f>
        <v/>
      </c>
      <c r="N103" s="40">
        <f>IF($T103=0,"",IF(INDEX('計算（触らない）'!$F$6:$F$105,$T103)=4,"―",INDEX('計算（触らない）'!$Z$6:$Z$105,$T103)))</f>
        <v/>
      </c>
      <c r="O103" s="43">
        <f>IF($T103=0,"",IF(AND(INDEX('計算（触らない）'!$F$6:$F$105,$T103)=4,INDEX('計算（触らない）'!$N$6:$N$105,$T103)=1),"―",INDEX('計算（触らない）'!$N$6:$N$105,$T103)))</f>
        <v/>
      </c>
      <c r="P103" s="40">
        <f>IF($T103=0,"",INDEX('計算（触らない）'!$AC$6:$AC$105,$T103))</f>
        <v/>
      </c>
      <c r="Q103" s="40">
        <f>IF($T103=0,"",IF(INDEX('計算（触らない）'!$F$6:$F$105,$T103)=4,"―",INDEX('計算（触らない）'!$Y$6:$Y$105,$T103)))</f>
        <v/>
      </c>
      <c r="R103" s="38">
        <f>IF($T103=0,"",TRIM(IF(INDEX('計算（触らない）'!$F$6:$F$105,$T103)=4,IF('計算（触らない）'!$B$1=1,"措法67の5","措法28の2"),"")&amp;IF(INDEX('計算（触らない）'!$AA$6:$AA$105,$T103)&gt;0,"改定償却","")&amp;IF(INDEX('計算（触らない）'!$AD$6:$AD$105,$T103)=1," "&amp;YEAR(INDEX('計算（触らない）'!$Q$6:$Q$105,$T103))&amp;"年"&amp;MONTH(INDEX('計算（触らない）'!$Q$6:$Q$105,$T103))&amp;"月"&amp;DAY(INDEX('計算（触らない）'!$Q$6:$Q$105,$T103))&amp;"日 売却・除却","")))</f>
        <v/>
      </c>
      <c r="S103" s="68" t="n"/>
      <c r="T103" s="68">
        <f>IFERROR(MATCH(97,'計算（触らない）'!$AG$6:$AG$105,0),0)</f>
        <v/>
      </c>
    </row>
    <row r="104" ht="20" customHeight="1">
      <c r="A104" s="37">
        <f>IF($T104=0,"",INDEX('計算（触らない）'!$A$6:$A$105,$T104))</f>
        <v/>
      </c>
      <c r="B104" s="38">
        <f>IF($T104=0,"",INDEX('固定資産台帳'!$B$6:$B$105,$T104)&amp;"")</f>
        <v/>
      </c>
      <c r="C104" s="37">
        <f>IF($T104=0,"",INDEX('固定資産台帳'!$D$6:$D$105,$T104)&amp;"")</f>
        <v/>
      </c>
      <c r="D104" s="39">
        <f>IF($T104=0,"",INDEX('計算（触らない）'!$D$6:$D$105,$T104))</f>
        <v/>
      </c>
      <c r="E104" s="40">
        <f>IF($T104=0,"",INDEX('計算（触らない）'!$C$6:$C$105,$T104))</f>
        <v/>
      </c>
      <c r="F104" s="41">
        <f>IF($T104=0,"",IF(INDEX('計算（触らない）'!$F$6:$F$105,$T104)=2,INDEX('計算（触らない）'!$AM$6:$AM$105,$T104),""))</f>
        <v/>
      </c>
      <c r="G104" s="40">
        <f>IF($T104=0,"",IF(INDEX('計算（触らない）'!$F$6:$F$105,$T104)=4,"―",INDEX('計算（触らない）'!$AN$6:$AN$105,$T104)))</f>
        <v/>
      </c>
      <c r="H104" s="37">
        <f>IF($T104=0,"",CHOOSE(INDEX('計算（触らない）'!$F$6:$F$105,$T104),"定額法","定率法","―","―"))</f>
        <v/>
      </c>
      <c r="I104" s="37">
        <f>IF($T104=0,"",IF(INDEX('計算（触らない）'!$F$6:$F$105,$T104)&lt;=2,INDEX('計算（触らない）'!$H$6:$H$105,$T104),"―"))</f>
        <v/>
      </c>
      <c r="J104" s="42">
        <f>IF($T104=0,"",INDEX('計算（触らない）'!$AO$6:$AO$105,$T104))</f>
        <v/>
      </c>
      <c r="K104" s="37">
        <f>IF($T104=0,"",IF(AND(INDEX('計算（触らない）'!$F$6:$F$105,$T104)&lt;=2,INDEX('計算（触らない）'!$AB$6:$AB$105,$T104)&gt;0),INDEX('計算（触らない）'!$AB$6:$AB$105,$T104)&amp;"/12","―"))</f>
        <v/>
      </c>
      <c r="L104" s="40">
        <f>IF($T104=0,"",IF(INDEX('計算（触らない）'!$F$6:$F$105,$T104)=4,"―",INDEX('計算（触らない）'!$Z$6:$Z$105,$T104)))</f>
        <v/>
      </c>
      <c r="M104" s="37">
        <f>IF($T104=0,"","―")</f>
        <v/>
      </c>
      <c r="N104" s="40">
        <f>IF($T104=0,"",IF(INDEX('計算（触らない）'!$F$6:$F$105,$T104)=4,"―",INDEX('計算（触らない）'!$Z$6:$Z$105,$T104)))</f>
        <v/>
      </c>
      <c r="O104" s="43">
        <f>IF($T104=0,"",IF(AND(INDEX('計算（触らない）'!$F$6:$F$105,$T104)=4,INDEX('計算（触らない）'!$N$6:$N$105,$T104)=1),"―",INDEX('計算（触らない）'!$N$6:$N$105,$T104)))</f>
        <v/>
      </c>
      <c r="P104" s="40">
        <f>IF($T104=0,"",INDEX('計算（触らない）'!$AC$6:$AC$105,$T104))</f>
        <v/>
      </c>
      <c r="Q104" s="40">
        <f>IF($T104=0,"",IF(INDEX('計算（触らない）'!$F$6:$F$105,$T104)=4,"―",INDEX('計算（触らない）'!$Y$6:$Y$105,$T104)))</f>
        <v/>
      </c>
      <c r="R104" s="38">
        <f>IF($T104=0,"",TRIM(IF(INDEX('計算（触らない）'!$F$6:$F$105,$T104)=4,IF('計算（触らない）'!$B$1=1,"措法67の5","措法28の2"),"")&amp;IF(INDEX('計算（触らない）'!$AA$6:$AA$105,$T104)&gt;0,"改定償却","")&amp;IF(INDEX('計算（触らない）'!$AD$6:$AD$105,$T104)=1," "&amp;YEAR(INDEX('計算（触らない）'!$Q$6:$Q$105,$T104))&amp;"年"&amp;MONTH(INDEX('計算（触らない）'!$Q$6:$Q$105,$T104))&amp;"月"&amp;DAY(INDEX('計算（触らない）'!$Q$6:$Q$105,$T104))&amp;"日 売却・除却","")))</f>
        <v/>
      </c>
      <c r="S104" s="68" t="n"/>
      <c r="T104" s="68">
        <f>IFERROR(MATCH(98,'計算（触らない）'!$AG$6:$AG$105,0),0)</f>
        <v/>
      </c>
    </row>
    <row r="105" ht="20" customHeight="1">
      <c r="A105" s="37">
        <f>IF($T105=0,"",INDEX('計算（触らない）'!$A$6:$A$105,$T105))</f>
        <v/>
      </c>
      <c r="B105" s="38">
        <f>IF($T105=0,"",INDEX('固定資産台帳'!$B$6:$B$105,$T105)&amp;"")</f>
        <v/>
      </c>
      <c r="C105" s="37">
        <f>IF($T105=0,"",INDEX('固定資産台帳'!$D$6:$D$105,$T105)&amp;"")</f>
        <v/>
      </c>
      <c r="D105" s="39">
        <f>IF($T105=0,"",INDEX('計算（触らない）'!$D$6:$D$105,$T105))</f>
        <v/>
      </c>
      <c r="E105" s="40">
        <f>IF($T105=0,"",INDEX('計算（触らない）'!$C$6:$C$105,$T105))</f>
        <v/>
      </c>
      <c r="F105" s="41">
        <f>IF($T105=0,"",IF(INDEX('計算（触らない）'!$F$6:$F$105,$T105)=2,INDEX('計算（触らない）'!$AM$6:$AM$105,$T105),""))</f>
        <v/>
      </c>
      <c r="G105" s="40">
        <f>IF($T105=0,"",IF(INDEX('計算（触らない）'!$F$6:$F$105,$T105)=4,"―",INDEX('計算（触らない）'!$AN$6:$AN$105,$T105)))</f>
        <v/>
      </c>
      <c r="H105" s="37">
        <f>IF($T105=0,"",CHOOSE(INDEX('計算（触らない）'!$F$6:$F$105,$T105),"定額法","定率法","―","―"))</f>
        <v/>
      </c>
      <c r="I105" s="37">
        <f>IF($T105=0,"",IF(INDEX('計算（触らない）'!$F$6:$F$105,$T105)&lt;=2,INDEX('計算（触らない）'!$H$6:$H$105,$T105),"―"))</f>
        <v/>
      </c>
      <c r="J105" s="42">
        <f>IF($T105=0,"",INDEX('計算（触らない）'!$AO$6:$AO$105,$T105))</f>
        <v/>
      </c>
      <c r="K105" s="37">
        <f>IF($T105=0,"",IF(AND(INDEX('計算（触らない）'!$F$6:$F$105,$T105)&lt;=2,INDEX('計算（触らない）'!$AB$6:$AB$105,$T105)&gt;0),INDEX('計算（触らない）'!$AB$6:$AB$105,$T105)&amp;"/12","―"))</f>
        <v/>
      </c>
      <c r="L105" s="40">
        <f>IF($T105=0,"",IF(INDEX('計算（触らない）'!$F$6:$F$105,$T105)=4,"―",INDEX('計算（触らない）'!$Z$6:$Z$105,$T105)))</f>
        <v/>
      </c>
      <c r="M105" s="37">
        <f>IF($T105=0,"","―")</f>
        <v/>
      </c>
      <c r="N105" s="40">
        <f>IF($T105=0,"",IF(INDEX('計算（触らない）'!$F$6:$F$105,$T105)=4,"―",INDEX('計算（触らない）'!$Z$6:$Z$105,$T105)))</f>
        <v/>
      </c>
      <c r="O105" s="43">
        <f>IF($T105=0,"",IF(AND(INDEX('計算（触らない）'!$F$6:$F$105,$T105)=4,INDEX('計算（触らない）'!$N$6:$N$105,$T105)=1),"―",INDEX('計算（触らない）'!$N$6:$N$105,$T105)))</f>
        <v/>
      </c>
      <c r="P105" s="40">
        <f>IF($T105=0,"",INDEX('計算（触らない）'!$AC$6:$AC$105,$T105))</f>
        <v/>
      </c>
      <c r="Q105" s="40">
        <f>IF($T105=0,"",IF(INDEX('計算（触らない）'!$F$6:$F$105,$T105)=4,"―",INDEX('計算（触らない）'!$Y$6:$Y$105,$T105)))</f>
        <v/>
      </c>
      <c r="R105" s="38">
        <f>IF($T105=0,"",TRIM(IF(INDEX('計算（触らない）'!$F$6:$F$105,$T105)=4,IF('計算（触らない）'!$B$1=1,"措法67の5","措法28の2"),"")&amp;IF(INDEX('計算（触らない）'!$AA$6:$AA$105,$T105)&gt;0,"改定償却","")&amp;IF(INDEX('計算（触らない）'!$AD$6:$AD$105,$T105)=1," "&amp;YEAR(INDEX('計算（触らない）'!$Q$6:$Q$105,$T105))&amp;"年"&amp;MONTH(INDEX('計算（触らない）'!$Q$6:$Q$105,$T105))&amp;"月"&amp;DAY(INDEX('計算（触らない）'!$Q$6:$Q$105,$T105))&amp;"日 売却・除却","")))</f>
        <v/>
      </c>
      <c r="S105" s="68" t="n"/>
      <c r="T105" s="68">
        <f>IFERROR(MATCH(99,'計算（触らない）'!$AG$6:$AG$105,0),0)</f>
        <v/>
      </c>
    </row>
    <row r="106" ht="20" customHeight="1">
      <c r="A106" s="37">
        <f>IF($T106=0,"",INDEX('計算（触らない）'!$A$6:$A$105,$T106))</f>
        <v/>
      </c>
      <c r="B106" s="38">
        <f>IF($T106=0,"",INDEX('固定資産台帳'!$B$6:$B$105,$T106)&amp;"")</f>
        <v/>
      </c>
      <c r="C106" s="37">
        <f>IF($T106=0,"",INDEX('固定資産台帳'!$D$6:$D$105,$T106)&amp;"")</f>
        <v/>
      </c>
      <c r="D106" s="39">
        <f>IF($T106=0,"",INDEX('計算（触らない）'!$D$6:$D$105,$T106))</f>
        <v/>
      </c>
      <c r="E106" s="40">
        <f>IF($T106=0,"",INDEX('計算（触らない）'!$C$6:$C$105,$T106))</f>
        <v/>
      </c>
      <c r="F106" s="41">
        <f>IF($T106=0,"",IF(INDEX('計算（触らない）'!$F$6:$F$105,$T106)=2,INDEX('計算（触らない）'!$AM$6:$AM$105,$T106),""))</f>
        <v/>
      </c>
      <c r="G106" s="40">
        <f>IF($T106=0,"",IF(INDEX('計算（触らない）'!$F$6:$F$105,$T106)=4,"―",INDEX('計算（触らない）'!$AN$6:$AN$105,$T106)))</f>
        <v/>
      </c>
      <c r="H106" s="37">
        <f>IF($T106=0,"",CHOOSE(INDEX('計算（触らない）'!$F$6:$F$105,$T106),"定額法","定率法","―","―"))</f>
        <v/>
      </c>
      <c r="I106" s="37">
        <f>IF($T106=0,"",IF(INDEX('計算（触らない）'!$F$6:$F$105,$T106)&lt;=2,INDEX('計算（触らない）'!$H$6:$H$105,$T106),"―"))</f>
        <v/>
      </c>
      <c r="J106" s="42">
        <f>IF($T106=0,"",INDEX('計算（触らない）'!$AO$6:$AO$105,$T106))</f>
        <v/>
      </c>
      <c r="K106" s="37">
        <f>IF($T106=0,"",IF(AND(INDEX('計算（触らない）'!$F$6:$F$105,$T106)&lt;=2,INDEX('計算（触らない）'!$AB$6:$AB$105,$T106)&gt;0),INDEX('計算（触らない）'!$AB$6:$AB$105,$T106)&amp;"/12","―"))</f>
        <v/>
      </c>
      <c r="L106" s="40">
        <f>IF($T106=0,"",IF(INDEX('計算（触らない）'!$F$6:$F$105,$T106)=4,"―",INDEX('計算（触らない）'!$Z$6:$Z$105,$T106)))</f>
        <v/>
      </c>
      <c r="M106" s="37">
        <f>IF($T106=0,"","―")</f>
        <v/>
      </c>
      <c r="N106" s="40">
        <f>IF($T106=0,"",IF(INDEX('計算（触らない）'!$F$6:$F$105,$T106)=4,"―",INDEX('計算（触らない）'!$Z$6:$Z$105,$T106)))</f>
        <v/>
      </c>
      <c r="O106" s="43">
        <f>IF($T106=0,"",IF(AND(INDEX('計算（触らない）'!$F$6:$F$105,$T106)=4,INDEX('計算（触らない）'!$N$6:$N$105,$T106)=1),"―",INDEX('計算（触らない）'!$N$6:$N$105,$T106)))</f>
        <v/>
      </c>
      <c r="P106" s="40">
        <f>IF($T106=0,"",INDEX('計算（触らない）'!$AC$6:$AC$105,$T106))</f>
        <v/>
      </c>
      <c r="Q106" s="40">
        <f>IF($T106=0,"",IF(INDEX('計算（触らない）'!$F$6:$F$105,$T106)=4,"―",INDEX('計算（触らない）'!$Y$6:$Y$105,$T106)))</f>
        <v/>
      </c>
      <c r="R106" s="38">
        <f>IF($T106=0,"",TRIM(IF(INDEX('計算（触らない）'!$F$6:$F$105,$T106)=4,IF('計算（触らない）'!$B$1=1,"措法67の5","措法28の2"),"")&amp;IF(INDEX('計算（触らない）'!$AA$6:$AA$105,$T106)&gt;0,"改定償却","")&amp;IF(INDEX('計算（触らない）'!$AD$6:$AD$105,$T106)=1," "&amp;YEAR(INDEX('計算（触らない）'!$Q$6:$Q$105,$T106))&amp;"年"&amp;MONTH(INDEX('計算（触らない）'!$Q$6:$Q$105,$T106))&amp;"月"&amp;DAY(INDEX('計算（触らない）'!$Q$6:$Q$105,$T106))&amp;"日 売却・除却","")))</f>
        <v/>
      </c>
      <c r="S106" s="68" t="n"/>
      <c r="T106" s="68">
        <f>IFERROR(MATCH(100,'計算（触らない）'!$AG$6:$AG$105,0),0)</f>
        <v/>
      </c>
    </row>
    <row r="107">
      <c r="A107" s="68" t="n"/>
      <c r="B107" s="68" t="n"/>
      <c r="C107" s="68" t="n"/>
      <c r="D107" s="68" t="n"/>
      <c r="E107" s="68" t="n"/>
      <c r="F107" s="68" t="n"/>
      <c r="G107" s="68" t="n"/>
      <c r="H107" s="68" t="n"/>
      <c r="I107" s="68" t="n"/>
      <c r="J107" s="68" t="n"/>
      <c r="K107" s="68" t="n"/>
      <c r="L107" s="68" t="n"/>
      <c r="M107" s="68" t="n"/>
      <c r="N107" s="68" t="n"/>
      <c r="O107" s="68" t="n"/>
      <c r="P107" s="68" t="n"/>
      <c r="Q107" s="68" t="n"/>
      <c r="R107" s="68" t="n"/>
      <c r="S107" s="68" t="n"/>
      <c r="T107" s="68" t="n"/>
    </row>
    <row r="108" ht="30" customHeight="1">
      <c r="A108" s="72" t="inlineStr">
        <is>
          <t>出典：国税庁「令和7年分 青色申告決算書（一般用）の書き方」3〜4ページ（減価償却費の計算・摘要の書き方）。割増（特別）償却はこのファイルでは計算しません。</t>
        </is>
      </c>
      <c r="B108" s="68" t="n"/>
      <c r="C108" s="68" t="n"/>
      <c r="D108" s="68" t="n"/>
      <c r="E108" s="68" t="n"/>
      <c r="F108" s="68" t="n"/>
      <c r="G108" s="68" t="n"/>
      <c r="H108" s="68" t="n"/>
      <c r="I108" s="68" t="n"/>
      <c r="J108" s="68" t="n"/>
      <c r="K108" s="68" t="n"/>
      <c r="L108" s="68" t="n"/>
      <c r="M108" s="68" t="n"/>
      <c r="N108" s="68" t="n"/>
      <c r="O108" s="68" t="n"/>
      <c r="P108" s="68" t="n"/>
      <c r="Q108" s="68" t="n"/>
      <c r="R108" s="68" t="n"/>
      <c r="S108" s="68" t="n"/>
      <c r="T108" s="68" t="n"/>
    </row>
  </sheetData>
  <mergeCells count="5">
    <mergeCell ref="A3:R3"/>
    <mergeCell ref="A6:K6"/>
    <mergeCell ref="A2:R2"/>
    <mergeCell ref="A108:R108"/>
    <mergeCell ref="A1:R1"/>
  </mergeCells>
  <printOptions horizontalCentered="1"/>
  <pageMargins left="0.4" right="0.4" top="0.45" bottom="0.45" header="0.2" footer="0.2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U114"/>
  <sheetViews>
    <sheetView showGridLines="0" tabSelected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7" customWidth="1" min="3" max="3"/>
    <col width="9" customWidth="1" min="4" max="4"/>
    <col width="13" customWidth="1" min="5" max="5"/>
    <col width="14" customWidth="1" min="6" max="6"/>
    <col width="15" customWidth="1" min="7" max="7"/>
    <col width="40" customWidth="1" min="8" max="8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</cols>
  <sheetData>
    <row r="1" ht="26" customHeight="1">
      <c r="A1" s="67" t="inlineStr">
        <is>
          <t>償却予定表（1つの資産の、使い始めから最後の年まで）</t>
        </is>
      </c>
      <c r="B1" s="68" t="n"/>
      <c r="C1" s="68" t="n"/>
      <c r="D1" s="68" t="n"/>
      <c r="E1" s="68" t="n"/>
      <c r="F1" s="68" t="n"/>
      <c r="G1" s="68" t="n"/>
      <c r="H1" s="68" t="n"/>
      <c r="I1" s="68" t="n"/>
      <c r="J1" s="68" t="n"/>
      <c r="K1" s="68" t="n"/>
      <c r="L1" s="68" t="n"/>
      <c r="M1" s="68" t="n"/>
      <c r="N1" s="68" t="n"/>
      <c r="O1" s="68" t="n"/>
      <c r="P1" s="68" t="n"/>
      <c r="Q1" s="68" t="n"/>
      <c r="R1" s="68" t="n"/>
      <c r="S1" s="68" t="n"/>
      <c r="T1" s="68" t="n"/>
      <c r="U1" s="68" t="n"/>
    </row>
    <row r="2">
      <c r="A2" s="68" t="n"/>
      <c r="B2" s="68" t="n"/>
      <c r="C2" s="68" t="n"/>
      <c r="D2" s="68" t="n"/>
      <c r="E2" s="68" t="n"/>
      <c r="F2" s="68" t="n"/>
      <c r="G2" s="68" t="n"/>
      <c r="H2" s="68" t="n"/>
      <c r="I2" s="68" t="n"/>
      <c r="J2" s="68" t="n"/>
      <c r="K2" s="68" t="n"/>
      <c r="L2" s="68" t="n"/>
      <c r="M2" s="68" t="n"/>
      <c r="N2" s="68" t="n"/>
      <c r="O2" s="68" t="n"/>
      <c r="P2" s="68" t="n"/>
      <c r="Q2" s="68" t="n"/>
      <c r="R2" s="68" t="n"/>
      <c r="S2" s="68" t="n"/>
      <c r="T2" s="68" t="n"/>
      <c r="U2" s="68" t="n"/>
    </row>
    <row r="3" ht="24" customHeight="1">
      <c r="A3" s="71" t="inlineStr">
        <is>
          <t>台帳の番号</t>
        </is>
      </c>
      <c r="B3" s="80" t="n">
        <v>1</v>
      </c>
      <c r="C3" s="72" t="inlineStr">
        <is>
          <t>← 固定資産台帳の番号を入れると、その資産の表に変わります。表示している年の行は太字になります。</t>
        </is>
      </c>
      <c r="D3" s="68" t="n"/>
      <c r="E3" s="68" t="n"/>
      <c r="F3" s="68" t="n"/>
      <c r="G3" s="68" t="n"/>
      <c r="H3" s="68" t="n"/>
      <c r="I3" s="68" t="n"/>
      <c r="J3" s="68" t="n"/>
      <c r="K3" s="68" t="n"/>
      <c r="L3" s="68" t="n"/>
      <c r="M3" s="68" t="n"/>
      <c r="N3" s="68" t="n"/>
      <c r="O3" s="68" t="n"/>
      <c r="P3" s="68" t="n"/>
      <c r="Q3" s="68">
        <f>IF(ISNUMBER($B$3),IF(AND($B$3&gt;=1,$B$3&lt;=100,$B$3=INT($B$3)),$B$3,0),0)</f>
        <v/>
      </c>
      <c r="R3" s="68" t="n"/>
      <c r="S3" s="68" t="n"/>
      <c r="T3" s="68" t="n"/>
      <c r="U3" s="68" t="n"/>
    </row>
    <row r="4">
      <c r="A4" s="68" t="n"/>
      <c r="B4" s="68" t="n"/>
      <c r="C4" s="68" t="n"/>
      <c r="D4" s="68" t="n"/>
      <c r="E4" s="68" t="n"/>
      <c r="F4" s="68" t="n"/>
      <c r="G4" s="68" t="n"/>
      <c r="H4" s="68" t="n"/>
      <c r="I4" s="68" t="n"/>
      <c r="J4" s="68" t="n"/>
      <c r="K4" s="68" t="n"/>
      <c r="L4" s="68" t="n"/>
      <c r="M4" s="68" t="n"/>
      <c r="N4" s="68" t="n"/>
      <c r="O4" s="68" t="n"/>
      <c r="P4" s="68" t="n"/>
      <c r="Q4" s="68">
        <f>IF($Q$3=0,0,INDEX('計算（触らない）'!$U$6:$U$105,$Q$3))</f>
        <v/>
      </c>
      <c r="R4" s="68" t="n"/>
      <c r="S4" s="68" t="n"/>
      <c r="T4" s="68" t="n"/>
      <c r="U4" s="68" t="n"/>
    </row>
    <row r="5" ht="20" customHeight="1">
      <c r="A5" s="71" t="inlineStr">
        <is>
          <t>資産の名称</t>
        </is>
      </c>
      <c r="B5" s="13">
        <f>IF($Q$3=0,"番号（1〜100）を入れてください",IF(INDEX('固定資産台帳'!$B$6:$B$105,$Q$3)&amp;""="","（この番号には資産がありません）",INDEX('固定資産台帳'!$B$6:$B$105,$Q$3)&amp;""))</f>
        <v/>
      </c>
      <c r="C5" s="74" t="n"/>
      <c r="D5" s="71" t="inlineStr">
        <is>
          <t>償却率</t>
        </is>
      </c>
      <c r="E5" s="74" t="n"/>
      <c r="F5" s="46">
        <f>IF(OR($Q$4=0,$Q$5&gt;2),"―",$Q$9)</f>
        <v/>
      </c>
      <c r="G5" s="77" t="n"/>
      <c r="H5" s="74" t="n"/>
      <c r="I5" s="68" t="n"/>
      <c r="J5" s="68" t="n"/>
      <c r="K5" s="68" t="n"/>
      <c r="L5" s="68" t="n"/>
      <c r="M5" s="68" t="n"/>
      <c r="N5" s="68" t="n"/>
      <c r="O5" s="68" t="n"/>
      <c r="P5" s="68" t="n"/>
      <c r="Q5" s="68">
        <f>IF($Q$3=0,0,INDEX('計算（触らない）'!$F$6:$F$105,$Q$3))</f>
        <v/>
      </c>
      <c r="R5" s="68" t="n"/>
      <c r="S5" s="68" t="n"/>
      <c r="T5" s="68" t="n"/>
      <c r="U5" s="68" t="n"/>
    </row>
    <row r="6" ht="20" customHeight="1">
      <c r="A6" s="71" t="inlineStr">
        <is>
          <t>種類</t>
        </is>
      </c>
      <c r="B6" s="13">
        <f>IF($Q$3=0,"",INDEX('固定資産台帳'!$C$6:$C$105,$Q$3)&amp;"")</f>
        <v/>
      </c>
      <c r="C6" s="74" t="n"/>
      <c r="D6" s="71" t="inlineStr">
        <is>
          <t>改定償却率</t>
        </is>
      </c>
      <c r="E6" s="74" t="n"/>
      <c r="F6" s="46">
        <f>IF(OR($Q$4=0,$Q$5&lt;&gt;2,$Q$10=0),"―",$Q$10)</f>
        <v/>
      </c>
      <c r="G6" s="77" t="n"/>
      <c r="H6" s="74" t="n"/>
      <c r="I6" s="68" t="n"/>
      <c r="J6" s="68" t="n"/>
      <c r="K6" s="68" t="n"/>
      <c r="L6" s="68" t="n"/>
      <c r="M6" s="68" t="n"/>
      <c r="N6" s="68" t="n"/>
      <c r="O6" s="68" t="n"/>
      <c r="P6" s="68" t="n"/>
      <c r="Q6" s="68">
        <f>IF($Q$3=0,0,INDEX('計算（触らない）'!$R$6:$R$105,$Q$3))</f>
        <v/>
      </c>
      <c r="R6" s="68" t="n"/>
      <c r="S6" s="68" t="n"/>
      <c r="T6" s="68" t="n"/>
      <c r="U6" s="68" t="n"/>
    </row>
    <row r="7" ht="20" customHeight="1">
      <c r="A7" s="71" t="inlineStr">
        <is>
          <t>使い始めた日</t>
        </is>
      </c>
      <c r="B7" s="47">
        <f>IF($Q$4=0,"",INDEX('計算（触らない）'!$E$6:$E$105,$Q$3))</f>
        <v/>
      </c>
      <c r="C7" s="74" t="n"/>
      <c r="D7" s="71" t="inlineStr">
        <is>
          <t>保証率</t>
        </is>
      </c>
      <c r="E7" s="74" t="n"/>
      <c r="F7" s="48">
        <f>IF(OR($Q$4=0,$Q$5&lt;&gt;2,$Q$16=0),"―",$Q$16)</f>
        <v/>
      </c>
      <c r="G7" s="77" t="n"/>
      <c r="H7" s="74" t="n"/>
      <c r="I7" s="68" t="n"/>
      <c r="J7" s="68" t="n"/>
      <c r="K7" s="68" t="n"/>
      <c r="L7" s="68" t="n"/>
      <c r="M7" s="68" t="n"/>
      <c r="N7" s="68" t="n"/>
      <c r="O7" s="68" t="n"/>
      <c r="P7" s="68" t="n"/>
      <c r="Q7" s="68">
        <f>IF($Q$3=0,0,INDEX('計算（触らない）'!$S$6:$S$105,$Q$3))</f>
        <v/>
      </c>
      <c r="R7" s="68" t="n"/>
      <c r="S7" s="68" t="n"/>
      <c r="T7" s="68" t="n"/>
      <c r="U7" s="68" t="n"/>
    </row>
    <row r="8" ht="20" customHeight="1">
      <c r="A8" s="71" t="inlineStr">
        <is>
          <t>取得価額</t>
        </is>
      </c>
      <c r="B8" s="49">
        <f>IF($Q$4=0,"",$Q$14)</f>
        <v/>
      </c>
      <c r="C8" s="74" t="n"/>
      <c r="D8" s="71" t="inlineStr">
        <is>
          <t>償却保証額</t>
        </is>
      </c>
      <c r="E8" s="74" t="n"/>
      <c r="F8" s="49">
        <f>IF(OR($Q$4=0,$Q$5&lt;&gt;2),"―",INT(ROUND($Q$15,6)+'計算（触らない）'!$B$4))</f>
        <v/>
      </c>
      <c r="G8" s="77" t="n"/>
      <c r="H8" s="74" t="n"/>
      <c r="I8" s="68" t="n"/>
      <c r="J8" s="68" t="n"/>
      <c r="K8" s="68" t="n"/>
      <c r="L8" s="68" t="n"/>
      <c r="M8" s="68" t="n"/>
      <c r="N8" s="68" t="n"/>
      <c r="O8" s="68" t="n"/>
      <c r="P8" s="68" t="n"/>
      <c r="Q8" s="68">
        <f>IF($Q$3=0,0,INDEX('計算（触らない）'!$P$6:$P$105,$Q$3))</f>
        <v/>
      </c>
      <c r="R8" s="68" t="n"/>
      <c r="S8" s="68" t="n"/>
      <c r="T8" s="68" t="n"/>
      <c r="U8" s="68" t="n"/>
    </row>
    <row r="9" ht="20" customHeight="1">
      <c r="A9" s="71" t="inlineStr">
        <is>
          <t>償却方法</t>
        </is>
      </c>
      <c r="B9" s="13">
        <f>IF($Q$3=0,"",INDEX('固定資産台帳'!$H$6:$H$105,$Q$3)&amp;"")</f>
        <v/>
      </c>
      <c r="C9" s="74" t="n"/>
      <c r="D9" s="71" t="inlineStr">
        <is>
          <t>事業専用割合</t>
        </is>
      </c>
      <c r="E9" s="74" t="n"/>
      <c r="F9" s="50">
        <f>IF($Q$4=0,"",$Q$12)</f>
        <v/>
      </c>
      <c r="G9" s="77" t="n"/>
      <c r="H9" s="74" t="n"/>
      <c r="I9" s="68" t="n"/>
      <c r="J9" s="68" t="n"/>
      <c r="K9" s="68" t="n"/>
      <c r="L9" s="68" t="n"/>
      <c r="M9" s="68" t="n"/>
      <c r="N9" s="68" t="n"/>
      <c r="O9" s="68" t="n"/>
      <c r="P9" s="68" t="n"/>
      <c r="Q9" s="68">
        <f>IF($Q$3=0,0,INDEX('計算（触らない）'!$J$6:$J$105,$Q$3))</f>
        <v/>
      </c>
      <c r="R9" s="68" t="n"/>
      <c r="S9" s="68" t="n"/>
      <c r="T9" s="68" t="n"/>
      <c r="U9" s="68" t="n"/>
    </row>
    <row r="10" ht="30" customHeight="1">
      <c r="A10" s="71" t="inlineStr">
        <is>
          <t>耐用年数</t>
        </is>
      </c>
      <c r="B10" s="13">
        <f>IF(OR($Q$4=0,$Q$5&gt;2),"―",$Q$18&amp;"年")</f>
        <v/>
      </c>
      <c r="C10" s="74" t="n"/>
      <c r="D10" s="71" t="inlineStr">
        <is>
          <t>状態</t>
        </is>
      </c>
      <c r="E10" s="74" t="n"/>
      <c r="F10" s="13">
        <f>IF($Q$3=0,"",INDEX('固定資産台帳'!$S$6:$S$105,$Q$3)&amp;"")</f>
        <v/>
      </c>
      <c r="G10" s="77" t="n"/>
      <c r="H10" s="74" t="n"/>
      <c r="I10" s="68" t="n"/>
      <c r="J10" s="68" t="n"/>
      <c r="K10" s="68" t="n"/>
      <c r="L10" s="68" t="n"/>
      <c r="M10" s="68" t="n"/>
      <c r="N10" s="68" t="n"/>
      <c r="O10" s="68" t="n"/>
      <c r="P10" s="68" t="n"/>
      <c r="Q10" s="68">
        <f>IF($Q$3=0,0,INDEX('計算（触らない）'!$K$6:$K$105,$Q$3))</f>
        <v/>
      </c>
      <c r="R10" s="68" t="n"/>
      <c r="S10" s="68" t="n"/>
      <c r="T10" s="68" t="n"/>
      <c r="U10" s="68" t="n"/>
    </row>
    <row r="11">
      <c r="A11" s="68" t="n"/>
      <c r="B11" s="68" t="n"/>
      <c r="C11" s="68" t="n"/>
      <c r="D11" s="68" t="n"/>
      <c r="E11" s="68" t="n"/>
      <c r="F11" s="68" t="n"/>
      <c r="G11" s="68" t="n"/>
      <c r="H11" s="68" t="n"/>
      <c r="I11" s="68" t="n"/>
      <c r="J11" s="68" t="n"/>
      <c r="K11" s="68" t="n"/>
      <c r="L11" s="68" t="n"/>
      <c r="M11" s="68" t="n"/>
      <c r="N11" s="68" t="n"/>
      <c r="O11" s="68" t="n"/>
      <c r="P11" s="68" t="n"/>
      <c r="Q11" s="68">
        <f>IF($Q$3=0,0,INDEX('計算（触らない）'!$I$6:$I$105,$Q$3))</f>
        <v/>
      </c>
      <c r="R11" s="68" t="n"/>
      <c r="S11" s="68" t="n"/>
      <c r="T11" s="68" t="n"/>
      <c r="U11" s="68" t="n"/>
    </row>
    <row r="12" ht="28" customHeight="1">
      <c r="A12" s="20" t="inlineStr">
        <is>
          <t>年（年度）</t>
        </is>
      </c>
      <c r="B12" s="20" t="inlineStr">
        <is>
          <t>期首の帳簿価額</t>
        </is>
      </c>
      <c r="C12" s="20" t="inlineStr">
        <is>
          <t>月数</t>
        </is>
      </c>
      <c r="D12" s="20" t="inlineStr">
        <is>
          <t>償却率</t>
        </is>
      </c>
      <c r="E12" s="20" t="inlineStr">
        <is>
          <t>この年の償却費</t>
        </is>
      </c>
      <c r="F12" s="20" t="inlineStr">
        <is>
          <t>経費にする額</t>
        </is>
      </c>
      <c r="G12" s="20" t="inlineStr">
        <is>
          <t>期末の帳簿価額</t>
        </is>
      </c>
      <c r="H12" s="20" t="inlineStr">
        <is>
          <t>摘要</t>
        </is>
      </c>
      <c r="I12" s="68" t="n"/>
      <c r="J12" s="68" t="n"/>
      <c r="K12" s="68" t="n"/>
      <c r="L12" s="68" t="n"/>
      <c r="M12" s="68" t="n"/>
      <c r="N12" s="68" t="n"/>
      <c r="O12" s="68" t="n"/>
      <c r="P12" s="68" t="n"/>
      <c r="Q12" s="68">
        <f>IF($Q$3=0,0,INDEX('計算（触らない）'!$N$6:$N$105,$Q$3))</f>
        <v/>
      </c>
      <c r="R12" s="68" t="n"/>
      <c r="S12" s="68" t="n"/>
      <c r="T12" s="68" t="n"/>
      <c r="U12" s="68" t="n"/>
    </row>
    <row r="13" ht="17" customHeight="1">
      <c r="A13" s="37">
        <f>IF($T13=0,"",IF('計算（触らない）'!$B$1=1,($Q$13+0)&amp;"年度",($Q$13+0)&amp;"年"))</f>
        <v/>
      </c>
      <c r="B13" s="40">
        <f>IF($T13=0,"",$S13)</f>
        <v/>
      </c>
      <c r="C13" s="51">
        <f>IF($T13=0,"",IF($Q$5&gt;2,"―",IF($Q$6=0,$Q$7,$Q$8)))</f>
        <v/>
      </c>
      <c r="D13" s="42">
        <f>IF($T13=0,"",IF($Q$5=3,"1/3",IF($Q$5=4,"―",IF($U13&gt;0,$Q$10,$Q$9))))</f>
        <v/>
      </c>
      <c r="E13" s="40">
        <f>IF($T13=0,"",$S13-$R13)</f>
        <v/>
      </c>
      <c r="F13" s="40">
        <f>IF($T13=0,"",INT(ROUND(($S13-$R13)*$Q$12,6)+'計算（触らない）'!$B$4))</f>
        <v/>
      </c>
      <c r="G13" s="40">
        <f>IF($T13=0,"",$R13)</f>
        <v/>
      </c>
      <c r="H13" s="38">
        <f>IF($T13=0,"",TRIM(IF(AND($Q$5&lt;=2,0=$Q$6),"売却・除却（期末の帳簿価額を帳簿から外す）",IF(AND($U13&gt;0,0=0),"ここから改定償却率（改定取得価額 "&amp;TEXT($U13,"#,##0")&amp;"円）",IF($U13&gt;0,"改定償却","")))&amp;IF(AND($Q$5&lt;=2,$R13=$Q$11,$S13&gt;$Q$11,0&lt;&gt;$Q$6)," 償却終わり（帳簿価額 "&amp;$R13&amp;"円）","")&amp;IF(AND($Q$5=4,0=0),"少額特例で全額を経費","")))</f>
        <v/>
      </c>
      <c r="I13" s="68" t="n"/>
      <c r="J13" s="68" t="n"/>
      <c r="K13" s="68" t="n"/>
      <c r="L13" s="68" t="n"/>
      <c r="M13" s="68" t="n"/>
      <c r="N13" s="68" t="n"/>
      <c r="O13" s="68" t="n"/>
      <c r="P13" s="68" t="n"/>
      <c r="Q13" s="68">
        <f>IF($Q$3=0,0,INDEX('計算（触らない）'!$O$6:$O$105,$Q$3))</f>
        <v/>
      </c>
      <c r="R13" s="68">
        <f>IF($Q$4=0,0,INDEX('計算（触らない）'!$AS$6:$EP$105,$Q$3,1))</f>
        <v/>
      </c>
      <c r="S13" s="68">
        <f>IF($Q$4=0,0,$Q$14)</f>
        <v/>
      </c>
      <c r="T13" s="68">
        <f>IF($Q$4=0,0,IF(0=0,1,IF(AND($Q$5&lt;=2,0&lt;=$Q$6,$S13&gt;$Q$11),1,IF(AND($Q$5=3,0&lt;=2),1,0))))</f>
        <v/>
      </c>
      <c r="U13" s="68">
        <f>0</f>
        <v/>
      </c>
    </row>
    <row r="14" ht="17" customHeight="1">
      <c r="A14" s="37">
        <f>IF($T14=0,"",IF('計算（触らない）'!$B$1=1,($Q$13+1)&amp;"年度",($Q$13+1)&amp;"年"))</f>
        <v/>
      </c>
      <c r="B14" s="40">
        <f>IF($T14=0,"",$S14)</f>
        <v/>
      </c>
      <c r="C14" s="51">
        <f>IF($T14=0,"",IF($Q$5&gt;2,"―",IF(1=$Q$6,$Q$7,12)))</f>
        <v/>
      </c>
      <c r="D14" s="42">
        <f>IF($T14=0,"",IF($Q$5=3,"1/3",IF($Q$5=4,"―",IF($U14&gt;0,$Q$10,$Q$9))))</f>
        <v/>
      </c>
      <c r="E14" s="40">
        <f>IF($T14=0,"",$S14-$R14)</f>
        <v/>
      </c>
      <c r="F14" s="40">
        <f>IF($T14=0,"",INT(ROUND(($S14-$R14)*$Q$12,6)+'計算（触らない）'!$B$4))</f>
        <v/>
      </c>
      <c r="G14" s="40">
        <f>IF($T14=0,"",$R14)</f>
        <v/>
      </c>
      <c r="H14" s="38">
        <f>IF($T14=0,"",TRIM(IF(AND($Q$5&lt;=2,1=$Q$6),"売却・除却（期末の帳簿価額を帳簿から外す）",IF(AND($U14&gt;0,$U13=0),"ここから改定償却率（改定取得価額 "&amp;TEXT($U14,"#,##0")&amp;"円）",IF($U14&gt;0,"改定償却","")))&amp;IF(AND($Q$5&lt;=2,$R14=$Q$11,$S14&gt;$Q$11,1&lt;&gt;$Q$6)," 償却終わり（帳簿価額 "&amp;$R14&amp;"円）","")&amp;IF(AND($Q$5=4,1=0),"少額特例で全額を経費","")))</f>
        <v/>
      </c>
      <c r="I14" s="68" t="n"/>
      <c r="J14" s="68" t="n"/>
      <c r="K14" s="68" t="n"/>
      <c r="L14" s="68" t="n"/>
      <c r="M14" s="68" t="n"/>
      <c r="N14" s="68" t="n"/>
      <c r="O14" s="68" t="n"/>
      <c r="P14" s="68" t="n"/>
      <c r="Q14" s="68">
        <f>IF($Q$3=0,0,INDEX('計算（触らない）'!$C$6:$C$105,$Q$3))</f>
        <v/>
      </c>
      <c r="R14" s="68">
        <f>IF($Q$4=0,0,INDEX('計算（触らない）'!$AS$6:$EP$105,$Q$3,2))</f>
        <v/>
      </c>
      <c r="S14" s="68">
        <f>IF($Q$4=0,0,INDEX('計算（触らない）'!$AS$6:$EP$105,$Q$3,1))</f>
        <v/>
      </c>
      <c r="T14" s="68">
        <f>IF($Q$4=0,0,IF(1=0,1,IF(AND($Q$5&lt;=2,1&lt;=$Q$6,$S14&gt;$Q$11),1,IF(AND($Q$5=3,1&lt;=2),1,0))))</f>
        <v/>
      </c>
      <c r="U14" s="68">
        <f>IF($Q$4=0,0,INDEX('計算（触らない）'!$ER$6:$IN$105,$Q$3,1))</f>
        <v/>
      </c>
    </row>
    <row r="15" ht="17" customHeight="1">
      <c r="A15" s="37">
        <f>IF($T15=0,"",IF('計算（触らない）'!$B$1=1,($Q$13+2)&amp;"年度",($Q$13+2)&amp;"年"))</f>
        <v/>
      </c>
      <c r="B15" s="40">
        <f>IF($T15=0,"",$S15)</f>
        <v/>
      </c>
      <c r="C15" s="51">
        <f>IF($T15=0,"",IF($Q$5&gt;2,"―",IF(2=$Q$6,$Q$7,12)))</f>
        <v/>
      </c>
      <c r="D15" s="42">
        <f>IF($T15=0,"",IF($Q$5=3,"1/3",IF($Q$5=4,"―",IF($U15&gt;0,$Q$10,$Q$9))))</f>
        <v/>
      </c>
      <c r="E15" s="40">
        <f>IF($T15=0,"",$S15-$R15)</f>
        <v/>
      </c>
      <c r="F15" s="40">
        <f>IF($T15=0,"",INT(ROUND(($S15-$R15)*$Q$12,6)+'計算（触らない）'!$B$4))</f>
        <v/>
      </c>
      <c r="G15" s="40">
        <f>IF($T15=0,"",$R15)</f>
        <v/>
      </c>
      <c r="H15" s="38">
        <f>IF($T15=0,"",TRIM(IF(AND($Q$5&lt;=2,2=$Q$6),"売却・除却（期末の帳簿価額を帳簿から外す）",IF(AND($U15&gt;0,$U14=0),"ここから改定償却率（改定取得価額 "&amp;TEXT($U15,"#,##0")&amp;"円）",IF($U15&gt;0,"改定償却","")))&amp;IF(AND($Q$5&lt;=2,$R15=$Q$11,$S15&gt;$Q$11,2&lt;&gt;$Q$6)," 償却終わり（帳簿価額 "&amp;$R15&amp;"円）","")&amp;IF(AND($Q$5=4,2=0),"少額特例で全額を経費","")))</f>
        <v/>
      </c>
      <c r="I15" s="68" t="n"/>
      <c r="J15" s="68" t="n"/>
      <c r="K15" s="68" t="n"/>
      <c r="L15" s="68" t="n"/>
      <c r="M15" s="68" t="n"/>
      <c r="N15" s="68" t="n"/>
      <c r="O15" s="68" t="n"/>
      <c r="P15" s="68" t="n"/>
      <c r="Q15" s="68">
        <f>IF($Q$3=0,0,INDEX('計算（触らない）'!$M$6:$M$105,$Q$3))</f>
        <v/>
      </c>
      <c r="R15" s="68">
        <f>IF($Q$4=0,0,INDEX('計算（触らない）'!$AS$6:$EP$105,$Q$3,3))</f>
        <v/>
      </c>
      <c r="S15" s="68">
        <f>IF($Q$4=0,0,INDEX('計算（触らない）'!$AS$6:$EP$105,$Q$3,2))</f>
        <v/>
      </c>
      <c r="T15" s="68">
        <f>IF($Q$4=0,0,IF(2=0,1,IF(AND($Q$5&lt;=2,2&lt;=$Q$6,$S15&gt;$Q$11),1,IF(AND($Q$5=3,2&lt;=2),1,0))))</f>
        <v/>
      </c>
      <c r="U15" s="68">
        <f>IF($Q$4=0,0,INDEX('計算（触らない）'!$ER$6:$IN$105,$Q$3,2))</f>
        <v/>
      </c>
    </row>
    <row r="16" ht="17" customHeight="1">
      <c r="A16" s="37">
        <f>IF($T16=0,"",IF('計算（触らない）'!$B$1=1,($Q$13+3)&amp;"年度",($Q$13+3)&amp;"年"))</f>
        <v/>
      </c>
      <c r="B16" s="40">
        <f>IF($T16=0,"",$S16)</f>
        <v/>
      </c>
      <c r="C16" s="51">
        <f>IF($T16=0,"",IF($Q$5&gt;2,"―",IF(3=$Q$6,$Q$7,12)))</f>
        <v/>
      </c>
      <c r="D16" s="42">
        <f>IF($T16=0,"",IF($Q$5=3,"1/3",IF($Q$5=4,"―",IF($U16&gt;0,$Q$10,$Q$9))))</f>
        <v/>
      </c>
      <c r="E16" s="40">
        <f>IF($T16=0,"",$S16-$R16)</f>
        <v/>
      </c>
      <c r="F16" s="40">
        <f>IF($T16=0,"",INT(ROUND(($S16-$R16)*$Q$12,6)+'計算（触らない）'!$B$4))</f>
        <v/>
      </c>
      <c r="G16" s="40">
        <f>IF($T16=0,"",$R16)</f>
        <v/>
      </c>
      <c r="H16" s="38">
        <f>IF($T16=0,"",TRIM(IF(AND($Q$5&lt;=2,3=$Q$6),"売却・除却（期末の帳簿価額を帳簿から外す）",IF(AND($U16&gt;0,$U15=0),"ここから改定償却率（改定取得価額 "&amp;TEXT($U16,"#,##0")&amp;"円）",IF($U16&gt;0,"改定償却","")))&amp;IF(AND($Q$5&lt;=2,$R16=$Q$11,$S16&gt;$Q$11,3&lt;&gt;$Q$6)," 償却終わり（帳簿価額 "&amp;$R16&amp;"円）","")&amp;IF(AND($Q$5=4,3=0),"少額特例で全額を経費","")))</f>
        <v/>
      </c>
      <c r="I16" s="68" t="n"/>
      <c r="J16" s="68" t="n"/>
      <c r="K16" s="68" t="n"/>
      <c r="L16" s="68" t="n"/>
      <c r="M16" s="68" t="n"/>
      <c r="N16" s="68" t="n"/>
      <c r="O16" s="68" t="n"/>
      <c r="P16" s="68" t="n"/>
      <c r="Q16" s="68">
        <f>IF($Q$3=0,0,INDEX('計算（触らない）'!$L$6:$L$105,$Q$3))</f>
        <v/>
      </c>
      <c r="R16" s="68">
        <f>IF($Q$4=0,0,INDEX('計算（触らない）'!$AS$6:$EP$105,$Q$3,4))</f>
        <v/>
      </c>
      <c r="S16" s="68">
        <f>IF($Q$4=0,0,INDEX('計算（触らない）'!$AS$6:$EP$105,$Q$3,3))</f>
        <v/>
      </c>
      <c r="T16" s="68">
        <f>IF($Q$4=0,0,IF(3=0,1,IF(AND($Q$5&lt;=2,3&lt;=$Q$6,$S16&gt;$Q$11),1,IF(AND($Q$5=3,3&lt;=2),1,0))))</f>
        <v/>
      </c>
      <c r="U16" s="68">
        <f>IF($Q$4=0,0,INDEX('計算（触らない）'!$ER$6:$IN$105,$Q$3,3))</f>
        <v/>
      </c>
    </row>
    <row r="17" ht="17" customHeight="1">
      <c r="A17" s="37">
        <f>IF($T17=0,"",IF('計算（触らない）'!$B$1=1,($Q$13+4)&amp;"年度",($Q$13+4)&amp;"年"))</f>
        <v/>
      </c>
      <c r="B17" s="40">
        <f>IF($T17=0,"",$S17)</f>
        <v/>
      </c>
      <c r="C17" s="51">
        <f>IF($T17=0,"",IF($Q$5&gt;2,"―",IF(4=$Q$6,$Q$7,12)))</f>
        <v/>
      </c>
      <c r="D17" s="42">
        <f>IF($T17=0,"",IF($Q$5=3,"1/3",IF($Q$5=4,"―",IF($U17&gt;0,$Q$10,$Q$9))))</f>
        <v/>
      </c>
      <c r="E17" s="40">
        <f>IF($T17=0,"",$S17-$R17)</f>
        <v/>
      </c>
      <c r="F17" s="40">
        <f>IF($T17=0,"",INT(ROUND(($S17-$R17)*$Q$12,6)+'計算（触らない）'!$B$4))</f>
        <v/>
      </c>
      <c r="G17" s="40">
        <f>IF($T17=0,"",$R17)</f>
        <v/>
      </c>
      <c r="H17" s="38">
        <f>IF($T17=0,"",TRIM(IF(AND($Q$5&lt;=2,4=$Q$6),"売却・除却（期末の帳簿価額を帳簿から外す）",IF(AND($U17&gt;0,$U16=0),"ここから改定償却率（改定取得価額 "&amp;TEXT($U17,"#,##0")&amp;"円）",IF($U17&gt;0,"改定償却","")))&amp;IF(AND($Q$5&lt;=2,$R17=$Q$11,$S17&gt;$Q$11,4&lt;&gt;$Q$6)," 償却終わり（帳簿価額 "&amp;$R17&amp;"円）","")&amp;IF(AND($Q$5=4,4=0),"少額特例で全額を経費","")))</f>
        <v/>
      </c>
      <c r="I17" s="68" t="n"/>
      <c r="J17" s="68" t="n"/>
      <c r="K17" s="68" t="n"/>
      <c r="L17" s="68" t="n"/>
      <c r="M17" s="68" t="n"/>
      <c r="N17" s="68" t="n"/>
      <c r="O17" s="68" t="n"/>
      <c r="P17" s="68" t="n"/>
      <c r="Q17" s="68">
        <f>'計算（触らない）'!$B$3</f>
        <v/>
      </c>
      <c r="R17" s="68">
        <f>IF($Q$4=0,0,INDEX('計算（触らない）'!$AS$6:$EP$105,$Q$3,5))</f>
        <v/>
      </c>
      <c r="S17" s="68">
        <f>IF($Q$4=0,0,INDEX('計算（触らない）'!$AS$6:$EP$105,$Q$3,4))</f>
        <v/>
      </c>
      <c r="T17" s="68">
        <f>IF($Q$4=0,0,IF(4=0,1,IF(AND($Q$5&lt;=2,4&lt;=$Q$6,$S17&gt;$Q$11),1,IF(AND($Q$5=3,4&lt;=2),1,0))))</f>
        <v/>
      </c>
      <c r="U17" s="68">
        <f>IF($Q$4=0,0,INDEX('計算（触らない）'!$ER$6:$IN$105,$Q$3,4))</f>
        <v/>
      </c>
    </row>
    <row r="18" ht="17" customHeight="1">
      <c r="A18" s="37">
        <f>IF($T18=0,"",IF('計算（触らない）'!$B$1=1,($Q$13+5)&amp;"年度",($Q$13+5)&amp;"年"))</f>
        <v/>
      </c>
      <c r="B18" s="40">
        <f>IF($T18=0,"",$S18)</f>
        <v/>
      </c>
      <c r="C18" s="51">
        <f>IF($T18=0,"",IF($Q$5&gt;2,"―",IF(5=$Q$6,$Q$7,12)))</f>
        <v/>
      </c>
      <c r="D18" s="42">
        <f>IF($T18=0,"",IF($Q$5=3,"1/3",IF($Q$5=4,"―",IF($U18&gt;0,$Q$10,$Q$9))))</f>
        <v/>
      </c>
      <c r="E18" s="40">
        <f>IF($T18=0,"",$S18-$R18)</f>
        <v/>
      </c>
      <c r="F18" s="40">
        <f>IF($T18=0,"",INT(ROUND(($S18-$R18)*$Q$12,6)+'計算（触らない）'!$B$4))</f>
        <v/>
      </c>
      <c r="G18" s="40">
        <f>IF($T18=0,"",$R18)</f>
        <v/>
      </c>
      <c r="H18" s="38">
        <f>IF($T18=0,"",TRIM(IF(AND($Q$5&lt;=2,5=$Q$6),"売却・除却（期末の帳簿価額を帳簿から外す）",IF(AND($U18&gt;0,$U17=0),"ここから改定償却率（改定取得価額 "&amp;TEXT($U18,"#,##0")&amp;"円）",IF($U18&gt;0,"改定償却","")))&amp;IF(AND($Q$5&lt;=2,$R18=$Q$11,$S18&gt;$Q$11,5&lt;&gt;$Q$6)," 償却終わり（帳簿価額 "&amp;$R18&amp;"円）","")&amp;IF(AND($Q$5=4,5=0),"少額特例で全額を経費","")))</f>
        <v/>
      </c>
      <c r="I18" s="68" t="n"/>
      <c r="J18" s="68" t="n"/>
      <c r="K18" s="68" t="n"/>
      <c r="L18" s="68" t="n"/>
      <c r="M18" s="68" t="n"/>
      <c r="N18" s="68" t="n"/>
      <c r="O18" s="68" t="n"/>
      <c r="P18" s="68" t="n"/>
      <c r="Q18" s="68">
        <f>IF($Q$3=0,0,INDEX('計算（触らない）'!$H$6:$H$105,$Q$3))</f>
        <v/>
      </c>
      <c r="R18" s="68">
        <f>IF($Q$4=0,0,INDEX('計算（触らない）'!$AS$6:$EP$105,$Q$3,6))</f>
        <v/>
      </c>
      <c r="S18" s="68">
        <f>IF($Q$4=0,0,INDEX('計算（触らない）'!$AS$6:$EP$105,$Q$3,5))</f>
        <v/>
      </c>
      <c r="T18" s="68">
        <f>IF($Q$4=0,0,IF(5=0,1,IF(AND($Q$5&lt;=2,5&lt;=$Q$6,$S18&gt;$Q$11),1,IF(AND($Q$5=3,5&lt;=2),1,0))))</f>
        <v/>
      </c>
      <c r="U18" s="68">
        <f>IF($Q$4=0,0,INDEX('計算（触らない）'!$ER$6:$IN$105,$Q$3,5))</f>
        <v/>
      </c>
    </row>
    <row r="19" ht="17" customHeight="1">
      <c r="A19" s="37">
        <f>IF($T19=0,"",IF('計算（触らない）'!$B$1=1,($Q$13+6)&amp;"年度",($Q$13+6)&amp;"年"))</f>
        <v/>
      </c>
      <c r="B19" s="40">
        <f>IF($T19=0,"",$S19)</f>
        <v/>
      </c>
      <c r="C19" s="51">
        <f>IF($T19=0,"",IF($Q$5&gt;2,"―",IF(6=$Q$6,$Q$7,12)))</f>
        <v/>
      </c>
      <c r="D19" s="42">
        <f>IF($T19=0,"",IF($Q$5=3,"1/3",IF($Q$5=4,"―",IF($U19&gt;0,$Q$10,$Q$9))))</f>
        <v/>
      </c>
      <c r="E19" s="40">
        <f>IF($T19=0,"",$S19-$R19)</f>
        <v/>
      </c>
      <c r="F19" s="40">
        <f>IF($T19=0,"",INT(ROUND(($S19-$R19)*$Q$12,6)+'計算（触らない）'!$B$4))</f>
        <v/>
      </c>
      <c r="G19" s="40">
        <f>IF($T19=0,"",$R19)</f>
        <v/>
      </c>
      <c r="H19" s="38">
        <f>IF($T19=0,"",TRIM(IF(AND($Q$5&lt;=2,6=$Q$6),"売却・除却（期末の帳簿価額を帳簿から外す）",IF(AND($U19&gt;0,$U18=0),"ここから改定償却率（改定取得価額 "&amp;TEXT($U19,"#,##0")&amp;"円）",IF($U19&gt;0,"改定償却","")))&amp;IF(AND($Q$5&lt;=2,$R19=$Q$11,$S19&gt;$Q$11,6&lt;&gt;$Q$6)," 償却終わり（帳簿価額 "&amp;$R19&amp;"円）","")&amp;IF(AND($Q$5=4,6=0),"少額特例で全額を経費","")))</f>
        <v/>
      </c>
      <c r="I19" s="68" t="n"/>
      <c r="J19" s="68" t="n"/>
      <c r="K19" s="68" t="n"/>
      <c r="L19" s="68" t="n"/>
      <c r="M19" s="68" t="n"/>
      <c r="N19" s="68" t="n"/>
      <c r="O19" s="68" t="n"/>
      <c r="P19" s="68" t="n"/>
      <c r="Q19" s="68" t="n"/>
      <c r="R19" s="68">
        <f>IF($Q$4=0,0,INDEX('計算（触らない）'!$AS$6:$EP$105,$Q$3,7))</f>
        <v/>
      </c>
      <c r="S19" s="68">
        <f>IF($Q$4=0,0,INDEX('計算（触らない）'!$AS$6:$EP$105,$Q$3,6))</f>
        <v/>
      </c>
      <c r="T19" s="68">
        <f>IF($Q$4=0,0,IF(6=0,1,IF(AND($Q$5&lt;=2,6&lt;=$Q$6,$S19&gt;$Q$11),1,IF(AND($Q$5=3,6&lt;=2),1,0))))</f>
        <v/>
      </c>
      <c r="U19" s="68">
        <f>IF($Q$4=0,0,INDEX('計算（触らない）'!$ER$6:$IN$105,$Q$3,6))</f>
        <v/>
      </c>
    </row>
    <row r="20" ht="17" customHeight="1">
      <c r="A20" s="37">
        <f>IF($T20=0,"",IF('計算（触らない）'!$B$1=1,($Q$13+7)&amp;"年度",($Q$13+7)&amp;"年"))</f>
        <v/>
      </c>
      <c r="B20" s="40">
        <f>IF($T20=0,"",$S20)</f>
        <v/>
      </c>
      <c r="C20" s="51">
        <f>IF($T20=0,"",IF($Q$5&gt;2,"―",IF(7=$Q$6,$Q$7,12)))</f>
        <v/>
      </c>
      <c r="D20" s="42">
        <f>IF($T20=0,"",IF($Q$5=3,"1/3",IF($Q$5=4,"―",IF($U20&gt;0,$Q$10,$Q$9))))</f>
        <v/>
      </c>
      <c r="E20" s="40">
        <f>IF($T20=0,"",$S20-$R20)</f>
        <v/>
      </c>
      <c r="F20" s="40">
        <f>IF($T20=0,"",INT(ROUND(($S20-$R20)*$Q$12,6)+'計算（触らない）'!$B$4))</f>
        <v/>
      </c>
      <c r="G20" s="40">
        <f>IF($T20=0,"",$R20)</f>
        <v/>
      </c>
      <c r="H20" s="38">
        <f>IF($T20=0,"",TRIM(IF(AND($Q$5&lt;=2,7=$Q$6),"売却・除却（期末の帳簿価額を帳簿から外す）",IF(AND($U20&gt;0,$U19=0),"ここから改定償却率（改定取得価額 "&amp;TEXT($U20,"#,##0")&amp;"円）",IF($U20&gt;0,"改定償却","")))&amp;IF(AND($Q$5&lt;=2,$R20=$Q$11,$S20&gt;$Q$11,7&lt;&gt;$Q$6)," 償却終わり（帳簿価額 "&amp;$R20&amp;"円）","")&amp;IF(AND($Q$5=4,7=0),"少額特例で全額を経費","")))</f>
        <v/>
      </c>
      <c r="I20" s="68" t="n"/>
      <c r="J20" s="68" t="n"/>
      <c r="K20" s="68" t="n"/>
      <c r="L20" s="68" t="n"/>
      <c r="M20" s="68" t="n"/>
      <c r="N20" s="68" t="n"/>
      <c r="O20" s="68" t="n"/>
      <c r="P20" s="68" t="n"/>
      <c r="Q20" s="68" t="n"/>
      <c r="R20" s="68">
        <f>IF($Q$4=0,0,INDEX('計算（触らない）'!$AS$6:$EP$105,$Q$3,8))</f>
        <v/>
      </c>
      <c r="S20" s="68">
        <f>IF($Q$4=0,0,INDEX('計算（触らない）'!$AS$6:$EP$105,$Q$3,7))</f>
        <v/>
      </c>
      <c r="T20" s="68">
        <f>IF($Q$4=0,0,IF(7=0,1,IF(AND($Q$5&lt;=2,7&lt;=$Q$6,$S20&gt;$Q$11),1,IF(AND($Q$5=3,7&lt;=2),1,0))))</f>
        <v/>
      </c>
      <c r="U20" s="68">
        <f>IF($Q$4=0,0,INDEX('計算（触らない）'!$ER$6:$IN$105,$Q$3,7))</f>
        <v/>
      </c>
    </row>
    <row r="21" ht="17" customHeight="1">
      <c r="A21" s="37">
        <f>IF($T21=0,"",IF('計算（触らない）'!$B$1=1,($Q$13+8)&amp;"年度",($Q$13+8)&amp;"年"))</f>
        <v/>
      </c>
      <c r="B21" s="40">
        <f>IF($T21=0,"",$S21)</f>
        <v/>
      </c>
      <c r="C21" s="51">
        <f>IF($T21=0,"",IF($Q$5&gt;2,"―",IF(8=$Q$6,$Q$7,12)))</f>
        <v/>
      </c>
      <c r="D21" s="42">
        <f>IF($T21=0,"",IF($Q$5=3,"1/3",IF($Q$5=4,"―",IF($U21&gt;0,$Q$10,$Q$9))))</f>
        <v/>
      </c>
      <c r="E21" s="40">
        <f>IF($T21=0,"",$S21-$R21)</f>
        <v/>
      </c>
      <c r="F21" s="40">
        <f>IF($T21=0,"",INT(ROUND(($S21-$R21)*$Q$12,6)+'計算（触らない）'!$B$4))</f>
        <v/>
      </c>
      <c r="G21" s="40">
        <f>IF($T21=0,"",$R21)</f>
        <v/>
      </c>
      <c r="H21" s="38">
        <f>IF($T21=0,"",TRIM(IF(AND($Q$5&lt;=2,8=$Q$6),"売却・除却（期末の帳簿価額を帳簿から外す）",IF(AND($U21&gt;0,$U20=0),"ここから改定償却率（改定取得価額 "&amp;TEXT($U21,"#,##0")&amp;"円）",IF($U21&gt;0,"改定償却","")))&amp;IF(AND($Q$5&lt;=2,$R21=$Q$11,$S21&gt;$Q$11,8&lt;&gt;$Q$6)," 償却終わり（帳簿価額 "&amp;$R21&amp;"円）","")&amp;IF(AND($Q$5=4,8=0),"少額特例で全額を経費","")))</f>
        <v/>
      </c>
      <c r="I21" s="68" t="n"/>
      <c r="J21" s="68" t="n"/>
      <c r="K21" s="68" t="n"/>
      <c r="L21" s="68" t="n"/>
      <c r="M21" s="68" t="n"/>
      <c r="N21" s="68" t="n"/>
      <c r="O21" s="68" t="n"/>
      <c r="P21" s="68" t="n"/>
      <c r="Q21" s="68" t="n"/>
      <c r="R21" s="68">
        <f>IF($Q$4=0,0,INDEX('計算（触らない）'!$AS$6:$EP$105,$Q$3,9))</f>
        <v/>
      </c>
      <c r="S21" s="68">
        <f>IF($Q$4=0,0,INDEX('計算（触らない）'!$AS$6:$EP$105,$Q$3,8))</f>
        <v/>
      </c>
      <c r="T21" s="68">
        <f>IF($Q$4=0,0,IF(8=0,1,IF(AND($Q$5&lt;=2,8&lt;=$Q$6,$S21&gt;$Q$11),1,IF(AND($Q$5=3,8&lt;=2),1,0))))</f>
        <v/>
      </c>
      <c r="U21" s="68">
        <f>IF($Q$4=0,0,INDEX('計算（触らない）'!$ER$6:$IN$105,$Q$3,8))</f>
        <v/>
      </c>
    </row>
    <row r="22" ht="17" customHeight="1">
      <c r="A22" s="37">
        <f>IF($T22=0,"",IF('計算（触らない）'!$B$1=1,($Q$13+9)&amp;"年度",($Q$13+9)&amp;"年"))</f>
        <v/>
      </c>
      <c r="B22" s="40">
        <f>IF($T22=0,"",$S22)</f>
        <v/>
      </c>
      <c r="C22" s="51">
        <f>IF($T22=0,"",IF($Q$5&gt;2,"―",IF(9=$Q$6,$Q$7,12)))</f>
        <v/>
      </c>
      <c r="D22" s="42">
        <f>IF($T22=0,"",IF($Q$5=3,"1/3",IF($Q$5=4,"―",IF($U22&gt;0,$Q$10,$Q$9))))</f>
        <v/>
      </c>
      <c r="E22" s="40">
        <f>IF($T22=0,"",$S22-$R22)</f>
        <v/>
      </c>
      <c r="F22" s="40">
        <f>IF($T22=0,"",INT(ROUND(($S22-$R22)*$Q$12,6)+'計算（触らない）'!$B$4))</f>
        <v/>
      </c>
      <c r="G22" s="40">
        <f>IF($T22=0,"",$R22)</f>
        <v/>
      </c>
      <c r="H22" s="38">
        <f>IF($T22=0,"",TRIM(IF(AND($Q$5&lt;=2,9=$Q$6),"売却・除却（期末の帳簿価額を帳簿から外す）",IF(AND($U22&gt;0,$U21=0),"ここから改定償却率（改定取得価額 "&amp;TEXT($U22,"#,##0")&amp;"円）",IF($U22&gt;0,"改定償却","")))&amp;IF(AND($Q$5&lt;=2,$R22=$Q$11,$S22&gt;$Q$11,9&lt;&gt;$Q$6)," 償却終わり（帳簿価額 "&amp;$R22&amp;"円）","")&amp;IF(AND($Q$5=4,9=0),"少額特例で全額を経費","")))</f>
        <v/>
      </c>
      <c r="I22" s="68" t="n"/>
      <c r="J22" s="68" t="n"/>
      <c r="K22" s="68" t="n"/>
      <c r="L22" s="68" t="n"/>
      <c r="M22" s="68" t="n"/>
      <c r="N22" s="68" t="n"/>
      <c r="O22" s="68" t="n"/>
      <c r="P22" s="68" t="n"/>
      <c r="Q22" s="68" t="n"/>
      <c r="R22" s="68">
        <f>IF($Q$4=0,0,INDEX('計算（触らない）'!$AS$6:$EP$105,$Q$3,10))</f>
        <v/>
      </c>
      <c r="S22" s="68">
        <f>IF($Q$4=0,0,INDEX('計算（触らない）'!$AS$6:$EP$105,$Q$3,9))</f>
        <v/>
      </c>
      <c r="T22" s="68">
        <f>IF($Q$4=0,0,IF(9=0,1,IF(AND($Q$5&lt;=2,9&lt;=$Q$6,$S22&gt;$Q$11),1,IF(AND($Q$5=3,9&lt;=2),1,0))))</f>
        <v/>
      </c>
      <c r="U22" s="68">
        <f>IF($Q$4=0,0,INDEX('計算（触らない）'!$ER$6:$IN$105,$Q$3,9))</f>
        <v/>
      </c>
    </row>
    <row r="23" ht="17" customHeight="1">
      <c r="A23" s="37">
        <f>IF($T23=0,"",IF('計算（触らない）'!$B$1=1,($Q$13+10)&amp;"年度",($Q$13+10)&amp;"年"))</f>
        <v/>
      </c>
      <c r="B23" s="40">
        <f>IF($T23=0,"",$S23)</f>
        <v/>
      </c>
      <c r="C23" s="51">
        <f>IF($T23=0,"",IF($Q$5&gt;2,"―",IF(10=$Q$6,$Q$7,12)))</f>
        <v/>
      </c>
      <c r="D23" s="42">
        <f>IF($T23=0,"",IF($Q$5=3,"1/3",IF($Q$5=4,"―",IF($U23&gt;0,$Q$10,$Q$9))))</f>
        <v/>
      </c>
      <c r="E23" s="40">
        <f>IF($T23=0,"",$S23-$R23)</f>
        <v/>
      </c>
      <c r="F23" s="40">
        <f>IF($T23=0,"",INT(ROUND(($S23-$R23)*$Q$12,6)+'計算（触らない）'!$B$4))</f>
        <v/>
      </c>
      <c r="G23" s="40">
        <f>IF($T23=0,"",$R23)</f>
        <v/>
      </c>
      <c r="H23" s="38">
        <f>IF($T23=0,"",TRIM(IF(AND($Q$5&lt;=2,10=$Q$6),"売却・除却（期末の帳簿価額を帳簿から外す）",IF(AND($U23&gt;0,$U22=0),"ここから改定償却率（改定取得価額 "&amp;TEXT($U23,"#,##0")&amp;"円）",IF($U23&gt;0,"改定償却","")))&amp;IF(AND($Q$5&lt;=2,$R23=$Q$11,$S23&gt;$Q$11,10&lt;&gt;$Q$6)," 償却終わり（帳簿価額 "&amp;$R23&amp;"円）","")&amp;IF(AND($Q$5=4,10=0),"少額特例で全額を経費","")))</f>
        <v/>
      </c>
      <c r="I23" s="68" t="n"/>
      <c r="J23" s="68" t="n"/>
      <c r="K23" s="68" t="n"/>
      <c r="L23" s="68" t="n"/>
      <c r="M23" s="68" t="n"/>
      <c r="N23" s="68" t="n"/>
      <c r="O23" s="68" t="n"/>
      <c r="P23" s="68" t="n"/>
      <c r="Q23" s="68" t="n"/>
      <c r="R23" s="68">
        <f>IF($Q$4=0,0,INDEX('計算（触らない）'!$AS$6:$EP$105,$Q$3,11))</f>
        <v/>
      </c>
      <c r="S23" s="68">
        <f>IF($Q$4=0,0,INDEX('計算（触らない）'!$AS$6:$EP$105,$Q$3,10))</f>
        <v/>
      </c>
      <c r="T23" s="68">
        <f>IF($Q$4=0,0,IF(10=0,1,IF(AND($Q$5&lt;=2,10&lt;=$Q$6,$S23&gt;$Q$11),1,IF(AND($Q$5=3,10&lt;=2),1,0))))</f>
        <v/>
      </c>
      <c r="U23" s="68">
        <f>IF($Q$4=0,0,INDEX('計算（触らない）'!$ER$6:$IN$105,$Q$3,10))</f>
        <v/>
      </c>
    </row>
    <row r="24" ht="17" customHeight="1">
      <c r="A24" s="37">
        <f>IF($T24=0,"",IF('計算（触らない）'!$B$1=1,($Q$13+11)&amp;"年度",($Q$13+11)&amp;"年"))</f>
        <v/>
      </c>
      <c r="B24" s="40">
        <f>IF($T24=0,"",$S24)</f>
        <v/>
      </c>
      <c r="C24" s="51">
        <f>IF($T24=0,"",IF($Q$5&gt;2,"―",IF(11=$Q$6,$Q$7,12)))</f>
        <v/>
      </c>
      <c r="D24" s="42">
        <f>IF($T24=0,"",IF($Q$5=3,"1/3",IF($Q$5=4,"―",IF($U24&gt;0,$Q$10,$Q$9))))</f>
        <v/>
      </c>
      <c r="E24" s="40">
        <f>IF($T24=0,"",$S24-$R24)</f>
        <v/>
      </c>
      <c r="F24" s="40">
        <f>IF($T24=0,"",INT(ROUND(($S24-$R24)*$Q$12,6)+'計算（触らない）'!$B$4))</f>
        <v/>
      </c>
      <c r="G24" s="40">
        <f>IF($T24=0,"",$R24)</f>
        <v/>
      </c>
      <c r="H24" s="38">
        <f>IF($T24=0,"",TRIM(IF(AND($Q$5&lt;=2,11=$Q$6),"売却・除却（期末の帳簿価額を帳簿から外す）",IF(AND($U24&gt;0,$U23=0),"ここから改定償却率（改定取得価額 "&amp;TEXT($U24,"#,##0")&amp;"円）",IF($U24&gt;0,"改定償却","")))&amp;IF(AND($Q$5&lt;=2,$R24=$Q$11,$S24&gt;$Q$11,11&lt;&gt;$Q$6)," 償却終わり（帳簿価額 "&amp;$R24&amp;"円）","")&amp;IF(AND($Q$5=4,11=0),"少額特例で全額を経費","")))</f>
        <v/>
      </c>
      <c r="I24" s="68" t="n"/>
      <c r="J24" s="68" t="n"/>
      <c r="K24" s="68" t="n"/>
      <c r="L24" s="68" t="n"/>
      <c r="M24" s="68" t="n"/>
      <c r="N24" s="68" t="n"/>
      <c r="O24" s="68" t="n"/>
      <c r="P24" s="68" t="n"/>
      <c r="Q24" s="68" t="n"/>
      <c r="R24" s="68">
        <f>IF($Q$4=0,0,INDEX('計算（触らない）'!$AS$6:$EP$105,$Q$3,12))</f>
        <v/>
      </c>
      <c r="S24" s="68">
        <f>IF($Q$4=0,0,INDEX('計算（触らない）'!$AS$6:$EP$105,$Q$3,11))</f>
        <v/>
      </c>
      <c r="T24" s="68">
        <f>IF($Q$4=0,0,IF(11=0,1,IF(AND($Q$5&lt;=2,11&lt;=$Q$6,$S24&gt;$Q$11),1,IF(AND($Q$5=3,11&lt;=2),1,0))))</f>
        <v/>
      </c>
      <c r="U24" s="68">
        <f>IF($Q$4=0,0,INDEX('計算（触らない）'!$ER$6:$IN$105,$Q$3,11))</f>
        <v/>
      </c>
    </row>
    <row r="25" ht="17" customHeight="1">
      <c r="A25" s="37">
        <f>IF($T25=0,"",IF('計算（触らない）'!$B$1=1,($Q$13+12)&amp;"年度",($Q$13+12)&amp;"年"))</f>
        <v/>
      </c>
      <c r="B25" s="40">
        <f>IF($T25=0,"",$S25)</f>
        <v/>
      </c>
      <c r="C25" s="51">
        <f>IF($T25=0,"",IF($Q$5&gt;2,"―",IF(12=$Q$6,$Q$7,12)))</f>
        <v/>
      </c>
      <c r="D25" s="42">
        <f>IF($T25=0,"",IF($Q$5=3,"1/3",IF($Q$5=4,"―",IF($U25&gt;0,$Q$10,$Q$9))))</f>
        <v/>
      </c>
      <c r="E25" s="40">
        <f>IF($T25=0,"",$S25-$R25)</f>
        <v/>
      </c>
      <c r="F25" s="40">
        <f>IF($T25=0,"",INT(ROUND(($S25-$R25)*$Q$12,6)+'計算（触らない）'!$B$4))</f>
        <v/>
      </c>
      <c r="G25" s="40">
        <f>IF($T25=0,"",$R25)</f>
        <v/>
      </c>
      <c r="H25" s="38">
        <f>IF($T25=0,"",TRIM(IF(AND($Q$5&lt;=2,12=$Q$6),"売却・除却（期末の帳簿価額を帳簿から外す）",IF(AND($U25&gt;0,$U24=0),"ここから改定償却率（改定取得価額 "&amp;TEXT($U25,"#,##0")&amp;"円）",IF($U25&gt;0,"改定償却","")))&amp;IF(AND($Q$5&lt;=2,$R25=$Q$11,$S25&gt;$Q$11,12&lt;&gt;$Q$6)," 償却終わり（帳簿価額 "&amp;$R25&amp;"円）","")&amp;IF(AND($Q$5=4,12=0),"少額特例で全額を経費","")))</f>
        <v/>
      </c>
      <c r="I25" s="68" t="n"/>
      <c r="J25" s="68" t="n"/>
      <c r="K25" s="68" t="n"/>
      <c r="L25" s="68" t="n"/>
      <c r="M25" s="68" t="n"/>
      <c r="N25" s="68" t="n"/>
      <c r="O25" s="68" t="n"/>
      <c r="P25" s="68" t="n"/>
      <c r="Q25" s="68" t="n"/>
      <c r="R25" s="68">
        <f>IF($Q$4=0,0,INDEX('計算（触らない）'!$AS$6:$EP$105,$Q$3,13))</f>
        <v/>
      </c>
      <c r="S25" s="68">
        <f>IF($Q$4=0,0,INDEX('計算（触らない）'!$AS$6:$EP$105,$Q$3,12))</f>
        <v/>
      </c>
      <c r="T25" s="68">
        <f>IF($Q$4=0,0,IF(12=0,1,IF(AND($Q$5&lt;=2,12&lt;=$Q$6,$S25&gt;$Q$11),1,IF(AND($Q$5=3,12&lt;=2),1,0))))</f>
        <v/>
      </c>
      <c r="U25" s="68">
        <f>IF($Q$4=0,0,INDEX('計算（触らない）'!$ER$6:$IN$105,$Q$3,12))</f>
        <v/>
      </c>
    </row>
    <row r="26" ht="17" customHeight="1">
      <c r="A26" s="37">
        <f>IF($T26=0,"",IF('計算（触らない）'!$B$1=1,($Q$13+13)&amp;"年度",($Q$13+13)&amp;"年"))</f>
        <v/>
      </c>
      <c r="B26" s="40">
        <f>IF($T26=0,"",$S26)</f>
        <v/>
      </c>
      <c r="C26" s="51">
        <f>IF($T26=0,"",IF($Q$5&gt;2,"―",IF(13=$Q$6,$Q$7,12)))</f>
        <v/>
      </c>
      <c r="D26" s="42">
        <f>IF($T26=0,"",IF($Q$5=3,"1/3",IF($Q$5=4,"―",IF($U26&gt;0,$Q$10,$Q$9))))</f>
        <v/>
      </c>
      <c r="E26" s="40">
        <f>IF($T26=0,"",$S26-$R26)</f>
        <v/>
      </c>
      <c r="F26" s="40">
        <f>IF($T26=0,"",INT(ROUND(($S26-$R26)*$Q$12,6)+'計算（触らない）'!$B$4))</f>
        <v/>
      </c>
      <c r="G26" s="40">
        <f>IF($T26=0,"",$R26)</f>
        <v/>
      </c>
      <c r="H26" s="38">
        <f>IF($T26=0,"",TRIM(IF(AND($Q$5&lt;=2,13=$Q$6),"売却・除却（期末の帳簿価額を帳簿から外す）",IF(AND($U26&gt;0,$U25=0),"ここから改定償却率（改定取得価額 "&amp;TEXT($U26,"#,##0")&amp;"円）",IF($U26&gt;0,"改定償却","")))&amp;IF(AND($Q$5&lt;=2,$R26=$Q$11,$S26&gt;$Q$11,13&lt;&gt;$Q$6)," 償却終わり（帳簿価額 "&amp;$R26&amp;"円）","")&amp;IF(AND($Q$5=4,13=0),"少額特例で全額を経費","")))</f>
        <v/>
      </c>
      <c r="I26" s="68" t="n"/>
      <c r="J26" s="68" t="n"/>
      <c r="K26" s="68" t="n"/>
      <c r="L26" s="68" t="n"/>
      <c r="M26" s="68" t="n"/>
      <c r="N26" s="68" t="n"/>
      <c r="O26" s="68" t="n"/>
      <c r="P26" s="68" t="n"/>
      <c r="Q26" s="68" t="n"/>
      <c r="R26" s="68">
        <f>IF($Q$4=0,0,INDEX('計算（触らない）'!$AS$6:$EP$105,$Q$3,14))</f>
        <v/>
      </c>
      <c r="S26" s="68">
        <f>IF($Q$4=0,0,INDEX('計算（触らない）'!$AS$6:$EP$105,$Q$3,13))</f>
        <v/>
      </c>
      <c r="T26" s="68">
        <f>IF($Q$4=0,0,IF(13=0,1,IF(AND($Q$5&lt;=2,13&lt;=$Q$6,$S26&gt;$Q$11),1,IF(AND($Q$5=3,13&lt;=2),1,0))))</f>
        <v/>
      </c>
      <c r="U26" s="68">
        <f>IF($Q$4=0,0,INDEX('計算（触らない）'!$ER$6:$IN$105,$Q$3,13))</f>
        <v/>
      </c>
    </row>
    <row r="27" ht="17" customHeight="1">
      <c r="A27" s="37">
        <f>IF($T27=0,"",IF('計算（触らない）'!$B$1=1,($Q$13+14)&amp;"年度",($Q$13+14)&amp;"年"))</f>
        <v/>
      </c>
      <c r="B27" s="40">
        <f>IF($T27=0,"",$S27)</f>
        <v/>
      </c>
      <c r="C27" s="51">
        <f>IF($T27=0,"",IF($Q$5&gt;2,"―",IF(14=$Q$6,$Q$7,12)))</f>
        <v/>
      </c>
      <c r="D27" s="42">
        <f>IF($T27=0,"",IF($Q$5=3,"1/3",IF($Q$5=4,"―",IF($U27&gt;0,$Q$10,$Q$9))))</f>
        <v/>
      </c>
      <c r="E27" s="40">
        <f>IF($T27=0,"",$S27-$R27)</f>
        <v/>
      </c>
      <c r="F27" s="40">
        <f>IF($T27=0,"",INT(ROUND(($S27-$R27)*$Q$12,6)+'計算（触らない）'!$B$4))</f>
        <v/>
      </c>
      <c r="G27" s="40">
        <f>IF($T27=0,"",$R27)</f>
        <v/>
      </c>
      <c r="H27" s="38">
        <f>IF($T27=0,"",TRIM(IF(AND($Q$5&lt;=2,14=$Q$6),"売却・除却（期末の帳簿価額を帳簿から外す）",IF(AND($U27&gt;0,$U26=0),"ここから改定償却率（改定取得価額 "&amp;TEXT($U27,"#,##0")&amp;"円）",IF($U27&gt;0,"改定償却","")))&amp;IF(AND($Q$5&lt;=2,$R27=$Q$11,$S27&gt;$Q$11,14&lt;&gt;$Q$6)," 償却終わり（帳簿価額 "&amp;$R27&amp;"円）","")&amp;IF(AND($Q$5=4,14=0),"少額特例で全額を経費","")))</f>
        <v/>
      </c>
      <c r="I27" s="68" t="n"/>
      <c r="J27" s="68" t="n"/>
      <c r="K27" s="68" t="n"/>
      <c r="L27" s="68" t="n"/>
      <c r="M27" s="68" t="n"/>
      <c r="N27" s="68" t="n"/>
      <c r="O27" s="68" t="n"/>
      <c r="P27" s="68" t="n"/>
      <c r="Q27" s="68" t="n"/>
      <c r="R27" s="68">
        <f>IF($Q$4=0,0,INDEX('計算（触らない）'!$AS$6:$EP$105,$Q$3,15))</f>
        <v/>
      </c>
      <c r="S27" s="68">
        <f>IF($Q$4=0,0,INDEX('計算（触らない）'!$AS$6:$EP$105,$Q$3,14))</f>
        <v/>
      </c>
      <c r="T27" s="68">
        <f>IF($Q$4=0,0,IF(14=0,1,IF(AND($Q$5&lt;=2,14&lt;=$Q$6,$S27&gt;$Q$11),1,IF(AND($Q$5=3,14&lt;=2),1,0))))</f>
        <v/>
      </c>
      <c r="U27" s="68">
        <f>IF($Q$4=0,0,INDEX('計算（触らない）'!$ER$6:$IN$105,$Q$3,14))</f>
        <v/>
      </c>
    </row>
    <row r="28" ht="17" customHeight="1">
      <c r="A28" s="37">
        <f>IF($T28=0,"",IF('計算（触らない）'!$B$1=1,($Q$13+15)&amp;"年度",($Q$13+15)&amp;"年"))</f>
        <v/>
      </c>
      <c r="B28" s="40">
        <f>IF($T28=0,"",$S28)</f>
        <v/>
      </c>
      <c r="C28" s="51">
        <f>IF($T28=0,"",IF($Q$5&gt;2,"―",IF(15=$Q$6,$Q$7,12)))</f>
        <v/>
      </c>
      <c r="D28" s="42">
        <f>IF($T28=0,"",IF($Q$5=3,"1/3",IF($Q$5=4,"―",IF($U28&gt;0,$Q$10,$Q$9))))</f>
        <v/>
      </c>
      <c r="E28" s="40">
        <f>IF($T28=0,"",$S28-$R28)</f>
        <v/>
      </c>
      <c r="F28" s="40">
        <f>IF($T28=0,"",INT(ROUND(($S28-$R28)*$Q$12,6)+'計算（触らない）'!$B$4))</f>
        <v/>
      </c>
      <c r="G28" s="40">
        <f>IF($T28=0,"",$R28)</f>
        <v/>
      </c>
      <c r="H28" s="38">
        <f>IF($T28=0,"",TRIM(IF(AND($Q$5&lt;=2,15=$Q$6),"売却・除却（期末の帳簿価額を帳簿から外す）",IF(AND($U28&gt;0,$U27=0),"ここから改定償却率（改定取得価額 "&amp;TEXT($U28,"#,##0")&amp;"円）",IF($U28&gt;0,"改定償却","")))&amp;IF(AND($Q$5&lt;=2,$R28=$Q$11,$S28&gt;$Q$11,15&lt;&gt;$Q$6)," 償却終わり（帳簿価額 "&amp;$R28&amp;"円）","")&amp;IF(AND($Q$5=4,15=0),"少額特例で全額を経費","")))</f>
        <v/>
      </c>
      <c r="I28" s="68" t="n"/>
      <c r="J28" s="68" t="n"/>
      <c r="K28" s="68" t="n"/>
      <c r="L28" s="68" t="n"/>
      <c r="M28" s="68" t="n"/>
      <c r="N28" s="68" t="n"/>
      <c r="O28" s="68" t="n"/>
      <c r="P28" s="68" t="n"/>
      <c r="Q28" s="68" t="n"/>
      <c r="R28" s="68">
        <f>IF($Q$4=0,0,INDEX('計算（触らない）'!$AS$6:$EP$105,$Q$3,16))</f>
        <v/>
      </c>
      <c r="S28" s="68">
        <f>IF($Q$4=0,0,INDEX('計算（触らない）'!$AS$6:$EP$105,$Q$3,15))</f>
        <v/>
      </c>
      <c r="T28" s="68">
        <f>IF($Q$4=0,0,IF(15=0,1,IF(AND($Q$5&lt;=2,15&lt;=$Q$6,$S28&gt;$Q$11),1,IF(AND($Q$5=3,15&lt;=2),1,0))))</f>
        <v/>
      </c>
      <c r="U28" s="68">
        <f>IF($Q$4=0,0,INDEX('計算（触らない）'!$ER$6:$IN$105,$Q$3,15))</f>
        <v/>
      </c>
    </row>
    <row r="29" ht="17" customHeight="1">
      <c r="A29" s="37">
        <f>IF($T29=0,"",IF('計算（触らない）'!$B$1=1,($Q$13+16)&amp;"年度",($Q$13+16)&amp;"年"))</f>
        <v/>
      </c>
      <c r="B29" s="40">
        <f>IF($T29=0,"",$S29)</f>
        <v/>
      </c>
      <c r="C29" s="51">
        <f>IF($T29=0,"",IF($Q$5&gt;2,"―",IF(16=$Q$6,$Q$7,12)))</f>
        <v/>
      </c>
      <c r="D29" s="42">
        <f>IF($T29=0,"",IF($Q$5=3,"1/3",IF($Q$5=4,"―",IF($U29&gt;0,$Q$10,$Q$9))))</f>
        <v/>
      </c>
      <c r="E29" s="40">
        <f>IF($T29=0,"",$S29-$R29)</f>
        <v/>
      </c>
      <c r="F29" s="40">
        <f>IF($T29=0,"",INT(ROUND(($S29-$R29)*$Q$12,6)+'計算（触らない）'!$B$4))</f>
        <v/>
      </c>
      <c r="G29" s="40">
        <f>IF($T29=0,"",$R29)</f>
        <v/>
      </c>
      <c r="H29" s="38">
        <f>IF($T29=0,"",TRIM(IF(AND($Q$5&lt;=2,16=$Q$6),"売却・除却（期末の帳簿価額を帳簿から外す）",IF(AND($U29&gt;0,$U28=0),"ここから改定償却率（改定取得価額 "&amp;TEXT($U29,"#,##0")&amp;"円）",IF($U29&gt;0,"改定償却","")))&amp;IF(AND($Q$5&lt;=2,$R29=$Q$11,$S29&gt;$Q$11,16&lt;&gt;$Q$6)," 償却終わり（帳簿価額 "&amp;$R29&amp;"円）","")&amp;IF(AND($Q$5=4,16=0),"少額特例で全額を経費","")))</f>
        <v/>
      </c>
      <c r="I29" s="68" t="n"/>
      <c r="J29" s="68" t="n"/>
      <c r="K29" s="68" t="n"/>
      <c r="L29" s="68" t="n"/>
      <c r="M29" s="68" t="n"/>
      <c r="N29" s="68" t="n"/>
      <c r="O29" s="68" t="n"/>
      <c r="P29" s="68" t="n"/>
      <c r="Q29" s="68" t="n"/>
      <c r="R29" s="68">
        <f>IF($Q$4=0,0,INDEX('計算（触らない）'!$AS$6:$EP$105,$Q$3,17))</f>
        <v/>
      </c>
      <c r="S29" s="68">
        <f>IF($Q$4=0,0,INDEX('計算（触らない）'!$AS$6:$EP$105,$Q$3,16))</f>
        <v/>
      </c>
      <c r="T29" s="68">
        <f>IF($Q$4=0,0,IF(16=0,1,IF(AND($Q$5&lt;=2,16&lt;=$Q$6,$S29&gt;$Q$11),1,IF(AND($Q$5=3,16&lt;=2),1,0))))</f>
        <v/>
      </c>
      <c r="U29" s="68">
        <f>IF($Q$4=0,0,INDEX('計算（触らない）'!$ER$6:$IN$105,$Q$3,16))</f>
        <v/>
      </c>
    </row>
    <row r="30" ht="17" customHeight="1">
      <c r="A30" s="37">
        <f>IF($T30=0,"",IF('計算（触らない）'!$B$1=1,($Q$13+17)&amp;"年度",($Q$13+17)&amp;"年"))</f>
        <v/>
      </c>
      <c r="B30" s="40">
        <f>IF($T30=0,"",$S30)</f>
        <v/>
      </c>
      <c r="C30" s="51">
        <f>IF($T30=0,"",IF($Q$5&gt;2,"―",IF(17=$Q$6,$Q$7,12)))</f>
        <v/>
      </c>
      <c r="D30" s="42">
        <f>IF($T30=0,"",IF($Q$5=3,"1/3",IF($Q$5=4,"―",IF($U30&gt;0,$Q$10,$Q$9))))</f>
        <v/>
      </c>
      <c r="E30" s="40">
        <f>IF($T30=0,"",$S30-$R30)</f>
        <v/>
      </c>
      <c r="F30" s="40">
        <f>IF($T30=0,"",INT(ROUND(($S30-$R30)*$Q$12,6)+'計算（触らない）'!$B$4))</f>
        <v/>
      </c>
      <c r="G30" s="40">
        <f>IF($T30=0,"",$R30)</f>
        <v/>
      </c>
      <c r="H30" s="38">
        <f>IF($T30=0,"",TRIM(IF(AND($Q$5&lt;=2,17=$Q$6),"売却・除却（期末の帳簿価額を帳簿から外す）",IF(AND($U30&gt;0,$U29=0),"ここから改定償却率（改定取得価額 "&amp;TEXT($U30,"#,##0")&amp;"円）",IF($U30&gt;0,"改定償却","")))&amp;IF(AND($Q$5&lt;=2,$R30=$Q$11,$S30&gt;$Q$11,17&lt;&gt;$Q$6)," 償却終わり（帳簿価額 "&amp;$R30&amp;"円）","")&amp;IF(AND($Q$5=4,17=0),"少額特例で全額を経費","")))</f>
        <v/>
      </c>
      <c r="I30" s="68" t="n"/>
      <c r="J30" s="68" t="n"/>
      <c r="K30" s="68" t="n"/>
      <c r="L30" s="68" t="n"/>
      <c r="M30" s="68" t="n"/>
      <c r="N30" s="68" t="n"/>
      <c r="O30" s="68" t="n"/>
      <c r="P30" s="68" t="n"/>
      <c r="Q30" s="68" t="n"/>
      <c r="R30" s="68">
        <f>IF($Q$4=0,0,INDEX('計算（触らない）'!$AS$6:$EP$105,$Q$3,18))</f>
        <v/>
      </c>
      <c r="S30" s="68">
        <f>IF($Q$4=0,0,INDEX('計算（触らない）'!$AS$6:$EP$105,$Q$3,17))</f>
        <v/>
      </c>
      <c r="T30" s="68">
        <f>IF($Q$4=0,0,IF(17=0,1,IF(AND($Q$5&lt;=2,17&lt;=$Q$6,$S30&gt;$Q$11),1,IF(AND($Q$5=3,17&lt;=2),1,0))))</f>
        <v/>
      </c>
      <c r="U30" s="68">
        <f>IF($Q$4=0,0,INDEX('計算（触らない）'!$ER$6:$IN$105,$Q$3,17))</f>
        <v/>
      </c>
    </row>
    <row r="31" ht="17" customHeight="1">
      <c r="A31" s="37">
        <f>IF($T31=0,"",IF('計算（触らない）'!$B$1=1,($Q$13+18)&amp;"年度",($Q$13+18)&amp;"年"))</f>
        <v/>
      </c>
      <c r="B31" s="40">
        <f>IF($T31=0,"",$S31)</f>
        <v/>
      </c>
      <c r="C31" s="51">
        <f>IF($T31=0,"",IF($Q$5&gt;2,"―",IF(18=$Q$6,$Q$7,12)))</f>
        <v/>
      </c>
      <c r="D31" s="42">
        <f>IF($T31=0,"",IF($Q$5=3,"1/3",IF($Q$5=4,"―",IF($U31&gt;0,$Q$10,$Q$9))))</f>
        <v/>
      </c>
      <c r="E31" s="40">
        <f>IF($T31=0,"",$S31-$R31)</f>
        <v/>
      </c>
      <c r="F31" s="40">
        <f>IF($T31=0,"",INT(ROUND(($S31-$R31)*$Q$12,6)+'計算（触らない）'!$B$4))</f>
        <v/>
      </c>
      <c r="G31" s="40">
        <f>IF($T31=0,"",$R31)</f>
        <v/>
      </c>
      <c r="H31" s="38">
        <f>IF($T31=0,"",TRIM(IF(AND($Q$5&lt;=2,18=$Q$6),"売却・除却（期末の帳簿価額を帳簿から外す）",IF(AND($U31&gt;0,$U30=0),"ここから改定償却率（改定取得価額 "&amp;TEXT($U31,"#,##0")&amp;"円）",IF($U31&gt;0,"改定償却","")))&amp;IF(AND($Q$5&lt;=2,$R31=$Q$11,$S31&gt;$Q$11,18&lt;&gt;$Q$6)," 償却終わり（帳簿価額 "&amp;$R31&amp;"円）","")&amp;IF(AND($Q$5=4,18=0),"少額特例で全額を経費","")))</f>
        <v/>
      </c>
      <c r="I31" s="68" t="n"/>
      <c r="J31" s="68" t="n"/>
      <c r="K31" s="68" t="n"/>
      <c r="L31" s="68" t="n"/>
      <c r="M31" s="68" t="n"/>
      <c r="N31" s="68" t="n"/>
      <c r="O31" s="68" t="n"/>
      <c r="P31" s="68" t="n"/>
      <c r="Q31" s="68" t="n"/>
      <c r="R31" s="68">
        <f>IF($Q$4=0,0,INDEX('計算（触らない）'!$AS$6:$EP$105,$Q$3,19))</f>
        <v/>
      </c>
      <c r="S31" s="68">
        <f>IF($Q$4=0,0,INDEX('計算（触らない）'!$AS$6:$EP$105,$Q$3,18))</f>
        <v/>
      </c>
      <c r="T31" s="68">
        <f>IF($Q$4=0,0,IF(18=0,1,IF(AND($Q$5&lt;=2,18&lt;=$Q$6,$S31&gt;$Q$11),1,IF(AND($Q$5=3,18&lt;=2),1,0))))</f>
        <v/>
      </c>
      <c r="U31" s="68">
        <f>IF($Q$4=0,0,INDEX('計算（触らない）'!$ER$6:$IN$105,$Q$3,18))</f>
        <v/>
      </c>
    </row>
    <row r="32" ht="17" customHeight="1">
      <c r="A32" s="37">
        <f>IF($T32=0,"",IF('計算（触らない）'!$B$1=1,($Q$13+19)&amp;"年度",($Q$13+19)&amp;"年"))</f>
        <v/>
      </c>
      <c r="B32" s="40">
        <f>IF($T32=0,"",$S32)</f>
        <v/>
      </c>
      <c r="C32" s="51">
        <f>IF($T32=0,"",IF($Q$5&gt;2,"―",IF(19=$Q$6,$Q$7,12)))</f>
        <v/>
      </c>
      <c r="D32" s="42">
        <f>IF($T32=0,"",IF($Q$5=3,"1/3",IF($Q$5=4,"―",IF($U32&gt;0,$Q$10,$Q$9))))</f>
        <v/>
      </c>
      <c r="E32" s="40">
        <f>IF($T32=0,"",$S32-$R32)</f>
        <v/>
      </c>
      <c r="F32" s="40">
        <f>IF($T32=0,"",INT(ROUND(($S32-$R32)*$Q$12,6)+'計算（触らない）'!$B$4))</f>
        <v/>
      </c>
      <c r="G32" s="40">
        <f>IF($T32=0,"",$R32)</f>
        <v/>
      </c>
      <c r="H32" s="38">
        <f>IF($T32=0,"",TRIM(IF(AND($Q$5&lt;=2,19=$Q$6),"売却・除却（期末の帳簿価額を帳簿から外す）",IF(AND($U32&gt;0,$U31=0),"ここから改定償却率（改定取得価額 "&amp;TEXT($U32,"#,##0")&amp;"円）",IF($U32&gt;0,"改定償却","")))&amp;IF(AND($Q$5&lt;=2,$R32=$Q$11,$S32&gt;$Q$11,19&lt;&gt;$Q$6)," 償却終わり（帳簿価額 "&amp;$R32&amp;"円）","")&amp;IF(AND($Q$5=4,19=0),"少額特例で全額を経費","")))</f>
        <v/>
      </c>
      <c r="I32" s="68" t="n"/>
      <c r="J32" s="68" t="n"/>
      <c r="K32" s="68" t="n"/>
      <c r="L32" s="68" t="n"/>
      <c r="M32" s="68" t="n"/>
      <c r="N32" s="68" t="n"/>
      <c r="O32" s="68" t="n"/>
      <c r="P32" s="68" t="n"/>
      <c r="Q32" s="68" t="n"/>
      <c r="R32" s="68">
        <f>IF($Q$4=0,0,INDEX('計算（触らない）'!$AS$6:$EP$105,$Q$3,20))</f>
        <v/>
      </c>
      <c r="S32" s="68">
        <f>IF($Q$4=0,0,INDEX('計算（触らない）'!$AS$6:$EP$105,$Q$3,19))</f>
        <v/>
      </c>
      <c r="T32" s="68">
        <f>IF($Q$4=0,0,IF(19=0,1,IF(AND($Q$5&lt;=2,19&lt;=$Q$6,$S32&gt;$Q$11),1,IF(AND($Q$5=3,19&lt;=2),1,0))))</f>
        <v/>
      </c>
      <c r="U32" s="68">
        <f>IF($Q$4=0,0,INDEX('計算（触らない）'!$ER$6:$IN$105,$Q$3,19))</f>
        <v/>
      </c>
    </row>
    <row r="33" ht="17" customHeight="1">
      <c r="A33" s="37">
        <f>IF($T33=0,"",IF('計算（触らない）'!$B$1=1,($Q$13+20)&amp;"年度",($Q$13+20)&amp;"年"))</f>
        <v/>
      </c>
      <c r="B33" s="40">
        <f>IF($T33=0,"",$S33)</f>
        <v/>
      </c>
      <c r="C33" s="51">
        <f>IF($T33=0,"",IF($Q$5&gt;2,"―",IF(20=$Q$6,$Q$7,12)))</f>
        <v/>
      </c>
      <c r="D33" s="42">
        <f>IF($T33=0,"",IF($Q$5=3,"1/3",IF($Q$5=4,"―",IF($U33&gt;0,$Q$10,$Q$9))))</f>
        <v/>
      </c>
      <c r="E33" s="40">
        <f>IF($T33=0,"",$S33-$R33)</f>
        <v/>
      </c>
      <c r="F33" s="40">
        <f>IF($T33=0,"",INT(ROUND(($S33-$R33)*$Q$12,6)+'計算（触らない）'!$B$4))</f>
        <v/>
      </c>
      <c r="G33" s="40">
        <f>IF($T33=0,"",$R33)</f>
        <v/>
      </c>
      <c r="H33" s="38">
        <f>IF($T33=0,"",TRIM(IF(AND($Q$5&lt;=2,20=$Q$6),"売却・除却（期末の帳簿価額を帳簿から外す）",IF(AND($U33&gt;0,$U32=0),"ここから改定償却率（改定取得価額 "&amp;TEXT($U33,"#,##0")&amp;"円）",IF($U33&gt;0,"改定償却","")))&amp;IF(AND($Q$5&lt;=2,$R33=$Q$11,$S33&gt;$Q$11,20&lt;&gt;$Q$6)," 償却終わり（帳簿価額 "&amp;$R33&amp;"円）","")&amp;IF(AND($Q$5=4,20=0),"少額特例で全額を経費","")))</f>
        <v/>
      </c>
      <c r="I33" s="68" t="n"/>
      <c r="J33" s="68" t="n"/>
      <c r="K33" s="68" t="n"/>
      <c r="L33" s="68" t="n"/>
      <c r="M33" s="68" t="n"/>
      <c r="N33" s="68" t="n"/>
      <c r="O33" s="68" t="n"/>
      <c r="P33" s="68" t="n"/>
      <c r="Q33" s="68" t="n"/>
      <c r="R33" s="68">
        <f>IF($Q$4=0,0,INDEX('計算（触らない）'!$AS$6:$EP$105,$Q$3,21))</f>
        <v/>
      </c>
      <c r="S33" s="68">
        <f>IF($Q$4=0,0,INDEX('計算（触らない）'!$AS$6:$EP$105,$Q$3,20))</f>
        <v/>
      </c>
      <c r="T33" s="68">
        <f>IF($Q$4=0,0,IF(20=0,1,IF(AND($Q$5&lt;=2,20&lt;=$Q$6,$S33&gt;$Q$11),1,IF(AND($Q$5=3,20&lt;=2),1,0))))</f>
        <v/>
      </c>
      <c r="U33" s="68">
        <f>IF($Q$4=0,0,INDEX('計算（触らない）'!$ER$6:$IN$105,$Q$3,20))</f>
        <v/>
      </c>
    </row>
    <row r="34" ht="17" customHeight="1">
      <c r="A34" s="37">
        <f>IF($T34=0,"",IF('計算（触らない）'!$B$1=1,($Q$13+21)&amp;"年度",($Q$13+21)&amp;"年"))</f>
        <v/>
      </c>
      <c r="B34" s="40">
        <f>IF($T34=0,"",$S34)</f>
        <v/>
      </c>
      <c r="C34" s="51">
        <f>IF($T34=0,"",IF($Q$5&gt;2,"―",IF(21=$Q$6,$Q$7,12)))</f>
        <v/>
      </c>
      <c r="D34" s="42">
        <f>IF($T34=0,"",IF($Q$5=3,"1/3",IF($Q$5=4,"―",IF($U34&gt;0,$Q$10,$Q$9))))</f>
        <v/>
      </c>
      <c r="E34" s="40">
        <f>IF($T34=0,"",$S34-$R34)</f>
        <v/>
      </c>
      <c r="F34" s="40">
        <f>IF($T34=0,"",INT(ROUND(($S34-$R34)*$Q$12,6)+'計算（触らない）'!$B$4))</f>
        <v/>
      </c>
      <c r="G34" s="40">
        <f>IF($T34=0,"",$R34)</f>
        <v/>
      </c>
      <c r="H34" s="38">
        <f>IF($T34=0,"",TRIM(IF(AND($Q$5&lt;=2,21=$Q$6),"売却・除却（期末の帳簿価額を帳簿から外す）",IF(AND($U34&gt;0,$U33=0),"ここから改定償却率（改定取得価額 "&amp;TEXT($U34,"#,##0")&amp;"円）",IF($U34&gt;0,"改定償却","")))&amp;IF(AND($Q$5&lt;=2,$R34=$Q$11,$S34&gt;$Q$11,21&lt;&gt;$Q$6)," 償却終わり（帳簿価額 "&amp;$R34&amp;"円）","")&amp;IF(AND($Q$5=4,21=0),"少額特例で全額を経費","")))</f>
        <v/>
      </c>
      <c r="I34" s="68" t="n"/>
      <c r="J34" s="68" t="n"/>
      <c r="K34" s="68" t="n"/>
      <c r="L34" s="68" t="n"/>
      <c r="M34" s="68" t="n"/>
      <c r="N34" s="68" t="n"/>
      <c r="O34" s="68" t="n"/>
      <c r="P34" s="68" t="n"/>
      <c r="Q34" s="68" t="n"/>
      <c r="R34" s="68">
        <f>IF($Q$4=0,0,INDEX('計算（触らない）'!$AS$6:$EP$105,$Q$3,22))</f>
        <v/>
      </c>
      <c r="S34" s="68">
        <f>IF($Q$4=0,0,INDEX('計算（触らない）'!$AS$6:$EP$105,$Q$3,21))</f>
        <v/>
      </c>
      <c r="T34" s="68">
        <f>IF($Q$4=0,0,IF(21=0,1,IF(AND($Q$5&lt;=2,21&lt;=$Q$6,$S34&gt;$Q$11),1,IF(AND($Q$5=3,21&lt;=2),1,0))))</f>
        <v/>
      </c>
      <c r="U34" s="68">
        <f>IF($Q$4=0,0,INDEX('計算（触らない）'!$ER$6:$IN$105,$Q$3,21))</f>
        <v/>
      </c>
    </row>
    <row r="35" ht="17" customHeight="1">
      <c r="A35" s="37">
        <f>IF($T35=0,"",IF('計算（触らない）'!$B$1=1,($Q$13+22)&amp;"年度",($Q$13+22)&amp;"年"))</f>
        <v/>
      </c>
      <c r="B35" s="40">
        <f>IF($T35=0,"",$S35)</f>
        <v/>
      </c>
      <c r="C35" s="51">
        <f>IF($T35=0,"",IF($Q$5&gt;2,"―",IF(22=$Q$6,$Q$7,12)))</f>
        <v/>
      </c>
      <c r="D35" s="42">
        <f>IF($T35=0,"",IF($Q$5=3,"1/3",IF($Q$5=4,"―",IF($U35&gt;0,$Q$10,$Q$9))))</f>
        <v/>
      </c>
      <c r="E35" s="40">
        <f>IF($T35=0,"",$S35-$R35)</f>
        <v/>
      </c>
      <c r="F35" s="40">
        <f>IF($T35=0,"",INT(ROUND(($S35-$R35)*$Q$12,6)+'計算（触らない）'!$B$4))</f>
        <v/>
      </c>
      <c r="G35" s="40">
        <f>IF($T35=0,"",$R35)</f>
        <v/>
      </c>
      <c r="H35" s="38">
        <f>IF($T35=0,"",TRIM(IF(AND($Q$5&lt;=2,22=$Q$6),"売却・除却（期末の帳簿価額を帳簿から外す）",IF(AND($U35&gt;0,$U34=0),"ここから改定償却率（改定取得価額 "&amp;TEXT($U35,"#,##0")&amp;"円）",IF($U35&gt;0,"改定償却","")))&amp;IF(AND($Q$5&lt;=2,$R35=$Q$11,$S35&gt;$Q$11,22&lt;&gt;$Q$6)," 償却終わり（帳簿価額 "&amp;$R35&amp;"円）","")&amp;IF(AND($Q$5=4,22=0),"少額特例で全額を経費","")))</f>
        <v/>
      </c>
      <c r="I35" s="68" t="n"/>
      <c r="J35" s="68" t="n"/>
      <c r="K35" s="68" t="n"/>
      <c r="L35" s="68" t="n"/>
      <c r="M35" s="68" t="n"/>
      <c r="N35" s="68" t="n"/>
      <c r="O35" s="68" t="n"/>
      <c r="P35" s="68" t="n"/>
      <c r="Q35" s="68" t="n"/>
      <c r="R35" s="68">
        <f>IF($Q$4=0,0,INDEX('計算（触らない）'!$AS$6:$EP$105,$Q$3,23))</f>
        <v/>
      </c>
      <c r="S35" s="68">
        <f>IF($Q$4=0,0,INDEX('計算（触らない）'!$AS$6:$EP$105,$Q$3,22))</f>
        <v/>
      </c>
      <c r="T35" s="68">
        <f>IF($Q$4=0,0,IF(22=0,1,IF(AND($Q$5&lt;=2,22&lt;=$Q$6,$S35&gt;$Q$11),1,IF(AND($Q$5=3,22&lt;=2),1,0))))</f>
        <v/>
      </c>
      <c r="U35" s="68">
        <f>IF($Q$4=0,0,INDEX('計算（触らない）'!$ER$6:$IN$105,$Q$3,22))</f>
        <v/>
      </c>
    </row>
    <row r="36" ht="17" customHeight="1">
      <c r="A36" s="37">
        <f>IF($T36=0,"",IF('計算（触らない）'!$B$1=1,($Q$13+23)&amp;"年度",($Q$13+23)&amp;"年"))</f>
        <v/>
      </c>
      <c r="B36" s="40">
        <f>IF($T36=0,"",$S36)</f>
        <v/>
      </c>
      <c r="C36" s="51">
        <f>IF($T36=0,"",IF($Q$5&gt;2,"―",IF(23=$Q$6,$Q$7,12)))</f>
        <v/>
      </c>
      <c r="D36" s="42">
        <f>IF($T36=0,"",IF($Q$5=3,"1/3",IF($Q$5=4,"―",IF($U36&gt;0,$Q$10,$Q$9))))</f>
        <v/>
      </c>
      <c r="E36" s="40">
        <f>IF($T36=0,"",$S36-$R36)</f>
        <v/>
      </c>
      <c r="F36" s="40">
        <f>IF($T36=0,"",INT(ROUND(($S36-$R36)*$Q$12,6)+'計算（触らない）'!$B$4))</f>
        <v/>
      </c>
      <c r="G36" s="40">
        <f>IF($T36=0,"",$R36)</f>
        <v/>
      </c>
      <c r="H36" s="38">
        <f>IF($T36=0,"",TRIM(IF(AND($Q$5&lt;=2,23=$Q$6),"売却・除却（期末の帳簿価額を帳簿から外す）",IF(AND($U36&gt;0,$U35=0),"ここから改定償却率（改定取得価額 "&amp;TEXT($U36,"#,##0")&amp;"円）",IF($U36&gt;0,"改定償却","")))&amp;IF(AND($Q$5&lt;=2,$R36=$Q$11,$S36&gt;$Q$11,23&lt;&gt;$Q$6)," 償却終わり（帳簿価額 "&amp;$R36&amp;"円）","")&amp;IF(AND($Q$5=4,23=0),"少額特例で全額を経費","")))</f>
        <v/>
      </c>
      <c r="I36" s="68" t="n"/>
      <c r="J36" s="68" t="n"/>
      <c r="K36" s="68" t="n"/>
      <c r="L36" s="68" t="n"/>
      <c r="M36" s="68" t="n"/>
      <c r="N36" s="68" t="n"/>
      <c r="O36" s="68" t="n"/>
      <c r="P36" s="68" t="n"/>
      <c r="Q36" s="68" t="n"/>
      <c r="R36" s="68">
        <f>IF($Q$4=0,0,INDEX('計算（触らない）'!$AS$6:$EP$105,$Q$3,24))</f>
        <v/>
      </c>
      <c r="S36" s="68">
        <f>IF($Q$4=0,0,INDEX('計算（触らない）'!$AS$6:$EP$105,$Q$3,23))</f>
        <v/>
      </c>
      <c r="T36" s="68">
        <f>IF($Q$4=0,0,IF(23=0,1,IF(AND($Q$5&lt;=2,23&lt;=$Q$6,$S36&gt;$Q$11),1,IF(AND($Q$5=3,23&lt;=2),1,0))))</f>
        <v/>
      </c>
      <c r="U36" s="68">
        <f>IF($Q$4=0,0,INDEX('計算（触らない）'!$ER$6:$IN$105,$Q$3,23))</f>
        <v/>
      </c>
    </row>
    <row r="37" ht="17" customHeight="1">
      <c r="A37" s="37">
        <f>IF($T37=0,"",IF('計算（触らない）'!$B$1=1,($Q$13+24)&amp;"年度",($Q$13+24)&amp;"年"))</f>
        <v/>
      </c>
      <c r="B37" s="40">
        <f>IF($T37=0,"",$S37)</f>
        <v/>
      </c>
      <c r="C37" s="51">
        <f>IF($T37=0,"",IF($Q$5&gt;2,"―",IF(24=$Q$6,$Q$7,12)))</f>
        <v/>
      </c>
      <c r="D37" s="42">
        <f>IF($T37=0,"",IF($Q$5=3,"1/3",IF($Q$5=4,"―",IF($U37&gt;0,$Q$10,$Q$9))))</f>
        <v/>
      </c>
      <c r="E37" s="40">
        <f>IF($T37=0,"",$S37-$R37)</f>
        <v/>
      </c>
      <c r="F37" s="40">
        <f>IF($T37=0,"",INT(ROUND(($S37-$R37)*$Q$12,6)+'計算（触らない）'!$B$4))</f>
        <v/>
      </c>
      <c r="G37" s="40">
        <f>IF($T37=0,"",$R37)</f>
        <v/>
      </c>
      <c r="H37" s="38">
        <f>IF($T37=0,"",TRIM(IF(AND($Q$5&lt;=2,24=$Q$6),"売却・除却（期末の帳簿価額を帳簿から外す）",IF(AND($U37&gt;0,$U36=0),"ここから改定償却率（改定取得価額 "&amp;TEXT($U37,"#,##0")&amp;"円）",IF($U37&gt;0,"改定償却","")))&amp;IF(AND($Q$5&lt;=2,$R37=$Q$11,$S37&gt;$Q$11,24&lt;&gt;$Q$6)," 償却終わり（帳簿価額 "&amp;$R37&amp;"円）","")&amp;IF(AND($Q$5=4,24=0),"少額特例で全額を経費","")))</f>
        <v/>
      </c>
      <c r="I37" s="68" t="n"/>
      <c r="J37" s="68" t="n"/>
      <c r="K37" s="68" t="n"/>
      <c r="L37" s="68" t="n"/>
      <c r="M37" s="68" t="n"/>
      <c r="N37" s="68" t="n"/>
      <c r="O37" s="68" t="n"/>
      <c r="P37" s="68" t="n"/>
      <c r="Q37" s="68" t="n"/>
      <c r="R37" s="68">
        <f>IF($Q$4=0,0,INDEX('計算（触らない）'!$AS$6:$EP$105,$Q$3,25))</f>
        <v/>
      </c>
      <c r="S37" s="68">
        <f>IF($Q$4=0,0,INDEX('計算（触らない）'!$AS$6:$EP$105,$Q$3,24))</f>
        <v/>
      </c>
      <c r="T37" s="68">
        <f>IF($Q$4=0,0,IF(24=0,1,IF(AND($Q$5&lt;=2,24&lt;=$Q$6,$S37&gt;$Q$11),1,IF(AND($Q$5=3,24&lt;=2),1,0))))</f>
        <v/>
      </c>
      <c r="U37" s="68">
        <f>IF($Q$4=0,0,INDEX('計算（触らない）'!$ER$6:$IN$105,$Q$3,24))</f>
        <v/>
      </c>
    </row>
    <row r="38" ht="17" customHeight="1">
      <c r="A38" s="37">
        <f>IF($T38=0,"",IF('計算（触らない）'!$B$1=1,($Q$13+25)&amp;"年度",($Q$13+25)&amp;"年"))</f>
        <v/>
      </c>
      <c r="B38" s="40">
        <f>IF($T38=0,"",$S38)</f>
        <v/>
      </c>
      <c r="C38" s="51">
        <f>IF($T38=0,"",IF($Q$5&gt;2,"―",IF(25=$Q$6,$Q$7,12)))</f>
        <v/>
      </c>
      <c r="D38" s="42">
        <f>IF($T38=0,"",IF($Q$5=3,"1/3",IF($Q$5=4,"―",IF($U38&gt;0,$Q$10,$Q$9))))</f>
        <v/>
      </c>
      <c r="E38" s="40">
        <f>IF($T38=0,"",$S38-$R38)</f>
        <v/>
      </c>
      <c r="F38" s="40">
        <f>IF($T38=0,"",INT(ROUND(($S38-$R38)*$Q$12,6)+'計算（触らない）'!$B$4))</f>
        <v/>
      </c>
      <c r="G38" s="40">
        <f>IF($T38=0,"",$R38)</f>
        <v/>
      </c>
      <c r="H38" s="38">
        <f>IF($T38=0,"",TRIM(IF(AND($Q$5&lt;=2,25=$Q$6),"売却・除却（期末の帳簿価額を帳簿から外す）",IF(AND($U38&gt;0,$U37=0),"ここから改定償却率（改定取得価額 "&amp;TEXT($U38,"#,##0")&amp;"円）",IF($U38&gt;0,"改定償却","")))&amp;IF(AND($Q$5&lt;=2,$R38=$Q$11,$S38&gt;$Q$11,25&lt;&gt;$Q$6)," 償却終わり（帳簿価額 "&amp;$R38&amp;"円）","")&amp;IF(AND($Q$5=4,25=0),"少額特例で全額を経費","")))</f>
        <v/>
      </c>
      <c r="I38" s="68" t="n"/>
      <c r="J38" s="68" t="n"/>
      <c r="K38" s="68" t="n"/>
      <c r="L38" s="68" t="n"/>
      <c r="M38" s="68" t="n"/>
      <c r="N38" s="68" t="n"/>
      <c r="O38" s="68" t="n"/>
      <c r="P38" s="68" t="n"/>
      <c r="Q38" s="68" t="n"/>
      <c r="R38" s="68">
        <f>IF($Q$4=0,0,INDEX('計算（触らない）'!$AS$6:$EP$105,$Q$3,26))</f>
        <v/>
      </c>
      <c r="S38" s="68">
        <f>IF($Q$4=0,0,INDEX('計算（触らない）'!$AS$6:$EP$105,$Q$3,25))</f>
        <v/>
      </c>
      <c r="T38" s="68">
        <f>IF($Q$4=0,0,IF(25=0,1,IF(AND($Q$5&lt;=2,25&lt;=$Q$6,$S38&gt;$Q$11),1,IF(AND($Q$5=3,25&lt;=2),1,0))))</f>
        <v/>
      </c>
      <c r="U38" s="68">
        <f>IF($Q$4=0,0,INDEX('計算（触らない）'!$ER$6:$IN$105,$Q$3,25))</f>
        <v/>
      </c>
    </row>
    <row r="39" ht="17" customHeight="1">
      <c r="A39" s="37">
        <f>IF($T39=0,"",IF('計算（触らない）'!$B$1=1,($Q$13+26)&amp;"年度",($Q$13+26)&amp;"年"))</f>
        <v/>
      </c>
      <c r="B39" s="40">
        <f>IF($T39=0,"",$S39)</f>
        <v/>
      </c>
      <c r="C39" s="51">
        <f>IF($T39=0,"",IF($Q$5&gt;2,"―",IF(26=$Q$6,$Q$7,12)))</f>
        <v/>
      </c>
      <c r="D39" s="42">
        <f>IF($T39=0,"",IF($Q$5=3,"1/3",IF($Q$5=4,"―",IF($U39&gt;0,$Q$10,$Q$9))))</f>
        <v/>
      </c>
      <c r="E39" s="40">
        <f>IF($T39=0,"",$S39-$R39)</f>
        <v/>
      </c>
      <c r="F39" s="40">
        <f>IF($T39=0,"",INT(ROUND(($S39-$R39)*$Q$12,6)+'計算（触らない）'!$B$4))</f>
        <v/>
      </c>
      <c r="G39" s="40">
        <f>IF($T39=0,"",$R39)</f>
        <v/>
      </c>
      <c r="H39" s="38">
        <f>IF($T39=0,"",TRIM(IF(AND($Q$5&lt;=2,26=$Q$6),"売却・除却（期末の帳簿価額を帳簿から外す）",IF(AND($U39&gt;0,$U38=0),"ここから改定償却率（改定取得価額 "&amp;TEXT($U39,"#,##0")&amp;"円）",IF($U39&gt;0,"改定償却","")))&amp;IF(AND($Q$5&lt;=2,$R39=$Q$11,$S39&gt;$Q$11,26&lt;&gt;$Q$6)," 償却終わり（帳簿価額 "&amp;$R39&amp;"円）","")&amp;IF(AND($Q$5=4,26=0),"少額特例で全額を経費","")))</f>
        <v/>
      </c>
      <c r="I39" s="68" t="n"/>
      <c r="J39" s="68" t="n"/>
      <c r="K39" s="68" t="n"/>
      <c r="L39" s="68" t="n"/>
      <c r="M39" s="68" t="n"/>
      <c r="N39" s="68" t="n"/>
      <c r="O39" s="68" t="n"/>
      <c r="P39" s="68" t="n"/>
      <c r="Q39" s="68" t="n"/>
      <c r="R39" s="68">
        <f>IF($Q$4=0,0,INDEX('計算（触らない）'!$AS$6:$EP$105,$Q$3,27))</f>
        <v/>
      </c>
      <c r="S39" s="68">
        <f>IF($Q$4=0,0,INDEX('計算（触らない）'!$AS$6:$EP$105,$Q$3,26))</f>
        <v/>
      </c>
      <c r="T39" s="68">
        <f>IF($Q$4=0,0,IF(26=0,1,IF(AND($Q$5&lt;=2,26&lt;=$Q$6,$S39&gt;$Q$11),1,IF(AND($Q$5=3,26&lt;=2),1,0))))</f>
        <v/>
      </c>
      <c r="U39" s="68">
        <f>IF($Q$4=0,0,INDEX('計算（触らない）'!$ER$6:$IN$105,$Q$3,26))</f>
        <v/>
      </c>
    </row>
    <row r="40" ht="17" customHeight="1">
      <c r="A40" s="37">
        <f>IF($T40=0,"",IF('計算（触らない）'!$B$1=1,($Q$13+27)&amp;"年度",($Q$13+27)&amp;"年"))</f>
        <v/>
      </c>
      <c r="B40" s="40">
        <f>IF($T40=0,"",$S40)</f>
        <v/>
      </c>
      <c r="C40" s="51">
        <f>IF($T40=0,"",IF($Q$5&gt;2,"―",IF(27=$Q$6,$Q$7,12)))</f>
        <v/>
      </c>
      <c r="D40" s="42">
        <f>IF($T40=0,"",IF($Q$5=3,"1/3",IF($Q$5=4,"―",IF($U40&gt;0,$Q$10,$Q$9))))</f>
        <v/>
      </c>
      <c r="E40" s="40">
        <f>IF($T40=0,"",$S40-$R40)</f>
        <v/>
      </c>
      <c r="F40" s="40">
        <f>IF($T40=0,"",INT(ROUND(($S40-$R40)*$Q$12,6)+'計算（触らない）'!$B$4))</f>
        <v/>
      </c>
      <c r="G40" s="40">
        <f>IF($T40=0,"",$R40)</f>
        <v/>
      </c>
      <c r="H40" s="38">
        <f>IF($T40=0,"",TRIM(IF(AND($Q$5&lt;=2,27=$Q$6),"売却・除却（期末の帳簿価額を帳簿から外す）",IF(AND($U40&gt;0,$U39=0),"ここから改定償却率（改定取得価額 "&amp;TEXT($U40,"#,##0")&amp;"円）",IF($U40&gt;0,"改定償却","")))&amp;IF(AND($Q$5&lt;=2,$R40=$Q$11,$S40&gt;$Q$11,27&lt;&gt;$Q$6)," 償却終わり（帳簿価額 "&amp;$R40&amp;"円）","")&amp;IF(AND($Q$5=4,27=0),"少額特例で全額を経費","")))</f>
        <v/>
      </c>
      <c r="I40" s="68" t="n"/>
      <c r="J40" s="68" t="n"/>
      <c r="K40" s="68" t="n"/>
      <c r="L40" s="68" t="n"/>
      <c r="M40" s="68" t="n"/>
      <c r="N40" s="68" t="n"/>
      <c r="O40" s="68" t="n"/>
      <c r="P40" s="68" t="n"/>
      <c r="Q40" s="68" t="n"/>
      <c r="R40" s="68">
        <f>IF($Q$4=0,0,INDEX('計算（触らない）'!$AS$6:$EP$105,$Q$3,28))</f>
        <v/>
      </c>
      <c r="S40" s="68">
        <f>IF($Q$4=0,0,INDEX('計算（触らない）'!$AS$6:$EP$105,$Q$3,27))</f>
        <v/>
      </c>
      <c r="T40" s="68">
        <f>IF($Q$4=0,0,IF(27=0,1,IF(AND($Q$5&lt;=2,27&lt;=$Q$6,$S40&gt;$Q$11),1,IF(AND($Q$5=3,27&lt;=2),1,0))))</f>
        <v/>
      </c>
      <c r="U40" s="68">
        <f>IF($Q$4=0,0,INDEX('計算（触らない）'!$ER$6:$IN$105,$Q$3,27))</f>
        <v/>
      </c>
    </row>
    <row r="41" ht="17" customHeight="1">
      <c r="A41" s="37">
        <f>IF($T41=0,"",IF('計算（触らない）'!$B$1=1,($Q$13+28)&amp;"年度",($Q$13+28)&amp;"年"))</f>
        <v/>
      </c>
      <c r="B41" s="40">
        <f>IF($T41=0,"",$S41)</f>
        <v/>
      </c>
      <c r="C41" s="51">
        <f>IF($T41=0,"",IF($Q$5&gt;2,"―",IF(28=$Q$6,$Q$7,12)))</f>
        <v/>
      </c>
      <c r="D41" s="42">
        <f>IF($T41=0,"",IF($Q$5=3,"1/3",IF($Q$5=4,"―",IF($U41&gt;0,$Q$10,$Q$9))))</f>
        <v/>
      </c>
      <c r="E41" s="40">
        <f>IF($T41=0,"",$S41-$R41)</f>
        <v/>
      </c>
      <c r="F41" s="40">
        <f>IF($T41=0,"",INT(ROUND(($S41-$R41)*$Q$12,6)+'計算（触らない）'!$B$4))</f>
        <v/>
      </c>
      <c r="G41" s="40">
        <f>IF($T41=0,"",$R41)</f>
        <v/>
      </c>
      <c r="H41" s="38">
        <f>IF($T41=0,"",TRIM(IF(AND($Q$5&lt;=2,28=$Q$6),"売却・除却（期末の帳簿価額を帳簿から外す）",IF(AND($U41&gt;0,$U40=0),"ここから改定償却率（改定取得価額 "&amp;TEXT($U41,"#,##0")&amp;"円）",IF($U41&gt;0,"改定償却","")))&amp;IF(AND($Q$5&lt;=2,$R41=$Q$11,$S41&gt;$Q$11,28&lt;&gt;$Q$6)," 償却終わり（帳簿価額 "&amp;$R41&amp;"円）","")&amp;IF(AND($Q$5=4,28=0),"少額特例で全額を経費","")))</f>
        <v/>
      </c>
      <c r="I41" s="68" t="n"/>
      <c r="J41" s="68" t="n"/>
      <c r="K41" s="68" t="n"/>
      <c r="L41" s="68" t="n"/>
      <c r="M41" s="68" t="n"/>
      <c r="N41" s="68" t="n"/>
      <c r="O41" s="68" t="n"/>
      <c r="P41" s="68" t="n"/>
      <c r="Q41" s="68" t="n"/>
      <c r="R41" s="68">
        <f>IF($Q$4=0,0,INDEX('計算（触らない）'!$AS$6:$EP$105,$Q$3,29))</f>
        <v/>
      </c>
      <c r="S41" s="68">
        <f>IF($Q$4=0,0,INDEX('計算（触らない）'!$AS$6:$EP$105,$Q$3,28))</f>
        <v/>
      </c>
      <c r="T41" s="68">
        <f>IF($Q$4=0,0,IF(28=0,1,IF(AND($Q$5&lt;=2,28&lt;=$Q$6,$S41&gt;$Q$11),1,IF(AND($Q$5=3,28&lt;=2),1,0))))</f>
        <v/>
      </c>
      <c r="U41" s="68">
        <f>IF($Q$4=0,0,INDEX('計算（触らない）'!$ER$6:$IN$105,$Q$3,28))</f>
        <v/>
      </c>
    </row>
    <row r="42" ht="17" customHeight="1">
      <c r="A42" s="37">
        <f>IF($T42=0,"",IF('計算（触らない）'!$B$1=1,($Q$13+29)&amp;"年度",($Q$13+29)&amp;"年"))</f>
        <v/>
      </c>
      <c r="B42" s="40">
        <f>IF($T42=0,"",$S42)</f>
        <v/>
      </c>
      <c r="C42" s="51">
        <f>IF($T42=0,"",IF($Q$5&gt;2,"―",IF(29=$Q$6,$Q$7,12)))</f>
        <v/>
      </c>
      <c r="D42" s="42">
        <f>IF($T42=0,"",IF($Q$5=3,"1/3",IF($Q$5=4,"―",IF($U42&gt;0,$Q$10,$Q$9))))</f>
        <v/>
      </c>
      <c r="E42" s="40">
        <f>IF($T42=0,"",$S42-$R42)</f>
        <v/>
      </c>
      <c r="F42" s="40">
        <f>IF($T42=0,"",INT(ROUND(($S42-$R42)*$Q$12,6)+'計算（触らない）'!$B$4))</f>
        <v/>
      </c>
      <c r="G42" s="40">
        <f>IF($T42=0,"",$R42)</f>
        <v/>
      </c>
      <c r="H42" s="38">
        <f>IF($T42=0,"",TRIM(IF(AND($Q$5&lt;=2,29=$Q$6),"売却・除却（期末の帳簿価額を帳簿から外す）",IF(AND($U42&gt;0,$U41=0),"ここから改定償却率（改定取得価額 "&amp;TEXT($U42,"#,##0")&amp;"円）",IF($U42&gt;0,"改定償却","")))&amp;IF(AND($Q$5&lt;=2,$R42=$Q$11,$S42&gt;$Q$11,29&lt;&gt;$Q$6)," 償却終わり（帳簿価額 "&amp;$R42&amp;"円）","")&amp;IF(AND($Q$5=4,29=0),"少額特例で全額を経費","")))</f>
        <v/>
      </c>
      <c r="I42" s="68" t="n"/>
      <c r="J42" s="68" t="n"/>
      <c r="K42" s="68" t="n"/>
      <c r="L42" s="68" t="n"/>
      <c r="M42" s="68" t="n"/>
      <c r="N42" s="68" t="n"/>
      <c r="O42" s="68" t="n"/>
      <c r="P42" s="68" t="n"/>
      <c r="Q42" s="68" t="n"/>
      <c r="R42" s="68">
        <f>IF($Q$4=0,0,INDEX('計算（触らない）'!$AS$6:$EP$105,$Q$3,30))</f>
        <v/>
      </c>
      <c r="S42" s="68">
        <f>IF($Q$4=0,0,INDEX('計算（触らない）'!$AS$6:$EP$105,$Q$3,29))</f>
        <v/>
      </c>
      <c r="T42" s="68">
        <f>IF($Q$4=0,0,IF(29=0,1,IF(AND($Q$5&lt;=2,29&lt;=$Q$6,$S42&gt;$Q$11),1,IF(AND($Q$5=3,29&lt;=2),1,0))))</f>
        <v/>
      </c>
      <c r="U42" s="68">
        <f>IF($Q$4=0,0,INDEX('計算（触らない）'!$ER$6:$IN$105,$Q$3,29))</f>
        <v/>
      </c>
    </row>
    <row r="43" ht="17" customHeight="1">
      <c r="A43" s="37">
        <f>IF($T43=0,"",IF('計算（触らない）'!$B$1=1,($Q$13+30)&amp;"年度",($Q$13+30)&amp;"年"))</f>
        <v/>
      </c>
      <c r="B43" s="40">
        <f>IF($T43=0,"",$S43)</f>
        <v/>
      </c>
      <c r="C43" s="51">
        <f>IF($T43=0,"",IF($Q$5&gt;2,"―",IF(30=$Q$6,$Q$7,12)))</f>
        <v/>
      </c>
      <c r="D43" s="42">
        <f>IF($T43=0,"",IF($Q$5=3,"1/3",IF($Q$5=4,"―",IF($U43&gt;0,$Q$10,$Q$9))))</f>
        <v/>
      </c>
      <c r="E43" s="40">
        <f>IF($T43=0,"",$S43-$R43)</f>
        <v/>
      </c>
      <c r="F43" s="40">
        <f>IF($T43=0,"",INT(ROUND(($S43-$R43)*$Q$12,6)+'計算（触らない）'!$B$4))</f>
        <v/>
      </c>
      <c r="G43" s="40">
        <f>IF($T43=0,"",$R43)</f>
        <v/>
      </c>
      <c r="H43" s="38">
        <f>IF($T43=0,"",TRIM(IF(AND($Q$5&lt;=2,30=$Q$6),"売却・除却（期末の帳簿価額を帳簿から外す）",IF(AND($U43&gt;0,$U42=0),"ここから改定償却率（改定取得価額 "&amp;TEXT($U43,"#,##0")&amp;"円）",IF($U43&gt;0,"改定償却","")))&amp;IF(AND($Q$5&lt;=2,$R43=$Q$11,$S43&gt;$Q$11,30&lt;&gt;$Q$6)," 償却終わり（帳簿価額 "&amp;$R43&amp;"円）","")&amp;IF(AND($Q$5=4,30=0),"少額特例で全額を経費","")))</f>
        <v/>
      </c>
      <c r="I43" s="68" t="n"/>
      <c r="J43" s="68" t="n"/>
      <c r="K43" s="68" t="n"/>
      <c r="L43" s="68" t="n"/>
      <c r="M43" s="68" t="n"/>
      <c r="N43" s="68" t="n"/>
      <c r="O43" s="68" t="n"/>
      <c r="P43" s="68" t="n"/>
      <c r="Q43" s="68" t="n"/>
      <c r="R43" s="68">
        <f>IF($Q$4=0,0,INDEX('計算（触らない）'!$AS$6:$EP$105,$Q$3,31))</f>
        <v/>
      </c>
      <c r="S43" s="68">
        <f>IF($Q$4=0,0,INDEX('計算（触らない）'!$AS$6:$EP$105,$Q$3,30))</f>
        <v/>
      </c>
      <c r="T43" s="68">
        <f>IF($Q$4=0,0,IF(30=0,1,IF(AND($Q$5&lt;=2,30&lt;=$Q$6,$S43&gt;$Q$11),1,IF(AND($Q$5=3,30&lt;=2),1,0))))</f>
        <v/>
      </c>
      <c r="U43" s="68">
        <f>IF($Q$4=0,0,INDEX('計算（触らない）'!$ER$6:$IN$105,$Q$3,30))</f>
        <v/>
      </c>
    </row>
    <row r="44" ht="17" customHeight="1">
      <c r="A44" s="37">
        <f>IF($T44=0,"",IF('計算（触らない）'!$B$1=1,($Q$13+31)&amp;"年度",($Q$13+31)&amp;"年"))</f>
        <v/>
      </c>
      <c r="B44" s="40">
        <f>IF($T44=0,"",$S44)</f>
        <v/>
      </c>
      <c r="C44" s="51">
        <f>IF($T44=0,"",IF($Q$5&gt;2,"―",IF(31=$Q$6,$Q$7,12)))</f>
        <v/>
      </c>
      <c r="D44" s="42">
        <f>IF($T44=0,"",IF($Q$5=3,"1/3",IF($Q$5=4,"―",IF($U44&gt;0,$Q$10,$Q$9))))</f>
        <v/>
      </c>
      <c r="E44" s="40">
        <f>IF($T44=0,"",$S44-$R44)</f>
        <v/>
      </c>
      <c r="F44" s="40">
        <f>IF($T44=0,"",INT(ROUND(($S44-$R44)*$Q$12,6)+'計算（触らない）'!$B$4))</f>
        <v/>
      </c>
      <c r="G44" s="40">
        <f>IF($T44=0,"",$R44)</f>
        <v/>
      </c>
      <c r="H44" s="38">
        <f>IF($T44=0,"",TRIM(IF(AND($Q$5&lt;=2,31=$Q$6),"売却・除却（期末の帳簿価額を帳簿から外す）",IF(AND($U44&gt;0,$U43=0),"ここから改定償却率（改定取得価額 "&amp;TEXT($U44,"#,##0")&amp;"円）",IF($U44&gt;0,"改定償却","")))&amp;IF(AND($Q$5&lt;=2,$R44=$Q$11,$S44&gt;$Q$11,31&lt;&gt;$Q$6)," 償却終わり（帳簿価額 "&amp;$R44&amp;"円）","")&amp;IF(AND($Q$5=4,31=0),"少額特例で全額を経費","")))</f>
        <v/>
      </c>
      <c r="I44" s="68" t="n"/>
      <c r="J44" s="68" t="n"/>
      <c r="K44" s="68" t="n"/>
      <c r="L44" s="68" t="n"/>
      <c r="M44" s="68" t="n"/>
      <c r="N44" s="68" t="n"/>
      <c r="O44" s="68" t="n"/>
      <c r="P44" s="68" t="n"/>
      <c r="Q44" s="68" t="n"/>
      <c r="R44" s="68">
        <f>IF($Q$4=0,0,INDEX('計算（触らない）'!$AS$6:$EP$105,$Q$3,32))</f>
        <v/>
      </c>
      <c r="S44" s="68">
        <f>IF($Q$4=0,0,INDEX('計算（触らない）'!$AS$6:$EP$105,$Q$3,31))</f>
        <v/>
      </c>
      <c r="T44" s="68">
        <f>IF($Q$4=0,0,IF(31=0,1,IF(AND($Q$5&lt;=2,31&lt;=$Q$6,$S44&gt;$Q$11),1,IF(AND($Q$5=3,31&lt;=2),1,0))))</f>
        <v/>
      </c>
      <c r="U44" s="68">
        <f>IF($Q$4=0,0,INDEX('計算（触らない）'!$ER$6:$IN$105,$Q$3,31))</f>
        <v/>
      </c>
    </row>
    <row r="45" ht="17" customHeight="1">
      <c r="A45" s="37">
        <f>IF($T45=0,"",IF('計算（触らない）'!$B$1=1,($Q$13+32)&amp;"年度",($Q$13+32)&amp;"年"))</f>
        <v/>
      </c>
      <c r="B45" s="40">
        <f>IF($T45=0,"",$S45)</f>
        <v/>
      </c>
      <c r="C45" s="51">
        <f>IF($T45=0,"",IF($Q$5&gt;2,"―",IF(32=$Q$6,$Q$7,12)))</f>
        <v/>
      </c>
      <c r="D45" s="42">
        <f>IF($T45=0,"",IF($Q$5=3,"1/3",IF($Q$5=4,"―",IF($U45&gt;0,$Q$10,$Q$9))))</f>
        <v/>
      </c>
      <c r="E45" s="40">
        <f>IF($T45=0,"",$S45-$R45)</f>
        <v/>
      </c>
      <c r="F45" s="40">
        <f>IF($T45=0,"",INT(ROUND(($S45-$R45)*$Q$12,6)+'計算（触らない）'!$B$4))</f>
        <v/>
      </c>
      <c r="G45" s="40">
        <f>IF($T45=0,"",$R45)</f>
        <v/>
      </c>
      <c r="H45" s="38">
        <f>IF($T45=0,"",TRIM(IF(AND($Q$5&lt;=2,32=$Q$6),"売却・除却（期末の帳簿価額を帳簿から外す）",IF(AND($U45&gt;0,$U44=0),"ここから改定償却率（改定取得価額 "&amp;TEXT($U45,"#,##0")&amp;"円）",IF($U45&gt;0,"改定償却","")))&amp;IF(AND($Q$5&lt;=2,$R45=$Q$11,$S45&gt;$Q$11,32&lt;&gt;$Q$6)," 償却終わり（帳簿価額 "&amp;$R45&amp;"円）","")&amp;IF(AND($Q$5=4,32=0),"少額特例で全額を経費","")))</f>
        <v/>
      </c>
      <c r="I45" s="68" t="n"/>
      <c r="J45" s="68" t="n"/>
      <c r="K45" s="68" t="n"/>
      <c r="L45" s="68" t="n"/>
      <c r="M45" s="68" t="n"/>
      <c r="N45" s="68" t="n"/>
      <c r="O45" s="68" t="n"/>
      <c r="P45" s="68" t="n"/>
      <c r="Q45" s="68" t="n"/>
      <c r="R45" s="68">
        <f>IF($Q$4=0,0,INDEX('計算（触らない）'!$AS$6:$EP$105,$Q$3,33))</f>
        <v/>
      </c>
      <c r="S45" s="68">
        <f>IF($Q$4=0,0,INDEX('計算（触らない）'!$AS$6:$EP$105,$Q$3,32))</f>
        <v/>
      </c>
      <c r="T45" s="68">
        <f>IF($Q$4=0,0,IF(32=0,1,IF(AND($Q$5&lt;=2,32&lt;=$Q$6,$S45&gt;$Q$11),1,IF(AND($Q$5=3,32&lt;=2),1,0))))</f>
        <v/>
      </c>
      <c r="U45" s="68">
        <f>IF($Q$4=0,0,INDEX('計算（触らない）'!$ER$6:$IN$105,$Q$3,32))</f>
        <v/>
      </c>
    </row>
    <row r="46" ht="17" customHeight="1">
      <c r="A46" s="37">
        <f>IF($T46=0,"",IF('計算（触らない）'!$B$1=1,($Q$13+33)&amp;"年度",($Q$13+33)&amp;"年"))</f>
        <v/>
      </c>
      <c r="B46" s="40">
        <f>IF($T46=0,"",$S46)</f>
        <v/>
      </c>
      <c r="C46" s="51">
        <f>IF($T46=0,"",IF($Q$5&gt;2,"―",IF(33=$Q$6,$Q$7,12)))</f>
        <v/>
      </c>
      <c r="D46" s="42">
        <f>IF($T46=0,"",IF($Q$5=3,"1/3",IF($Q$5=4,"―",IF($U46&gt;0,$Q$10,$Q$9))))</f>
        <v/>
      </c>
      <c r="E46" s="40">
        <f>IF($T46=0,"",$S46-$R46)</f>
        <v/>
      </c>
      <c r="F46" s="40">
        <f>IF($T46=0,"",INT(ROUND(($S46-$R46)*$Q$12,6)+'計算（触らない）'!$B$4))</f>
        <v/>
      </c>
      <c r="G46" s="40">
        <f>IF($T46=0,"",$R46)</f>
        <v/>
      </c>
      <c r="H46" s="38">
        <f>IF($T46=0,"",TRIM(IF(AND($Q$5&lt;=2,33=$Q$6),"売却・除却（期末の帳簿価額を帳簿から外す）",IF(AND($U46&gt;0,$U45=0),"ここから改定償却率（改定取得価額 "&amp;TEXT($U46,"#,##0")&amp;"円）",IF($U46&gt;0,"改定償却","")))&amp;IF(AND($Q$5&lt;=2,$R46=$Q$11,$S46&gt;$Q$11,33&lt;&gt;$Q$6)," 償却終わり（帳簿価額 "&amp;$R46&amp;"円）","")&amp;IF(AND($Q$5=4,33=0),"少額特例で全額を経費","")))</f>
        <v/>
      </c>
      <c r="I46" s="68" t="n"/>
      <c r="J46" s="68" t="n"/>
      <c r="K46" s="68" t="n"/>
      <c r="L46" s="68" t="n"/>
      <c r="M46" s="68" t="n"/>
      <c r="N46" s="68" t="n"/>
      <c r="O46" s="68" t="n"/>
      <c r="P46" s="68" t="n"/>
      <c r="Q46" s="68" t="n"/>
      <c r="R46" s="68">
        <f>IF($Q$4=0,0,INDEX('計算（触らない）'!$AS$6:$EP$105,$Q$3,34))</f>
        <v/>
      </c>
      <c r="S46" s="68">
        <f>IF($Q$4=0,0,INDEX('計算（触らない）'!$AS$6:$EP$105,$Q$3,33))</f>
        <v/>
      </c>
      <c r="T46" s="68">
        <f>IF($Q$4=0,0,IF(33=0,1,IF(AND($Q$5&lt;=2,33&lt;=$Q$6,$S46&gt;$Q$11),1,IF(AND($Q$5=3,33&lt;=2),1,0))))</f>
        <v/>
      </c>
      <c r="U46" s="68">
        <f>IF($Q$4=0,0,INDEX('計算（触らない）'!$ER$6:$IN$105,$Q$3,33))</f>
        <v/>
      </c>
    </row>
    <row r="47" ht="17" customHeight="1">
      <c r="A47" s="37">
        <f>IF($T47=0,"",IF('計算（触らない）'!$B$1=1,($Q$13+34)&amp;"年度",($Q$13+34)&amp;"年"))</f>
        <v/>
      </c>
      <c r="B47" s="40">
        <f>IF($T47=0,"",$S47)</f>
        <v/>
      </c>
      <c r="C47" s="51">
        <f>IF($T47=0,"",IF($Q$5&gt;2,"―",IF(34=$Q$6,$Q$7,12)))</f>
        <v/>
      </c>
      <c r="D47" s="42">
        <f>IF($T47=0,"",IF($Q$5=3,"1/3",IF($Q$5=4,"―",IF($U47&gt;0,$Q$10,$Q$9))))</f>
        <v/>
      </c>
      <c r="E47" s="40">
        <f>IF($T47=0,"",$S47-$R47)</f>
        <v/>
      </c>
      <c r="F47" s="40">
        <f>IF($T47=0,"",INT(ROUND(($S47-$R47)*$Q$12,6)+'計算（触らない）'!$B$4))</f>
        <v/>
      </c>
      <c r="G47" s="40">
        <f>IF($T47=0,"",$R47)</f>
        <v/>
      </c>
      <c r="H47" s="38">
        <f>IF($T47=0,"",TRIM(IF(AND($Q$5&lt;=2,34=$Q$6),"売却・除却（期末の帳簿価額を帳簿から外す）",IF(AND($U47&gt;0,$U46=0),"ここから改定償却率（改定取得価額 "&amp;TEXT($U47,"#,##0")&amp;"円）",IF($U47&gt;0,"改定償却","")))&amp;IF(AND($Q$5&lt;=2,$R47=$Q$11,$S47&gt;$Q$11,34&lt;&gt;$Q$6)," 償却終わり（帳簿価額 "&amp;$R47&amp;"円）","")&amp;IF(AND($Q$5=4,34=0),"少額特例で全額を経費","")))</f>
        <v/>
      </c>
      <c r="I47" s="68" t="n"/>
      <c r="J47" s="68" t="n"/>
      <c r="K47" s="68" t="n"/>
      <c r="L47" s="68" t="n"/>
      <c r="M47" s="68" t="n"/>
      <c r="N47" s="68" t="n"/>
      <c r="O47" s="68" t="n"/>
      <c r="P47" s="68" t="n"/>
      <c r="Q47" s="68" t="n"/>
      <c r="R47" s="68">
        <f>IF($Q$4=0,0,INDEX('計算（触らない）'!$AS$6:$EP$105,$Q$3,35))</f>
        <v/>
      </c>
      <c r="S47" s="68">
        <f>IF($Q$4=0,0,INDEX('計算（触らない）'!$AS$6:$EP$105,$Q$3,34))</f>
        <v/>
      </c>
      <c r="T47" s="68">
        <f>IF($Q$4=0,0,IF(34=0,1,IF(AND($Q$5&lt;=2,34&lt;=$Q$6,$S47&gt;$Q$11),1,IF(AND($Q$5=3,34&lt;=2),1,0))))</f>
        <v/>
      </c>
      <c r="U47" s="68">
        <f>IF($Q$4=0,0,INDEX('計算（触らない）'!$ER$6:$IN$105,$Q$3,34))</f>
        <v/>
      </c>
    </row>
    <row r="48" ht="17" customHeight="1">
      <c r="A48" s="37">
        <f>IF($T48=0,"",IF('計算（触らない）'!$B$1=1,($Q$13+35)&amp;"年度",($Q$13+35)&amp;"年"))</f>
        <v/>
      </c>
      <c r="B48" s="40">
        <f>IF($T48=0,"",$S48)</f>
        <v/>
      </c>
      <c r="C48" s="51">
        <f>IF($T48=0,"",IF($Q$5&gt;2,"―",IF(35=$Q$6,$Q$7,12)))</f>
        <v/>
      </c>
      <c r="D48" s="42">
        <f>IF($T48=0,"",IF($Q$5=3,"1/3",IF($Q$5=4,"―",IF($U48&gt;0,$Q$10,$Q$9))))</f>
        <v/>
      </c>
      <c r="E48" s="40">
        <f>IF($T48=0,"",$S48-$R48)</f>
        <v/>
      </c>
      <c r="F48" s="40">
        <f>IF($T48=0,"",INT(ROUND(($S48-$R48)*$Q$12,6)+'計算（触らない）'!$B$4))</f>
        <v/>
      </c>
      <c r="G48" s="40">
        <f>IF($T48=0,"",$R48)</f>
        <v/>
      </c>
      <c r="H48" s="38">
        <f>IF($T48=0,"",TRIM(IF(AND($Q$5&lt;=2,35=$Q$6),"売却・除却（期末の帳簿価額を帳簿から外す）",IF(AND($U48&gt;0,$U47=0),"ここから改定償却率（改定取得価額 "&amp;TEXT($U48,"#,##0")&amp;"円）",IF($U48&gt;0,"改定償却","")))&amp;IF(AND($Q$5&lt;=2,$R48=$Q$11,$S48&gt;$Q$11,35&lt;&gt;$Q$6)," 償却終わり（帳簿価額 "&amp;$R48&amp;"円）","")&amp;IF(AND($Q$5=4,35=0),"少額特例で全額を経費","")))</f>
        <v/>
      </c>
      <c r="I48" s="68" t="n"/>
      <c r="J48" s="68" t="n"/>
      <c r="K48" s="68" t="n"/>
      <c r="L48" s="68" t="n"/>
      <c r="M48" s="68" t="n"/>
      <c r="N48" s="68" t="n"/>
      <c r="O48" s="68" t="n"/>
      <c r="P48" s="68" t="n"/>
      <c r="Q48" s="68" t="n"/>
      <c r="R48" s="68">
        <f>IF($Q$4=0,0,INDEX('計算（触らない）'!$AS$6:$EP$105,$Q$3,36))</f>
        <v/>
      </c>
      <c r="S48" s="68">
        <f>IF($Q$4=0,0,INDEX('計算（触らない）'!$AS$6:$EP$105,$Q$3,35))</f>
        <v/>
      </c>
      <c r="T48" s="68">
        <f>IF($Q$4=0,0,IF(35=0,1,IF(AND($Q$5&lt;=2,35&lt;=$Q$6,$S48&gt;$Q$11),1,IF(AND($Q$5=3,35&lt;=2),1,0))))</f>
        <v/>
      </c>
      <c r="U48" s="68">
        <f>IF($Q$4=0,0,INDEX('計算（触らない）'!$ER$6:$IN$105,$Q$3,35))</f>
        <v/>
      </c>
    </row>
    <row r="49" ht="17" customHeight="1">
      <c r="A49" s="37">
        <f>IF($T49=0,"",IF('計算（触らない）'!$B$1=1,($Q$13+36)&amp;"年度",($Q$13+36)&amp;"年"))</f>
        <v/>
      </c>
      <c r="B49" s="40">
        <f>IF($T49=0,"",$S49)</f>
        <v/>
      </c>
      <c r="C49" s="51">
        <f>IF($T49=0,"",IF($Q$5&gt;2,"―",IF(36=$Q$6,$Q$7,12)))</f>
        <v/>
      </c>
      <c r="D49" s="42">
        <f>IF($T49=0,"",IF($Q$5=3,"1/3",IF($Q$5=4,"―",IF($U49&gt;0,$Q$10,$Q$9))))</f>
        <v/>
      </c>
      <c r="E49" s="40">
        <f>IF($T49=0,"",$S49-$R49)</f>
        <v/>
      </c>
      <c r="F49" s="40">
        <f>IF($T49=0,"",INT(ROUND(($S49-$R49)*$Q$12,6)+'計算（触らない）'!$B$4))</f>
        <v/>
      </c>
      <c r="G49" s="40">
        <f>IF($T49=0,"",$R49)</f>
        <v/>
      </c>
      <c r="H49" s="38">
        <f>IF($T49=0,"",TRIM(IF(AND($Q$5&lt;=2,36=$Q$6),"売却・除却（期末の帳簿価額を帳簿から外す）",IF(AND($U49&gt;0,$U48=0),"ここから改定償却率（改定取得価額 "&amp;TEXT($U49,"#,##0")&amp;"円）",IF($U49&gt;0,"改定償却","")))&amp;IF(AND($Q$5&lt;=2,$R49=$Q$11,$S49&gt;$Q$11,36&lt;&gt;$Q$6)," 償却終わり（帳簿価額 "&amp;$R49&amp;"円）","")&amp;IF(AND($Q$5=4,36=0),"少額特例で全額を経費","")))</f>
        <v/>
      </c>
      <c r="I49" s="68" t="n"/>
      <c r="J49" s="68" t="n"/>
      <c r="K49" s="68" t="n"/>
      <c r="L49" s="68" t="n"/>
      <c r="M49" s="68" t="n"/>
      <c r="N49" s="68" t="n"/>
      <c r="O49" s="68" t="n"/>
      <c r="P49" s="68" t="n"/>
      <c r="Q49" s="68" t="n"/>
      <c r="R49" s="68">
        <f>IF($Q$4=0,0,INDEX('計算（触らない）'!$AS$6:$EP$105,$Q$3,37))</f>
        <v/>
      </c>
      <c r="S49" s="68">
        <f>IF($Q$4=0,0,INDEX('計算（触らない）'!$AS$6:$EP$105,$Q$3,36))</f>
        <v/>
      </c>
      <c r="T49" s="68">
        <f>IF($Q$4=0,0,IF(36=0,1,IF(AND($Q$5&lt;=2,36&lt;=$Q$6,$S49&gt;$Q$11),1,IF(AND($Q$5=3,36&lt;=2),1,0))))</f>
        <v/>
      </c>
      <c r="U49" s="68">
        <f>IF($Q$4=0,0,INDEX('計算（触らない）'!$ER$6:$IN$105,$Q$3,36))</f>
        <v/>
      </c>
    </row>
    <row r="50" ht="17" customHeight="1">
      <c r="A50" s="37">
        <f>IF($T50=0,"",IF('計算（触らない）'!$B$1=1,($Q$13+37)&amp;"年度",($Q$13+37)&amp;"年"))</f>
        <v/>
      </c>
      <c r="B50" s="40">
        <f>IF($T50=0,"",$S50)</f>
        <v/>
      </c>
      <c r="C50" s="51">
        <f>IF($T50=0,"",IF($Q$5&gt;2,"―",IF(37=$Q$6,$Q$7,12)))</f>
        <v/>
      </c>
      <c r="D50" s="42">
        <f>IF($T50=0,"",IF($Q$5=3,"1/3",IF($Q$5=4,"―",IF($U50&gt;0,$Q$10,$Q$9))))</f>
        <v/>
      </c>
      <c r="E50" s="40">
        <f>IF($T50=0,"",$S50-$R50)</f>
        <v/>
      </c>
      <c r="F50" s="40">
        <f>IF($T50=0,"",INT(ROUND(($S50-$R50)*$Q$12,6)+'計算（触らない）'!$B$4))</f>
        <v/>
      </c>
      <c r="G50" s="40">
        <f>IF($T50=0,"",$R50)</f>
        <v/>
      </c>
      <c r="H50" s="38">
        <f>IF($T50=0,"",TRIM(IF(AND($Q$5&lt;=2,37=$Q$6),"売却・除却（期末の帳簿価額を帳簿から外す）",IF(AND($U50&gt;0,$U49=0),"ここから改定償却率（改定取得価額 "&amp;TEXT($U50,"#,##0")&amp;"円）",IF($U50&gt;0,"改定償却","")))&amp;IF(AND($Q$5&lt;=2,$R50=$Q$11,$S50&gt;$Q$11,37&lt;&gt;$Q$6)," 償却終わり（帳簿価額 "&amp;$R50&amp;"円）","")&amp;IF(AND($Q$5=4,37=0),"少額特例で全額を経費","")))</f>
        <v/>
      </c>
      <c r="I50" s="68" t="n"/>
      <c r="J50" s="68" t="n"/>
      <c r="K50" s="68" t="n"/>
      <c r="L50" s="68" t="n"/>
      <c r="M50" s="68" t="n"/>
      <c r="N50" s="68" t="n"/>
      <c r="O50" s="68" t="n"/>
      <c r="P50" s="68" t="n"/>
      <c r="Q50" s="68" t="n"/>
      <c r="R50" s="68">
        <f>IF($Q$4=0,0,INDEX('計算（触らない）'!$AS$6:$EP$105,$Q$3,38))</f>
        <v/>
      </c>
      <c r="S50" s="68">
        <f>IF($Q$4=0,0,INDEX('計算（触らない）'!$AS$6:$EP$105,$Q$3,37))</f>
        <v/>
      </c>
      <c r="T50" s="68">
        <f>IF($Q$4=0,0,IF(37=0,1,IF(AND($Q$5&lt;=2,37&lt;=$Q$6,$S50&gt;$Q$11),1,IF(AND($Q$5=3,37&lt;=2),1,0))))</f>
        <v/>
      </c>
      <c r="U50" s="68">
        <f>IF($Q$4=0,0,INDEX('計算（触らない）'!$ER$6:$IN$105,$Q$3,37))</f>
        <v/>
      </c>
    </row>
    <row r="51" ht="17" customHeight="1">
      <c r="A51" s="37">
        <f>IF($T51=0,"",IF('計算（触らない）'!$B$1=1,($Q$13+38)&amp;"年度",($Q$13+38)&amp;"年"))</f>
        <v/>
      </c>
      <c r="B51" s="40">
        <f>IF($T51=0,"",$S51)</f>
        <v/>
      </c>
      <c r="C51" s="51">
        <f>IF($T51=0,"",IF($Q$5&gt;2,"―",IF(38=$Q$6,$Q$7,12)))</f>
        <v/>
      </c>
      <c r="D51" s="42">
        <f>IF($T51=0,"",IF($Q$5=3,"1/3",IF($Q$5=4,"―",IF($U51&gt;0,$Q$10,$Q$9))))</f>
        <v/>
      </c>
      <c r="E51" s="40">
        <f>IF($T51=0,"",$S51-$R51)</f>
        <v/>
      </c>
      <c r="F51" s="40">
        <f>IF($T51=0,"",INT(ROUND(($S51-$R51)*$Q$12,6)+'計算（触らない）'!$B$4))</f>
        <v/>
      </c>
      <c r="G51" s="40">
        <f>IF($T51=0,"",$R51)</f>
        <v/>
      </c>
      <c r="H51" s="38">
        <f>IF($T51=0,"",TRIM(IF(AND($Q$5&lt;=2,38=$Q$6),"売却・除却（期末の帳簿価額を帳簿から外す）",IF(AND($U51&gt;0,$U50=0),"ここから改定償却率（改定取得価額 "&amp;TEXT($U51,"#,##0")&amp;"円）",IF($U51&gt;0,"改定償却","")))&amp;IF(AND($Q$5&lt;=2,$R51=$Q$11,$S51&gt;$Q$11,38&lt;&gt;$Q$6)," 償却終わり（帳簿価額 "&amp;$R51&amp;"円）","")&amp;IF(AND($Q$5=4,38=0),"少額特例で全額を経費","")))</f>
        <v/>
      </c>
      <c r="I51" s="68" t="n"/>
      <c r="J51" s="68" t="n"/>
      <c r="K51" s="68" t="n"/>
      <c r="L51" s="68" t="n"/>
      <c r="M51" s="68" t="n"/>
      <c r="N51" s="68" t="n"/>
      <c r="O51" s="68" t="n"/>
      <c r="P51" s="68" t="n"/>
      <c r="Q51" s="68" t="n"/>
      <c r="R51" s="68">
        <f>IF($Q$4=0,0,INDEX('計算（触らない）'!$AS$6:$EP$105,$Q$3,39))</f>
        <v/>
      </c>
      <c r="S51" s="68">
        <f>IF($Q$4=0,0,INDEX('計算（触らない）'!$AS$6:$EP$105,$Q$3,38))</f>
        <v/>
      </c>
      <c r="T51" s="68">
        <f>IF($Q$4=0,0,IF(38=0,1,IF(AND($Q$5&lt;=2,38&lt;=$Q$6,$S51&gt;$Q$11),1,IF(AND($Q$5=3,38&lt;=2),1,0))))</f>
        <v/>
      </c>
      <c r="U51" s="68">
        <f>IF($Q$4=0,0,INDEX('計算（触らない）'!$ER$6:$IN$105,$Q$3,38))</f>
        <v/>
      </c>
    </row>
    <row r="52" ht="17" customHeight="1">
      <c r="A52" s="37">
        <f>IF($T52=0,"",IF('計算（触らない）'!$B$1=1,($Q$13+39)&amp;"年度",($Q$13+39)&amp;"年"))</f>
        <v/>
      </c>
      <c r="B52" s="40">
        <f>IF($T52=0,"",$S52)</f>
        <v/>
      </c>
      <c r="C52" s="51">
        <f>IF($T52=0,"",IF($Q$5&gt;2,"―",IF(39=$Q$6,$Q$7,12)))</f>
        <v/>
      </c>
      <c r="D52" s="42">
        <f>IF($T52=0,"",IF($Q$5=3,"1/3",IF($Q$5=4,"―",IF($U52&gt;0,$Q$10,$Q$9))))</f>
        <v/>
      </c>
      <c r="E52" s="40">
        <f>IF($T52=0,"",$S52-$R52)</f>
        <v/>
      </c>
      <c r="F52" s="40">
        <f>IF($T52=0,"",INT(ROUND(($S52-$R52)*$Q$12,6)+'計算（触らない）'!$B$4))</f>
        <v/>
      </c>
      <c r="G52" s="40">
        <f>IF($T52=0,"",$R52)</f>
        <v/>
      </c>
      <c r="H52" s="38">
        <f>IF($T52=0,"",TRIM(IF(AND($Q$5&lt;=2,39=$Q$6),"売却・除却（期末の帳簿価額を帳簿から外す）",IF(AND($U52&gt;0,$U51=0),"ここから改定償却率（改定取得価額 "&amp;TEXT($U52,"#,##0")&amp;"円）",IF($U52&gt;0,"改定償却","")))&amp;IF(AND($Q$5&lt;=2,$R52=$Q$11,$S52&gt;$Q$11,39&lt;&gt;$Q$6)," 償却終わり（帳簿価額 "&amp;$R52&amp;"円）","")&amp;IF(AND($Q$5=4,39=0),"少額特例で全額を経費","")))</f>
        <v/>
      </c>
      <c r="I52" s="68" t="n"/>
      <c r="J52" s="68" t="n"/>
      <c r="K52" s="68" t="n"/>
      <c r="L52" s="68" t="n"/>
      <c r="M52" s="68" t="n"/>
      <c r="N52" s="68" t="n"/>
      <c r="O52" s="68" t="n"/>
      <c r="P52" s="68" t="n"/>
      <c r="Q52" s="68" t="n"/>
      <c r="R52" s="68">
        <f>IF($Q$4=0,0,INDEX('計算（触らない）'!$AS$6:$EP$105,$Q$3,40))</f>
        <v/>
      </c>
      <c r="S52" s="68">
        <f>IF($Q$4=0,0,INDEX('計算（触らない）'!$AS$6:$EP$105,$Q$3,39))</f>
        <v/>
      </c>
      <c r="T52" s="68">
        <f>IF($Q$4=0,0,IF(39=0,1,IF(AND($Q$5&lt;=2,39&lt;=$Q$6,$S52&gt;$Q$11),1,IF(AND($Q$5=3,39&lt;=2),1,0))))</f>
        <v/>
      </c>
      <c r="U52" s="68">
        <f>IF($Q$4=0,0,INDEX('計算（触らない）'!$ER$6:$IN$105,$Q$3,39))</f>
        <v/>
      </c>
    </row>
    <row r="53" ht="17" customHeight="1">
      <c r="A53" s="37">
        <f>IF($T53=0,"",IF('計算（触らない）'!$B$1=1,($Q$13+40)&amp;"年度",($Q$13+40)&amp;"年"))</f>
        <v/>
      </c>
      <c r="B53" s="40">
        <f>IF($T53=0,"",$S53)</f>
        <v/>
      </c>
      <c r="C53" s="51">
        <f>IF($T53=0,"",IF($Q$5&gt;2,"―",IF(40=$Q$6,$Q$7,12)))</f>
        <v/>
      </c>
      <c r="D53" s="42">
        <f>IF($T53=0,"",IF($Q$5=3,"1/3",IF($Q$5=4,"―",IF($U53&gt;0,$Q$10,$Q$9))))</f>
        <v/>
      </c>
      <c r="E53" s="40">
        <f>IF($T53=0,"",$S53-$R53)</f>
        <v/>
      </c>
      <c r="F53" s="40">
        <f>IF($T53=0,"",INT(ROUND(($S53-$R53)*$Q$12,6)+'計算（触らない）'!$B$4))</f>
        <v/>
      </c>
      <c r="G53" s="40">
        <f>IF($T53=0,"",$R53)</f>
        <v/>
      </c>
      <c r="H53" s="38">
        <f>IF($T53=0,"",TRIM(IF(AND($Q$5&lt;=2,40=$Q$6),"売却・除却（期末の帳簿価額を帳簿から外す）",IF(AND($U53&gt;0,$U52=0),"ここから改定償却率（改定取得価額 "&amp;TEXT($U53,"#,##0")&amp;"円）",IF($U53&gt;0,"改定償却","")))&amp;IF(AND($Q$5&lt;=2,$R53=$Q$11,$S53&gt;$Q$11,40&lt;&gt;$Q$6)," 償却終わり（帳簿価額 "&amp;$R53&amp;"円）","")&amp;IF(AND($Q$5=4,40=0),"少額特例で全額を経費","")))</f>
        <v/>
      </c>
      <c r="I53" s="68" t="n"/>
      <c r="J53" s="68" t="n"/>
      <c r="K53" s="68" t="n"/>
      <c r="L53" s="68" t="n"/>
      <c r="M53" s="68" t="n"/>
      <c r="N53" s="68" t="n"/>
      <c r="O53" s="68" t="n"/>
      <c r="P53" s="68" t="n"/>
      <c r="Q53" s="68" t="n"/>
      <c r="R53" s="68">
        <f>IF($Q$4=0,0,INDEX('計算（触らない）'!$AS$6:$EP$105,$Q$3,41))</f>
        <v/>
      </c>
      <c r="S53" s="68">
        <f>IF($Q$4=0,0,INDEX('計算（触らない）'!$AS$6:$EP$105,$Q$3,40))</f>
        <v/>
      </c>
      <c r="T53" s="68">
        <f>IF($Q$4=0,0,IF(40=0,1,IF(AND($Q$5&lt;=2,40&lt;=$Q$6,$S53&gt;$Q$11),1,IF(AND($Q$5=3,40&lt;=2),1,0))))</f>
        <v/>
      </c>
      <c r="U53" s="68">
        <f>IF($Q$4=0,0,INDEX('計算（触らない）'!$ER$6:$IN$105,$Q$3,40))</f>
        <v/>
      </c>
    </row>
    <row r="54" ht="17" customHeight="1">
      <c r="A54" s="37">
        <f>IF($T54=0,"",IF('計算（触らない）'!$B$1=1,($Q$13+41)&amp;"年度",($Q$13+41)&amp;"年"))</f>
        <v/>
      </c>
      <c r="B54" s="40">
        <f>IF($T54=0,"",$S54)</f>
        <v/>
      </c>
      <c r="C54" s="51">
        <f>IF($T54=0,"",IF($Q$5&gt;2,"―",IF(41=$Q$6,$Q$7,12)))</f>
        <v/>
      </c>
      <c r="D54" s="42">
        <f>IF($T54=0,"",IF($Q$5=3,"1/3",IF($Q$5=4,"―",IF($U54&gt;0,$Q$10,$Q$9))))</f>
        <v/>
      </c>
      <c r="E54" s="40">
        <f>IF($T54=0,"",$S54-$R54)</f>
        <v/>
      </c>
      <c r="F54" s="40">
        <f>IF($T54=0,"",INT(ROUND(($S54-$R54)*$Q$12,6)+'計算（触らない）'!$B$4))</f>
        <v/>
      </c>
      <c r="G54" s="40">
        <f>IF($T54=0,"",$R54)</f>
        <v/>
      </c>
      <c r="H54" s="38">
        <f>IF($T54=0,"",TRIM(IF(AND($Q$5&lt;=2,41=$Q$6),"売却・除却（期末の帳簿価額を帳簿から外す）",IF(AND($U54&gt;0,$U53=0),"ここから改定償却率（改定取得価額 "&amp;TEXT($U54,"#,##0")&amp;"円）",IF($U54&gt;0,"改定償却","")))&amp;IF(AND($Q$5&lt;=2,$R54=$Q$11,$S54&gt;$Q$11,41&lt;&gt;$Q$6)," 償却終わり（帳簿価額 "&amp;$R54&amp;"円）","")&amp;IF(AND($Q$5=4,41=0),"少額特例で全額を経費","")))</f>
        <v/>
      </c>
      <c r="I54" s="68" t="n"/>
      <c r="J54" s="68" t="n"/>
      <c r="K54" s="68" t="n"/>
      <c r="L54" s="68" t="n"/>
      <c r="M54" s="68" t="n"/>
      <c r="N54" s="68" t="n"/>
      <c r="O54" s="68" t="n"/>
      <c r="P54" s="68" t="n"/>
      <c r="Q54" s="68" t="n"/>
      <c r="R54" s="68">
        <f>IF($Q$4=0,0,INDEX('計算（触らない）'!$AS$6:$EP$105,$Q$3,42))</f>
        <v/>
      </c>
      <c r="S54" s="68">
        <f>IF($Q$4=0,0,INDEX('計算（触らない）'!$AS$6:$EP$105,$Q$3,41))</f>
        <v/>
      </c>
      <c r="T54" s="68">
        <f>IF($Q$4=0,0,IF(41=0,1,IF(AND($Q$5&lt;=2,41&lt;=$Q$6,$S54&gt;$Q$11),1,IF(AND($Q$5=3,41&lt;=2),1,0))))</f>
        <v/>
      </c>
      <c r="U54" s="68">
        <f>IF($Q$4=0,0,INDEX('計算（触らない）'!$ER$6:$IN$105,$Q$3,41))</f>
        <v/>
      </c>
    </row>
    <row r="55" ht="17" customHeight="1">
      <c r="A55" s="37">
        <f>IF($T55=0,"",IF('計算（触らない）'!$B$1=1,($Q$13+42)&amp;"年度",($Q$13+42)&amp;"年"))</f>
        <v/>
      </c>
      <c r="B55" s="40">
        <f>IF($T55=0,"",$S55)</f>
        <v/>
      </c>
      <c r="C55" s="51">
        <f>IF($T55=0,"",IF($Q$5&gt;2,"―",IF(42=$Q$6,$Q$7,12)))</f>
        <v/>
      </c>
      <c r="D55" s="42">
        <f>IF($T55=0,"",IF($Q$5=3,"1/3",IF($Q$5=4,"―",IF($U55&gt;0,$Q$10,$Q$9))))</f>
        <v/>
      </c>
      <c r="E55" s="40">
        <f>IF($T55=0,"",$S55-$R55)</f>
        <v/>
      </c>
      <c r="F55" s="40">
        <f>IF($T55=0,"",INT(ROUND(($S55-$R55)*$Q$12,6)+'計算（触らない）'!$B$4))</f>
        <v/>
      </c>
      <c r="G55" s="40">
        <f>IF($T55=0,"",$R55)</f>
        <v/>
      </c>
      <c r="H55" s="38">
        <f>IF($T55=0,"",TRIM(IF(AND($Q$5&lt;=2,42=$Q$6),"売却・除却（期末の帳簿価額を帳簿から外す）",IF(AND($U55&gt;0,$U54=0),"ここから改定償却率（改定取得価額 "&amp;TEXT($U55,"#,##0")&amp;"円）",IF($U55&gt;0,"改定償却","")))&amp;IF(AND($Q$5&lt;=2,$R55=$Q$11,$S55&gt;$Q$11,42&lt;&gt;$Q$6)," 償却終わり（帳簿価額 "&amp;$R55&amp;"円）","")&amp;IF(AND($Q$5=4,42=0),"少額特例で全額を経費","")))</f>
        <v/>
      </c>
      <c r="I55" s="68" t="n"/>
      <c r="J55" s="68" t="n"/>
      <c r="K55" s="68" t="n"/>
      <c r="L55" s="68" t="n"/>
      <c r="M55" s="68" t="n"/>
      <c r="N55" s="68" t="n"/>
      <c r="O55" s="68" t="n"/>
      <c r="P55" s="68" t="n"/>
      <c r="Q55" s="68" t="n"/>
      <c r="R55" s="68">
        <f>IF($Q$4=0,0,INDEX('計算（触らない）'!$AS$6:$EP$105,$Q$3,43))</f>
        <v/>
      </c>
      <c r="S55" s="68">
        <f>IF($Q$4=0,0,INDEX('計算（触らない）'!$AS$6:$EP$105,$Q$3,42))</f>
        <v/>
      </c>
      <c r="T55" s="68">
        <f>IF($Q$4=0,0,IF(42=0,1,IF(AND($Q$5&lt;=2,42&lt;=$Q$6,$S55&gt;$Q$11),1,IF(AND($Q$5=3,42&lt;=2),1,0))))</f>
        <v/>
      </c>
      <c r="U55" s="68">
        <f>IF($Q$4=0,0,INDEX('計算（触らない）'!$ER$6:$IN$105,$Q$3,42))</f>
        <v/>
      </c>
    </row>
    <row r="56" ht="17" customHeight="1">
      <c r="A56" s="37">
        <f>IF($T56=0,"",IF('計算（触らない）'!$B$1=1,($Q$13+43)&amp;"年度",($Q$13+43)&amp;"年"))</f>
        <v/>
      </c>
      <c r="B56" s="40">
        <f>IF($T56=0,"",$S56)</f>
        <v/>
      </c>
      <c r="C56" s="51">
        <f>IF($T56=0,"",IF($Q$5&gt;2,"―",IF(43=$Q$6,$Q$7,12)))</f>
        <v/>
      </c>
      <c r="D56" s="42">
        <f>IF($T56=0,"",IF($Q$5=3,"1/3",IF($Q$5=4,"―",IF($U56&gt;0,$Q$10,$Q$9))))</f>
        <v/>
      </c>
      <c r="E56" s="40">
        <f>IF($T56=0,"",$S56-$R56)</f>
        <v/>
      </c>
      <c r="F56" s="40">
        <f>IF($T56=0,"",INT(ROUND(($S56-$R56)*$Q$12,6)+'計算（触らない）'!$B$4))</f>
        <v/>
      </c>
      <c r="G56" s="40">
        <f>IF($T56=0,"",$R56)</f>
        <v/>
      </c>
      <c r="H56" s="38">
        <f>IF($T56=0,"",TRIM(IF(AND($Q$5&lt;=2,43=$Q$6),"売却・除却（期末の帳簿価額を帳簿から外す）",IF(AND($U56&gt;0,$U55=0),"ここから改定償却率（改定取得価額 "&amp;TEXT($U56,"#,##0")&amp;"円）",IF($U56&gt;0,"改定償却","")))&amp;IF(AND($Q$5&lt;=2,$R56=$Q$11,$S56&gt;$Q$11,43&lt;&gt;$Q$6)," 償却終わり（帳簿価額 "&amp;$R56&amp;"円）","")&amp;IF(AND($Q$5=4,43=0),"少額特例で全額を経費","")))</f>
        <v/>
      </c>
      <c r="I56" s="68" t="n"/>
      <c r="J56" s="68" t="n"/>
      <c r="K56" s="68" t="n"/>
      <c r="L56" s="68" t="n"/>
      <c r="M56" s="68" t="n"/>
      <c r="N56" s="68" t="n"/>
      <c r="O56" s="68" t="n"/>
      <c r="P56" s="68" t="n"/>
      <c r="Q56" s="68" t="n"/>
      <c r="R56" s="68">
        <f>IF($Q$4=0,0,INDEX('計算（触らない）'!$AS$6:$EP$105,$Q$3,44))</f>
        <v/>
      </c>
      <c r="S56" s="68">
        <f>IF($Q$4=0,0,INDEX('計算（触らない）'!$AS$6:$EP$105,$Q$3,43))</f>
        <v/>
      </c>
      <c r="T56" s="68">
        <f>IF($Q$4=0,0,IF(43=0,1,IF(AND($Q$5&lt;=2,43&lt;=$Q$6,$S56&gt;$Q$11),1,IF(AND($Q$5=3,43&lt;=2),1,0))))</f>
        <v/>
      </c>
      <c r="U56" s="68">
        <f>IF($Q$4=0,0,INDEX('計算（触らない）'!$ER$6:$IN$105,$Q$3,43))</f>
        <v/>
      </c>
    </row>
    <row r="57" ht="17" customHeight="1">
      <c r="A57" s="37">
        <f>IF($T57=0,"",IF('計算（触らない）'!$B$1=1,($Q$13+44)&amp;"年度",($Q$13+44)&amp;"年"))</f>
        <v/>
      </c>
      <c r="B57" s="40">
        <f>IF($T57=0,"",$S57)</f>
        <v/>
      </c>
      <c r="C57" s="51">
        <f>IF($T57=0,"",IF($Q$5&gt;2,"―",IF(44=$Q$6,$Q$7,12)))</f>
        <v/>
      </c>
      <c r="D57" s="42">
        <f>IF($T57=0,"",IF($Q$5=3,"1/3",IF($Q$5=4,"―",IF($U57&gt;0,$Q$10,$Q$9))))</f>
        <v/>
      </c>
      <c r="E57" s="40">
        <f>IF($T57=0,"",$S57-$R57)</f>
        <v/>
      </c>
      <c r="F57" s="40">
        <f>IF($T57=0,"",INT(ROUND(($S57-$R57)*$Q$12,6)+'計算（触らない）'!$B$4))</f>
        <v/>
      </c>
      <c r="G57" s="40">
        <f>IF($T57=0,"",$R57)</f>
        <v/>
      </c>
      <c r="H57" s="38">
        <f>IF($T57=0,"",TRIM(IF(AND($Q$5&lt;=2,44=$Q$6),"売却・除却（期末の帳簿価額を帳簿から外す）",IF(AND($U57&gt;0,$U56=0),"ここから改定償却率（改定取得価額 "&amp;TEXT($U57,"#,##0")&amp;"円）",IF($U57&gt;0,"改定償却","")))&amp;IF(AND($Q$5&lt;=2,$R57=$Q$11,$S57&gt;$Q$11,44&lt;&gt;$Q$6)," 償却終わり（帳簿価額 "&amp;$R57&amp;"円）","")&amp;IF(AND($Q$5=4,44=0),"少額特例で全額を経費","")))</f>
        <v/>
      </c>
      <c r="I57" s="68" t="n"/>
      <c r="J57" s="68" t="n"/>
      <c r="K57" s="68" t="n"/>
      <c r="L57" s="68" t="n"/>
      <c r="M57" s="68" t="n"/>
      <c r="N57" s="68" t="n"/>
      <c r="O57" s="68" t="n"/>
      <c r="P57" s="68" t="n"/>
      <c r="Q57" s="68" t="n"/>
      <c r="R57" s="68">
        <f>IF($Q$4=0,0,INDEX('計算（触らない）'!$AS$6:$EP$105,$Q$3,45))</f>
        <v/>
      </c>
      <c r="S57" s="68">
        <f>IF($Q$4=0,0,INDEX('計算（触らない）'!$AS$6:$EP$105,$Q$3,44))</f>
        <v/>
      </c>
      <c r="T57" s="68">
        <f>IF($Q$4=0,0,IF(44=0,1,IF(AND($Q$5&lt;=2,44&lt;=$Q$6,$S57&gt;$Q$11),1,IF(AND($Q$5=3,44&lt;=2),1,0))))</f>
        <v/>
      </c>
      <c r="U57" s="68">
        <f>IF($Q$4=0,0,INDEX('計算（触らない）'!$ER$6:$IN$105,$Q$3,44))</f>
        <v/>
      </c>
    </row>
    <row r="58" ht="17" customHeight="1">
      <c r="A58" s="37">
        <f>IF($T58=0,"",IF('計算（触らない）'!$B$1=1,($Q$13+45)&amp;"年度",($Q$13+45)&amp;"年"))</f>
        <v/>
      </c>
      <c r="B58" s="40">
        <f>IF($T58=0,"",$S58)</f>
        <v/>
      </c>
      <c r="C58" s="51">
        <f>IF($T58=0,"",IF($Q$5&gt;2,"―",IF(45=$Q$6,$Q$7,12)))</f>
        <v/>
      </c>
      <c r="D58" s="42">
        <f>IF($T58=0,"",IF($Q$5=3,"1/3",IF($Q$5=4,"―",IF($U58&gt;0,$Q$10,$Q$9))))</f>
        <v/>
      </c>
      <c r="E58" s="40">
        <f>IF($T58=0,"",$S58-$R58)</f>
        <v/>
      </c>
      <c r="F58" s="40">
        <f>IF($T58=0,"",INT(ROUND(($S58-$R58)*$Q$12,6)+'計算（触らない）'!$B$4))</f>
        <v/>
      </c>
      <c r="G58" s="40">
        <f>IF($T58=0,"",$R58)</f>
        <v/>
      </c>
      <c r="H58" s="38">
        <f>IF($T58=0,"",TRIM(IF(AND($Q$5&lt;=2,45=$Q$6),"売却・除却（期末の帳簿価額を帳簿から外す）",IF(AND($U58&gt;0,$U57=0),"ここから改定償却率（改定取得価額 "&amp;TEXT($U58,"#,##0")&amp;"円）",IF($U58&gt;0,"改定償却","")))&amp;IF(AND($Q$5&lt;=2,$R58=$Q$11,$S58&gt;$Q$11,45&lt;&gt;$Q$6)," 償却終わり（帳簿価額 "&amp;$R58&amp;"円）","")&amp;IF(AND($Q$5=4,45=0),"少額特例で全額を経費","")))</f>
        <v/>
      </c>
      <c r="I58" s="68" t="n"/>
      <c r="J58" s="68" t="n"/>
      <c r="K58" s="68" t="n"/>
      <c r="L58" s="68" t="n"/>
      <c r="M58" s="68" t="n"/>
      <c r="N58" s="68" t="n"/>
      <c r="O58" s="68" t="n"/>
      <c r="P58" s="68" t="n"/>
      <c r="Q58" s="68" t="n"/>
      <c r="R58" s="68">
        <f>IF($Q$4=0,0,INDEX('計算（触らない）'!$AS$6:$EP$105,$Q$3,46))</f>
        <v/>
      </c>
      <c r="S58" s="68">
        <f>IF($Q$4=0,0,INDEX('計算（触らない）'!$AS$6:$EP$105,$Q$3,45))</f>
        <v/>
      </c>
      <c r="T58" s="68">
        <f>IF($Q$4=0,0,IF(45=0,1,IF(AND($Q$5&lt;=2,45&lt;=$Q$6,$S58&gt;$Q$11),1,IF(AND($Q$5=3,45&lt;=2),1,0))))</f>
        <v/>
      </c>
      <c r="U58" s="68">
        <f>IF($Q$4=0,0,INDEX('計算（触らない）'!$ER$6:$IN$105,$Q$3,45))</f>
        <v/>
      </c>
    </row>
    <row r="59" ht="17" customHeight="1">
      <c r="A59" s="37">
        <f>IF($T59=0,"",IF('計算（触らない）'!$B$1=1,($Q$13+46)&amp;"年度",($Q$13+46)&amp;"年"))</f>
        <v/>
      </c>
      <c r="B59" s="40">
        <f>IF($T59=0,"",$S59)</f>
        <v/>
      </c>
      <c r="C59" s="51">
        <f>IF($T59=0,"",IF($Q$5&gt;2,"―",IF(46=$Q$6,$Q$7,12)))</f>
        <v/>
      </c>
      <c r="D59" s="42">
        <f>IF($T59=0,"",IF($Q$5=3,"1/3",IF($Q$5=4,"―",IF($U59&gt;0,$Q$10,$Q$9))))</f>
        <v/>
      </c>
      <c r="E59" s="40">
        <f>IF($T59=0,"",$S59-$R59)</f>
        <v/>
      </c>
      <c r="F59" s="40">
        <f>IF($T59=0,"",INT(ROUND(($S59-$R59)*$Q$12,6)+'計算（触らない）'!$B$4))</f>
        <v/>
      </c>
      <c r="G59" s="40">
        <f>IF($T59=0,"",$R59)</f>
        <v/>
      </c>
      <c r="H59" s="38">
        <f>IF($T59=0,"",TRIM(IF(AND($Q$5&lt;=2,46=$Q$6),"売却・除却（期末の帳簿価額を帳簿から外す）",IF(AND($U59&gt;0,$U58=0),"ここから改定償却率（改定取得価額 "&amp;TEXT($U59,"#,##0")&amp;"円）",IF($U59&gt;0,"改定償却","")))&amp;IF(AND($Q$5&lt;=2,$R59=$Q$11,$S59&gt;$Q$11,46&lt;&gt;$Q$6)," 償却終わり（帳簿価額 "&amp;$R59&amp;"円）","")&amp;IF(AND($Q$5=4,46=0),"少額特例で全額を経費","")))</f>
        <v/>
      </c>
      <c r="I59" s="68" t="n"/>
      <c r="J59" s="68" t="n"/>
      <c r="K59" s="68" t="n"/>
      <c r="L59" s="68" t="n"/>
      <c r="M59" s="68" t="n"/>
      <c r="N59" s="68" t="n"/>
      <c r="O59" s="68" t="n"/>
      <c r="P59" s="68" t="n"/>
      <c r="Q59" s="68" t="n"/>
      <c r="R59" s="68">
        <f>IF($Q$4=0,0,INDEX('計算（触らない）'!$AS$6:$EP$105,$Q$3,47))</f>
        <v/>
      </c>
      <c r="S59" s="68">
        <f>IF($Q$4=0,0,INDEX('計算（触らない）'!$AS$6:$EP$105,$Q$3,46))</f>
        <v/>
      </c>
      <c r="T59" s="68">
        <f>IF($Q$4=0,0,IF(46=0,1,IF(AND($Q$5&lt;=2,46&lt;=$Q$6,$S59&gt;$Q$11),1,IF(AND($Q$5=3,46&lt;=2),1,0))))</f>
        <v/>
      </c>
      <c r="U59" s="68">
        <f>IF($Q$4=0,0,INDEX('計算（触らない）'!$ER$6:$IN$105,$Q$3,46))</f>
        <v/>
      </c>
    </row>
    <row r="60" ht="17" customHeight="1">
      <c r="A60" s="37">
        <f>IF($T60=0,"",IF('計算（触らない）'!$B$1=1,($Q$13+47)&amp;"年度",($Q$13+47)&amp;"年"))</f>
        <v/>
      </c>
      <c r="B60" s="40">
        <f>IF($T60=0,"",$S60)</f>
        <v/>
      </c>
      <c r="C60" s="51">
        <f>IF($T60=0,"",IF($Q$5&gt;2,"―",IF(47=$Q$6,$Q$7,12)))</f>
        <v/>
      </c>
      <c r="D60" s="42">
        <f>IF($T60=0,"",IF($Q$5=3,"1/3",IF($Q$5=4,"―",IF($U60&gt;0,$Q$10,$Q$9))))</f>
        <v/>
      </c>
      <c r="E60" s="40">
        <f>IF($T60=0,"",$S60-$R60)</f>
        <v/>
      </c>
      <c r="F60" s="40">
        <f>IF($T60=0,"",INT(ROUND(($S60-$R60)*$Q$12,6)+'計算（触らない）'!$B$4))</f>
        <v/>
      </c>
      <c r="G60" s="40">
        <f>IF($T60=0,"",$R60)</f>
        <v/>
      </c>
      <c r="H60" s="38">
        <f>IF($T60=0,"",TRIM(IF(AND($Q$5&lt;=2,47=$Q$6),"売却・除却（期末の帳簿価額を帳簿から外す）",IF(AND($U60&gt;0,$U59=0),"ここから改定償却率（改定取得価額 "&amp;TEXT($U60,"#,##0")&amp;"円）",IF($U60&gt;0,"改定償却","")))&amp;IF(AND($Q$5&lt;=2,$R60=$Q$11,$S60&gt;$Q$11,47&lt;&gt;$Q$6)," 償却終わり（帳簿価額 "&amp;$R60&amp;"円）","")&amp;IF(AND($Q$5=4,47=0),"少額特例で全額を経費","")))</f>
        <v/>
      </c>
      <c r="I60" s="68" t="n"/>
      <c r="J60" s="68" t="n"/>
      <c r="K60" s="68" t="n"/>
      <c r="L60" s="68" t="n"/>
      <c r="M60" s="68" t="n"/>
      <c r="N60" s="68" t="n"/>
      <c r="O60" s="68" t="n"/>
      <c r="P60" s="68" t="n"/>
      <c r="Q60" s="68" t="n"/>
      <c r="R60" s="68">
        <f>IF($Q$4=0,0,INDEX('計算（触らない）'!$AS$6:$EP$105,$Q$3,48))</f>
        <v/>
      </c>
      <c r="S60" s="68">
        <f>IF($Q$4=0,0,INDEX('計算（触らない）'!$AS$6:$EP$105,$Q$3,47))</f>
        <v/>
      </c>
      <c r="T60" s="68">
        <f>IF($Q$4=0,0,IF(47=0,1,IF(AND($Q$5&lt;=2,47&lt;=$Q$6,$S60&gt;$Q$11),1,IF(AND($Q$5=3,47&lt;=2),1,0))))</f>
        <v/>
      </c>
      <c r="U60" s="68">
        <f>IF($Q$4=0,0,INDEX('計算（触らない）'!$ER$6:$IN$105,$Q$3,47))</f>
        <v/>
      </c>
    </row>
    <row r="61" ht="17" customHeight="1">
      <c r="A61" s="37">
        <f>IF($T61=0,"",IF('計算（触らない）'!$B$1=1,($Q$13+48)&amp;"年度",($Q$13+48)&amp;"年"))</f>
        <v/>
      </c>
      <c r="B61" s="40">
        <f>IF($T61=0,"",$S61)</f>
        <v/>
      </c>
      <c r="C61" s="51">
        <f>IF($T61=0,"",IF($Q$5&gt;2,"―",IF(48=$Q$6,$Q$7,12)))</f>
        <v/>
      </c>
      <c r="D61" s="42">
        <f>IF($T61=0,"",IF($Q$5=3,"1/3",IF($Q$5=4,"―",IF($U61&gt;0,$Q$10,$Q$9))))</f>
        <v/>
      </c>
      <c r="E61" s="40">
        <f>IF($T61=0,"",$S61-$R61)</f>
        <v/>
      </c>
      <c r="F61" s="40">
        <f>IF($T61=0,"",INT(ROUND(($S61-$R61)*$Q$12,6)+'計算（触らない）'!$B$4))</f>
        <v/>
      </c>
      <c r="G61" s="40">
        <f>IF($T61=0,"",$R61)</f>
        <v/>
      </c>
      <c r="H61" s="38">
        <f>IF($T61=0,"",TRIM(IF(AND($Q$5&lt;=2,48=$Q$6),"売却・除却（期末の帳簿価額を帳簿から外す）",IF(AND($U61&gt;0,$U60=0),"ここから改定償却率（改定取得価額 "&amp;TEXT($U61,"#,##0")&amp;"円）",IF($U61&gt;0,"改定償却","")))&amp;IF(AND($Q$5&lt;=2,$R61=$Q$11,$S61&gt;$Q$11,48&lt;&gt;$Q$6)," 償却終わり（帳簿価額 "&amp;$R61&amp;"円）","")&amp;IF(AND($Q$5=4,48=0),"少額特例で全額を経費","")))</f>
        <v/>
      </c>
      <c r="I61" s="68" t="n"/>
      <c r="J61" s="68" t="n"/>
      <c r="K61" s="68" t="n"/>
      <c r="L61" s="68" t="n"/>
      <c r="M61" s="68" t="n"/>
      <c r="N61" s="68" t="n"/>
      <c r="O61" s="68" t="n"/>
      <c r="P61" s="68" t="n"/>
      <c r="Q61" s="68" t="n"/>
      <c r="R61" s="68">
        <f>IF($Q$4=0,0,INDEX('計算（触らない）'!$AS$6:$EP$105,$Q$3,49))</f>
        <v/>
      </c>
      <c r="S61" s="68">
        <f>IF($Q$4=0,0,INDEX('計算（触らない）'!$AS$6:$EP$105,$Q$3,48))</f>
        <v/>
      </c>
      <c r="T61" s="68">
        <f>IF($Q$4=0,0,IF(48=0,1,IF(AND($Q$5&lt;=2,48&lt;=$Q$6,$S61&gt;$Q$11),1,IF(AND($Q$5=3,48&lt;=2),1,0))))</f>
        <v/>
      </c>
      <c r="U61" s="68">
        <f>IF($Q$4=0,0,INDEX('計算（触らない）'!$ER$6:$IN$105,$Q$3,48))</f>
        <v/>
      </c>
    </row>
    <row r="62" ht="17" customHeight="1">
      <c r="A62" s="37">
        <f>IF($T62=0,"",IF('計算（触らない）'!$B$1=1,($Q$13+49)&amp;"年度",($Q$13+49)&amp;"年"))</f>
        <v/>
      </c>
      <c r="B62" s="40">
        <f>IF($T62=0,"",$S62)</f>
        <v/>
      </c>
      <c r="C62" s="51">
        <f>IF($T62=0,"",IF($Q$5&gt;2,"―",IF(49=$Q$6,$Q$7,12)))</f>
        <v/>
      </c>
      <c r="D62" s="42">
        <f>IF($T62=0,"",IF($Q$5=3,"1/3",IF($Q$5=4,"―",IF($U62&gt;0,$Q$10,$Q$9))))</f>
        <v/>
      </c>
      <c r="E62" s="40">
        <f>IF($T62=0,"",$S62-$R62)</f>
        <v/>
      </c>
      <c r="F62" s="40">
        <f>IF($T62=0,"",INT(ROUND(($S62-$R62)*$Q$12,6)+'計算（触らない）'!$B$4))</f>
        <v/>
      </c>
      <c r="G62" s="40">
        <f>IF($T62=0,"",$R62)</f>
        <v/>
      </c>
      <c r="H62" s="38">
        <f>IF($T62=0,"",TRIM(IF(AND($Q$5&lt;=2,49=$Q$6),"売却・除却（期末の帳簿価額を帳簿から外す）",IF(AND($U62&gt;0,$U61=0),"ここから改定償却率（改定取得価額 "&amp;TEXT($U62,"#,##0")&amp;"円）",IF($U62&gt;0,"改定償却","")))&amp;IF(AND($Q$5&lt;=2,$R62=$Q$11,$S62&gt;$Q$11,49&lt;&gt;$Q$6)," 償却終わり（帳簿価額 "&amp;$R62&amp;"円）","")&amp;IF(AND($Q$5=4,49=0),"少額特例で全額を経費","")))</f>
        <v/>
      </c>
      <c r="I62" s="68" t="n"/>
      <c r="J62" s="68" t="n"/>
      <c r="K62" s="68" t="n"/>
      <c r="L62" s="68" t="n"/>
      <c r="M62" s="68" t="n"/>
      <c r="N62" s="68" t="n"/>
      <c r="O62" s="68" t="n"/>
      <c r="P62" s="68" t="n"/>
      <c r="Q62" s="68" t="n"/>
      <c r="R62" s="68">
        <f>IF($Q$4=0,0,INDEX('計算（触らない）'!$AS$6:$EP$105,$Q$3,50))</f>
        <v/>
      </c>
      <c r="S62" s="68">
        <f>IF($Q$4=0,0,INDEX('計算（触らない）'!$AS$6:$EP$105,$Q$3,49))</f>
        <v/>
      </c>
      <c r="T62" s="68">
        <f>IF($Q$4=0,0,IF(49=0,1,IF(AND($Q$5&lt;=2,49&lt;=$Q$6,$S62&gt;$Q$11),1,IF(AND($Q$5=3,49&lt;=2),1,0))))</f>
        <v/>
      </c>
      <c r="U62" s="68">
        <f>IF($Q$4=0,0,INDEX('計算（触らない）'!$ER$6:$IN$105,$Q$3,49))</f>
        <v/>
      </c>
    </row>
    <row r="63" ht="17" customHeight="1">
      <c r="A63" s="37">
        <f>IF($T63=0,"",IF('計算（触らない）'!$B$1=1,($Q$13+50)&amp;"年度",($Q$13+50)&amp;"年"))</f>
        <v/>
      </c>
      <c r="B63" s="40">
        <f>IF($T63=0,"",$S63)</f>
        <v/>
      </c>
      <c r="C63" s="51">
        <f>IF($T63=0,"",IF($Q$5&gt;2,"―",IF(50=$Q$6,$Q$7,12)))</f>
        <v/>
      </c>
      <c r="D63" s="42">
        <f>IF($T63=0,"",IF($Q$5=3,"1/3",IF($Q$5=4,"―",IF($U63&gt;0,$Q$10,$Q$9))))</f>
        <v/>
      </c>
      <c r="E63" s="40">
        <f>IF($T63=0,"",$S63-$R63)</f>
        <v/>
      </c>
      <c r="F63" s="40">
        <f>IF($T63=0,"",INT(ROUND(($S63-$R63)*$Q$12,6)+'計算（触らない）'!$B$4))</f>
        <v/>
      </c>
      <c r="G63" s="40">
        <f>IF($T63=0,"",$R63)</f>
        <v/>
      </c>
      <c r="H63" s="38">
        <f>IF($T63=0,"",TRIM(IF(AND($Q$5&lt;=2,50=$Q$6),"売却・除却（期末の帳簿価額を帳簿から外す）",IF(AND($U63&gt;0,$U62=0),"ここから改定償却率（改定取得価額 "&amp;TEXT($U63,"#,##0")&amp;"円）",IF($U63&gt;0,"改定償却","")))&amp;IF(AND($Q$5&lt;=2,$R63=$Q$11,$S63&gt;$Q$11,50&lt;&gt;$Q$6)," 償却終わり（帳簿価額 "&amp;$R63&amp;"円）","")&amp;IF(AND($Q$5=4,50=0),"少額特例で全額を経費","")))</f>
        <v/>
      </c>
      <c r="I63" s="68" t="n"/>
      <c r="J63" s="68" t="n"/>
      <c r="K63" s="68" t="n"/>
      <c r="L63" s="68" t="n"/>
      <c r="M63" s="68" t="n"/>
      <c r="N63" s="68" t="n"/>
      <c r="O63" s="68" t="n"/>
      <c r="P63" s="68" t="n"/>
      <c r="Q63" s="68" t="n"/>
      <c r="R63" s="68">
        <f>IF($Q$4=0,0,INDEX('計算（触らない）'!$AS$6:$EP$105,$Q$3,51))</f>
        <v/>
      </c>
      <c r="S63" s="68">
        <f>IF($Q$4=0,0,INDEX('計算（触らない）'!$AS$6:$EP$105,$Q$3,50))</f>
        <v/>
      </c>
      <c r="T63" s="68">
        <f>IF($Q$4=0,0,IF(50=0,1,IF(AND($Q$5&lt;=2,50&lt;=$Q$6,$S63&gt;$Q$11),1,IF(AND($Q$5=3,50&lt;=2),1,0))))</f>
        <v/>
      </c>
      <c r="U63" s="68">
        <f>IF($Q$4=0,0,INDEX('計算（触らない）'!$ER$6:$IN$105,$Q$3,50))</f>
        <v/>
      </c>
    </row>
    <row r="64" ht="17" customHeight="1">
      <c r="A64" s="37">
        <f>IF($T64=0,"",IF('計算（触らない）'!$B$1=1,($Q$13+51)&amp;"年度",($Q$13+51)&amp;"年"))</f>
        <v/>
      </c>
      <c r="B64" s="40">
        <f>IF($T64=0,"",$S64)</f>
        <v/>
      </c>
      <c r="C64" s="51">
        <f>IF($T64=0,"",IF($Q$5&gt;2,"―",IF(51=$Q$6,$Q$7,12)))</f>
        <v/>
      </c>
      <c r="D64" s="42">
        <f>IF($T64=0,"",IF($Q$5=3,"1/3",IF($Q$5=4,"―",IF($U64&gt;0,$Q$10,$Q$9))))</f>
        <v/>
      </c>
      <c r="E64" s="40">
        <f>IF($T64=0,"",$S64-$R64)</f>
        <v/>
      </c>
      <c r="F64" s="40">
        <f>IF($T64=0,"",INT(ROUND(($S64-$R64)*$Q$12,6)+'計算（触らない）'!$B$4))</f>
        <v/>
      </c>
      <c r="G64" s="40">
        <f>IF($T64=0,"",$R64)</f>
        <v/>
      </c>
      <c r="H64" s="38">
        <f>IF($T64=0,"",TRIM(IF(AND($Q$5&lt;=2,51=$Q$6),"売却・除却（期末の帳簿価額を帳簿から外す）",IF(AND($U64&gt;0,$U63=0),"ここから改定償却率（改定取得価額 "&amp;TEXT($U64,"#,##0")&amp;"円）",IF($U64&gt;0,"改定償却","")))&amp;IF(AND($Q$5&lt;=2,$R64=$Q$11,$S64&gt;$Q$11,51&lt;&gt;$Q$6)," 償却終わり（帳簿価額 "&amp;$R64&amp;"円）","")&amp;IF(AND($Q$5=4,51=0),"少額特例で全額を経費","")))</f>
        <v/>
      </c>
      <c r="I64" s="68" t="n"/>
      <c r="J64" s="68" t="n"/>
      <c r="K64" s="68" t="n"/>
      <c r="L64" s="68" t="n"/>
      <c r="M64" s="68" t="n"/>
      <c r="N64" s="68" t="n"/>
      <c r="O64" s="68" t="n"/>
      <c r="P64" s="68" t="n"/>
      <c r="Q64" s="68" t="n"/>
      <c r="R64" s="68">
        <f>IF($Q$4=0,0,INDEX('計算（触らない）'!$AS$6:$EP$105,$Q$3,52))</f>
        <v/>
      </c>
      <c r="S64" s="68">
        <f>IF($Q$4=0,0,INDEX('計算（触らない）'!$AS$6:$EP$105,$Q$3,51))</f>
        <v/>
      </c>
      <c r="T64" s="68">
        <f>IF($Q$4=0,0,IF(51=0,1,IF(AND($Q$5&lt;=2,51&lt;=$Q$6,$S64&gt;$Q$11),1,IF(AND($Q$5=3,51&lt;=2),1,0))))</f>
        <v/>
      </c>
      <c r="U64" s="68">
        <f>IF($Q$4=0,0,INDEX('計算（触らない）'!$ER$6:$IN$105,$Q$3,51))</f>
        <v/>
      </c>
    </row>
    <row r="65" ht="17" customHeight="1">
      <c r="A65" s="37">
        <f>IF($T65=0,"",IF('計算（触らない）'!$B$1=1,($Q$13+52)&amp;"年度",($Q$13+52)&amp;"年"))</f>
        <v/>
      </c>
      <c r="B65" s="40">
        <f>IF($T65=0,"",$S65)</f>
        <v/>
      </c>
      <c r="C65" s="51">
        <f>IF($T65=0,"",IF($Q$5&gt;2,"―",IF(52=$Q$6,$Q$7,12)))</f>
        <v/>
      </c>
      <c r="D65" s="42">
        <f>IF($T65=0,"",IF($Q$5=3,"1/3",IF($Q$5=4,"―",IF($U65&gt;0,$Q$10,$Q$9))))</f>
        <v/>
      </c>
      <c r="E65" s="40">
        <f>IF($T65=0,"",$S65-$R65)</f>
        <v/>
      </c>
      <c r="F65" s="40">
        <f>IF($T65=0,"",INT(ROUND(($S65-$R65)*$Q$12,6)+'計算（触らない）'!$B$4))</f>
        <v/>
      </c>
      <c r="G65" s="40">
        <f>IF($T65=0,"",$R65)</f>
        <v/>
      </c>
      <c r="H65" s="38">
        <f>IF($T65=0,"",TRIM(IF(AND($Q$5&lt;=2,52=$Q$6),"売却・除却（期末の帳簿価額を帳簿から外す）",IF(AND($U65&gt;0,$U64=0),"ここから改定償却率（改定取得価額 "&amp;TEXT($U65,"#,##0")&amp;"円）",IF($U65&gt;0,"改定償却","")))&amp;IF(AND($Q$5&lt;=2,$R65=$Q$11,$S65&gt;$Q$11,52&lt;&gt;$Q$6)," 償却終わり（帳簿価額 "&amp;$R65&amp;"円）","")&amp;IF(AND($Q$5=4,52=0),"少額特例で全額を経費","")))</f>
        <v/>
      </c>
      <c r="I65" s="68" t="n"/>
      <c r="J65" s="68" t="n"/>
      <c r="K65" s="68" t="n"/>
      <c r="L65" s="68" t="n"/>
      <c r="M65" s="68" t="n"/>
      <c r="N65" s="68" t="n"/>
      <c r="O65" s="68" t="n"/>
      <c r="P65" s="68" t="n"/>
      <c r="Q65" s="68" t="n"/>
      <c r="R65" s="68">
        <f>IF($Q$4=0,0,INDEX('計算（触らない）'!$AS$6:$EP$105,$Q$3,53))</f>
        <v/>
      </c>
      <c r="S65" s="68">
        <f>IF($Q$4=0,0,INDEX('計算（触らない）'!$AS$6:$EP$105,$Q$3,52))</f>
        <v/>
      </c>
      <c r="T65" s="68">
        <f>IF($Q$4=0,0,IF(52=0,1,IF(AND($Q$5&lt;=2,52&lt;=$Q$6,$S65&gt;$Q$11),1,IF(AND($Q$5=3,52&lt;=2),1,0))))</f>
        <v/>
      </c>
      <c r="U65" s="68">
        <f>IF($Q$4=0,0,INDEX('計算（触らない）'!$ER$6:$IN$105,$Q$3,52))</f>
        <v/>
      </c>
    </row>
    <row r="66" ht="17" customHeight="1">
      <c r="A66" s="37">
        <f>IF($T66=0,"",IF('計算（触らない）'!$B$1=1,($Q$13+53)&amp;"年度",($Q$13+53)&amp;"年"))</f>
        <v/>
      </c>
      <c r="B66" s="40">
        <f>IF($T66=0,"",$S66)</f>
        <v/>
      </c>
      <c r="C66" s="51">
        <f>IF($T66=0,"",IF($Q$5&gt;2,"―",IF(53=$Q$6,$Q$7,12)))</f>
        <v/>
      </c>
      <c r="D66" s="42">
        <f>IF($T66=0,"",IF($Q$5=3,"1/3",IF($Q$5=4,"―",IF($U66&gt;0,$Q$10,$Q$9))))</f>
        <v/>
      </c>
      <c r="E66" s="40">
        <f>IF($T66=0,"",$S66-$R66)</f>
        <v/>
      </c>
      <c r="F66" s="40">
        <f>IF($T66=0,"",INT(ROUND(($S66-$R66)*$Q$12,6)+'計算（触らない）'!$B$4))</f>
        <v/>
      </c>
      <c r="G66" s="40">
        <f>IF($T66=0,"",$R66)</f>
        <v/>
      </c>
      <c r="H66" s="38">
        <f>IF($T66=0,"",TRIM(IF(AND($Q$5&lt;=2,53=$Q$6),"売却・除却（期末の帳簿価額を帳簿から外す）",IF(AND($U66&gt;0,$U65=0),"ここから改定償却率（改定取得価額 "&amp;TEXT($U66,"#,##0")&amp;"円）",IF($U66&gt;0,"改定償却","")))&amp;IF(AND($Q$5&lt;=2,$R66=$Q$11,$S66&gt;$Q$11,53&lt;&gt;$Q$6)," 償却終わり（帳簿価額 "&amp;$R66&amp;"円）","")&amp;IF(AND($Q$5=4,53=0),"少額特例で全額を経費","")))</f>
        <v/>
      </c>
      <c r="I66" s="68" t="n"/>
      <c r="J66" s="68" t="n"/>
      <c r="K66" s="68" t="n"/>
      <c r="L66" s="68" t="n"/>
      <c r="M66" s="68" t="n"/>
      <c r="N66" s="68" t="n"/>
      <c r="O66" s="68" t="n"/>
      <c r="P66" s="68" t="n"/>
      <c r="Q66" s="68" t="n"/>
      <c r="R66" s="68">
        <f>IF($Q$4=0,0,INDEX('計算（触らない）'!$AS$6:$EP$105,$Q$3,54))</f>
        <v/>
      </c>
      <c r="S66" s="68">
        <f>IF($Q$4=0,0,INDEX('計算（触らない）'!$AS$6:$EP$105,$Q$3,53))</f>
        <v/>
      </c>
      <c r="T66" s="68">
        <f>IF($Q$4=0,0,IF(53=0,1,IF(AND($Q$5&lt;=2,53&lt;=$Q$6,$S66&gt;$Q$11),1,IF(AND($Q$5=3,53&lt;=2),1,0))))</f>
        <v/>
      </c>
      <c r="U66" s="68">
        <f>IF($Q$4=0,0,INDEX('計算（触らない）'!$ER$6:$IN$105,$Q$3,53))</f>
        <v/>
      </c>
    </row>
    <row r="67" ht="17" customHeight="1">
      <c r="A67" s="37">
        <f>IF($T67=0,"",IF('計算（触らない）'!$B$1=1,($Q$13+54)&amp;"年度",($Q$13+54)&amp;"年"))</f>
        <v/>
      </c>
      <c r="B67" s="40">
        <f>IF($T67=0,"",$S67)</f>
        <v/>
      </c>
      <c r="C67" s="51">
        <f>IF($T67=0,"",IF($Q$5&gt;2,"―",IF(54=$Q$6,$Q$7,12)))</f>
        <v/>
      </c>
      <c r="D67" s="42">
        <f>IF($T67=0,"",IF($Q$5=3,"1/3",IF($Q$5=4,"―",IF($U67&gt;0,$Q$10,$Q$9))))</f>
        <v/>
      </c>
      <c r="E67" s="40">
        <f>IF($T67=0,"",$S67-$R67)</f>
        <v/>
      </c>
      <c r="F67" s="40">
        <f>IF($T67=0,"",INT(ROUND(($S67-$R67)*$Q$12,6)+'計算（触らない）'!$B$4))</f>
        <v/>
      </c>
      <c r="G67" s="40">
        <f>IF($T67=0,"",$R67)</f>
        <v/>
      </c>
      <c r="H67" s="38">
        <f>IF($T67=0,"",TRIM(IF(AND($Q$5&lt;=2,54=$Q$6),"売却・除却（期末の帳簿価額を帳簿から外す）",IF(AND($U67&gt;0,$U66=0),"ここから改定償却率（改定取得価額 "&amp;TEXT($U67,"#,##0")&amp;"円）",IF($U67&gt;0,"改定償却","")))&amp;IF(AND($Q$5&lt;=2,$R67=$Q$11,$S67&gt;$Q$11,54&lt;&gt;$Q$6)," 償却終わり（帳簿価額 "&amp;$R67&amp;"円）","")&amp;IF(AND($Q$5=4,54=0),"少額特例で全額を経費","")))</f>
        <v/>
      </c>
      <c r="I67" s="68" t="n"/>
      <c r="J67" s="68" t="n"/>
      <c r="K67" s="68" t="n"/>
      <c r="L67" s="68" t="n"/>
      <c r="M67" s="68" t="n"/>
      <c r="N67" s="68" t="n"/>
      <c r="O67" s="68" t="n"/>
      <c r="P67" s="68" t="n"/>
      <c r="Q67" s="68" t="n"/>
      <c r="R67" s="68">
        <f>IF($Q$4=0,0,INDEX('計算（触らない）'!$AS$6:$EP$105,$Q$3,55))</f>
        <v/>
      </c>
      <c r="S67" s="68">
        <f>IF($Q$4=0,0,INDEX('計算（触らない）'!$AS$6:$EP$105,$Q$3,54))</f>
        <v/>
      </c>
      <c r="T67" s="68">
        <f>IF($Q$4=0,0,IF(54=0,1,IF(AND($Q$5&lt;=2,54&lt;=$Q$6,$S67&gt;$Q$11),1,IF(AND($Q$5=3,54&lt;=2),1,0))))</f>
        <v/>
      </c>
      <c r="U67" s="68">
        <f>IF($Q$4=0,0,INDEX('計算（触らない）'!$ER$6:$IN$105,$Q$3,54))</f>
        <v/>
      </c>
    </row>
    <row r="68" ht="17" customHeight="1">
      <c r="A68" s="37">
        <f>IF($T68=0,"",IF('計算（触らない）'!$B$1=1,($Q$13+55)&amp;"年度",($Q$13+55)&amp;"年"))</f>
        <v/>
      </c>
      <c r="B68" s="40">
        <f>IF($T68=0,"",$S68)</f>
        <v/>
      </c>
      <c r="C68" s="51">
        <f>IF($T68=0,"",IF($Q$5&gt;2,"―",IF(55=$Q$6,$Q$7,12)))</f>
        <v/>
      </c>
      <c r="D68" s="42">
        <f>IF($T68=0,"",IF($Q$5=3,"1/3",IF($Q$5=4,"―",IF($U68&gt;0,$Q$10,$Q$9))))</f>
        <v/>
      </c>
      <c r="E68" s="40">
        <f>IF($T68=0,"",$S68-$R68)</f>
        <v/>
      </c>
      <c r="F68" s="40">
        <f>IF($T68=0,"",INT(ROUND(($S68-$R68)*$Q$12,6)+'計算（触らない）'!$B$4))</f>
        <v/>
      </c>
      <c r="G68" s="40">
        <f>IF($T68=0,"",$R68)</f>
        <v/>
      </c>
      <c r="H68" s="38">
        <f>IF($T68=0,"",TRIM(IF(AND($Q$5&lt;=2,55=$Q$6),"売却・除却（期末の帳簿価額を帳簿から外す）",IF(AND($U68&gt;0,$U67=0),"ここから改定償却率（改定取得価額 "&amp;TEXT($U68,"#,##0")&amp;"円）",IF($U68&gt;0,"改定償却","")))&amp;IF(AND($Q$5&lt;=2,$R68=$Q$11,$S68&gt;$Q$11,55&lt;&gt;$Q$6)," 償却終わり（帳簿価額 "&amp;$R68&amp;"円）","")&amp;IF(AND($Q$5=4,55=0),"少額特例で全額を経費","")))</f>
        <v/>
      </c>
      <c r="I68" s="68" t="n"/>
      <c r="J68" s="68" t="n"/>
      <c r="K68" s="68" t="n"/>
      <c r="L68" s="68" t="n"/>
      <c r="M68" s="68" t="n"/>
      <c r="N68" s="68" t="n"/>
      <c r="O68" s="68" t="n"/>
      <c r="P68" s="68" t="n"/>
      <c r="Q68" s="68" t="n"/>
      <c r="R68" s="68">
        <f>IF($Q$4=0,0,INDEX('計算（触らない）'!$AS$6:$EP$105,$Q$3,56))</f>
        <v/>
      </c>
      <c r="S68" s="68">
        <f>IF($Q$4=0,0,INDEX('計算（触らない）'!$AS$6:$EP$105,$Q$3,55))</f>
        <v/>
      </c>
      <c r="T68" s="68">
        <f>IF($Q$4=0,0,IF(55=0,1,IF(AND($Q$5&lt;=2,55&lt;=$Q$6,$S68&gt;$Q$11),1,IF(AND($Q$5=3,55&lt;=2),1,0))))</f>
        <v/>
      </c>
      <c r="U68" s="68">
        <f>IF($Q$4=0,0,INDEX('計算（触らない）'!$ER$6:$IN$105,$Q$3,55))</f>
        <v/>
      </c>
    </row>
    <row r="69" ht="17" customHeight="1">
      <c r="A69" s="37">
        <f>IF($T69=0,"",IF('計算（触らない）'!$B$1=1,($Q$13+56)&amp;"年度",($Q$13+56)&amp;"年"))</f>
        <v/>
      </c>
      <c r="B69" s="40">
        <f>IF($T69=0,"",$S69)</f>
        <v/>
      </c>
      <c r="C69" s="51">
        <f>IF($T69=0,"",IF($Q$5&gt;2,"―",IF(56=$Q$6,$Q$7,12)))</f>
        <v/>
      </c>
      <c r="D69" s="42">
        <f>IF($T69=0,"",IF($Q$5=3,"1/3",IF($Q$5=4,"―",IF($U69&gt;0,$Q$10,$Q$9))))</f>
        <v/>
      </c>
      <c r="E69" s="40">
        <f>IF($T69=0,"",$S69-$R69)</f>
        <v/>
      </c>
      <c r="F69" s="40">
        <f>IF($T69=0,"",INT(ROUND(($S69-$R69)*$Q$12,6)+'計算（触らない）'!$B$4))</f>
        <v/>
      </c>
      <c r="G69" s="40">
        <f>IF($T69=0,"",$R69)</f>
        <v/>
      </c>
      <c r="H69" s="38">
        <f>IF($T69=0,"",TRIM(IF(AND($Q$5&lt;=2,56=$Q$6),"売却・除却（期末の帳簿価額を帳簿から外す）",IF(AND($U69&gt;0,$U68=0),"ここから改定償却率（改定取得価額 "&amp;TEXT($U69,"#,##0")&amp;"円）",IF($U69&gt;0,"改定償却","")))&amp;IF(AND($Q$5&lt;=2,$R69=$Q$11,$S69&gt;$Q$11,56&lt;&gt;$Q$6)," 償却終わり（帳簿価額 "&amp;$R69&amp;"円）","")&amp;IF(AND($Q$5=4,56=0),"少額特例で全額を経費","")))</f>
        <v/>
      </c>
      <c r="I69" s="68" t="n"/>
      <c r="J69" s="68" t="n"/>
      <c r="K69" s="68" t="n"/>
      <c r="L69" s="68" t="n"/>
      <c r="M69" s="68" t="n"/>
      <c r="N69" s="68" t="n"/>
      <c r="O69" s="68" t="n"/>
      <c r="P69" s="68" t="n"/>
      <c r="Q69" s="68" t="n"/>
      <c r="R69" s="68">
        <f>IF($Q$4=0,0,INDEX('計算（触らない）'!$AS$6:$EP$105,$Q$3,57))</f>
        <v/>
      </c>
      <c r="S69" s="68">
        <f>IF($Q$4=0,0,INDEX('計算（触らない）'!$AS$6:$EP$105,$Q$3,56))</f>
        <v/>
      </c>
      <c r="T69" s="68">
        <f>IF($Q$4=0,0,IF(56=0,1,IF(AND($Q$5&lt;=2,56&lt;=$Q$6,$S69&gt;$Q$11),1,IF(AND($Q$5=3,56&lt;=2),1,0))))</f>
        <v/>
      </c>
      <c r="U69" s="68">
        <f>IF($Q$4=0,0,INDEX('計算（触らない）'!$ER$6:$IN$105,$Q$3,56))</f>
        <v/>
      </c>
    </row>
    <row r="70" ht="17" customHeight="1">
      <c r="A70" s="37">
        <f>IF($T70=0,"",IF('計算（触らない）'!$B$1=1,($Q$13+57)&amp;"年度",($Q$13+57)&amp;"年"))</f>
        <v/>
      </c>
      <c r="B70" s="40">
        <f>IF($T70=0,"",$S70)</f>
        <v/>
      </c>
      <c r="C70" s="51">
        <f>IF($T70=0,"",IF($Q$5&gt;2,"―",IF(57=$Q$6,$Q$7,12)))</f>
        <v/>
      </c>
      <c r="D70" s="42">
        <f>IF($T70=0,"",IF($Q$5=3,"1/3",IF($Q$5=4,"―",IF($U70&gt;0,$Q$10,$Q$9))))</f>
        <v/>
      </c>
      <c r="E70" s="40">
        <f>IF($T70=0,"",$S70-$R70)</f>
        <v/>
      </c>
      <c r="F70" s="40">
        <f>IF($T70=0,"",INT(ROUND(($S70-$R70)*$Q$12,6)+'計算（触らない）'!$B$4))</f>
        <v/>
      </c>
      <c r="G70" s="40">
        <f>IF($T70=0,"",$R70)</f>
        <v/>
      </c>
      <c r="H70" s="38">
        <f>IF($T70=0,"",TRIM(IF(AND($Q$5&lt;=2,57=$Q$6),"売却・除却（期末の帳簿価額を帳簿から外す）",IF(AND($U70&gt;0,$U69=0),"ここから改定償却率（改定取得価額 "&amp;TEXT($U70,"#,##0")&amp;"円）",IF($U70&gt;0,"改定償却","")))&amp;IF(AND($Q$5&lt;=2,$R70=$Q$11,$S70&gt;$Q$11,57&lt;&gt;$Q$6)," 償却終わり（帳簿価額 "&amp;$R70&amp;"円）","")&amp;IF(AND($Q$5=4,57=0),"少額特例で全額を経費","")))</f>
        <v/>
      </c>
      <c r="I70" s="68" t="n"/>
      <c r="J70" s="68" t="n"/>
      <c r="K70" s="68" t="n"/>
      <c r="L70" s="68" t="n"/>
      <c r="M70" s="68" t="n"/>
      <c r="N70" s="68" t="n"/>
      <c r="O70" s="68" t="n"/>
      <c r="P70" s="68" t="n"/>
      <c r="Q70" s="68" t="n"/>
      <c r="R70" s="68">
        <f>IF($Q$4=0,0,INDEX('計算（触らない）'!$AS$6:$EP$105,$Q$3,58))</f>
        <v/>
      </c>
      <c r="S70" s="68">
        <f>IF($Q$4=0,0,INDEX('計算（触らない）'!$AS$6:$EP$105,$Q$3,57))</f>
        <v/>
      </c>
      <c r="T70" s="68">
        <f>IF($Q$4=0,0,IF(57=0,1,IF(AND($Q$5&lt;=2,57&lt;=$Q$6,$S70&gt;$Q$11),1,IF(AND($Q$5=3,57&lt;=2),1,0))))</f>
        <v/>
      </c>
      <c r="U70" s="68">
        <f>IF($Q$4=0,0,INDEX('計算（触らない）'!$ER$6:$IN$105,$Q$3,57))</f>
        <v/>
      </c>
    </row>
    <row r="71" ht="17" customHeight="1">
      <c r="A71" s="37">
        <f>IF($T71=0,"",IF('計算（触らない）'!$B$1=1,($Q$13+58)&amp;"年度",($Q$13+58)&amp;"年"))</f>
        <v/>
      </c>
      <c r="B71" s="40">
        <f>IF($T71=0,"",$S71)</f>
        <v/>
      </c>
      <c r="C71" s="51">
        <f>IF($T71=0,"",IF($Q$5&gt;2,"―",IF(58=$Q$6,$Q$7,12)))</f>
        <v/>
      </c>
      <c r="D71" s="42">
        <f>IF($T71=0,"",IF($Q$5=3,"1/3",IF($Q$5=4,"―",IF($U71&gt;0,$Q$10,$Q$9))))</f>
        <v/>
      </c>
      <c r="E71" s="40">
        <f>IF($T71=0,"",$S71-$R71)</f>
        <v/>
      </c>
      <c r="F71" s="40">
        <f>IF($T71=0,"",INT(ROUND(($S71-$R71)*$Q$12,6)+'計算（触らない）'!$B$4))</f>
        <v/>
      </c>
      <c r="G71" s="40">
        <f>IF($T71=0,"",$R71)</f>
        <v/>
      </c>
      <c r="H71" s="38">
        <f>IF($T71=0,"",TRIM(IF(AND($Q$5&lt;=2,58=$Q$6),"売却・除却（期末の帳簿価額を帳簿から外す）",IF(AND($U71&gt;0,$U70=0),"ここから改定償却率（改定取得価額 "&amp;TEXT($U71,"#,##0")&amp;"円）",IF($U71&gt;0,"改定償却","")))&amp;IF(AND($Q$5&lt;=2,$R71=$Q$11,$S71&gt;$Q$11,58&lt;&gt;$Q$6)," 償却終わり（帳簿価額 "&amp;$R71&amp;"円）","")&amp;IF(AND($Q$5=4,58=0),"少額特例で全額を経費","")))</f>
        <v/>
      </c>
      <c r="I71" s="68" t="n"/>
      <c r="J71" s="68" t="n"/>
      <c r="K71" s="68" t="n"/>
      <c r="L71" s="68" t="n"/>
      <c r="M71" s="68" t="n"/>
      <c r="N71" s="68" t="n"/>
      <c r="O71" s="68" t="n"/>
      <c r="P71" s="68" t="n"/>
      <c r="Q71" s="68" t="n"/>
      <c r="R71" s="68">
        <f>IF($Q$4=0,0,INDEX('計算（触らない）'!$AS$6:$EP$105,$Q$3,59))</f>
        <v/>
      </c>
      <c r="S71" s="68">
        <f>IF($Q$4=0,0,INDEX('計算（触らない）'!$AS$6:$EP$105,$Q$3,58))</f>
        <v/>
      </c>
      <c r="T71" s="68">
        <f>IF($Q$4=0,0,IF(58=0,1,IF(AND($Q$5&lt;=2,58&lt;=$Q$6,$S71&gt;$Q$11),1,IF(AND($Q$5=3,58&lt;=2),1,0))))</f>
        <v/>
      </c>
      <c r="U71" s="68">
        <f>IF($Q$4=0,0,INDEX('計算（触らない）'!$ER$6:$IN$105,$Q$3,58))</f>
        <v/>
      </c>
    </row>
    <row r="72" ht="17" customHeight="1">
      <c r="A72" s="37">
        <f>IF($T72=0,"",IF('計算（触らない）'!$B$1=1,($Q$13+59)&amp;"年度",($Q$13+59)&amp;"年"))</f>
        <v/>
      </c>
      <c r="B72" s="40">
        <f>IF($T72=0,"",$S72)</f>
        <v/>
      </c>
      <c r="C72" s="51">
        <f>IF($T72=0,"",IF($Q$5&gt;2,"―",IF(59=$Q$6,$Q$7,12)))</f>
        <v/>
      </c>
      <c r="D72" s="42">
        <f>IF($T72=0,"",IF($Q$5=3,"1/3",IF($Q$5=4,"―",IF($U72&gt;0,$Q$10,$Q$9))))</f>
        <v/>
      </c>
      <c r="E72" s="40">
        <f>IF($T72=0,"",$S72-$R72)</f>
        <v/>
      </c>
      <c r="F72" s="40">
        <f>IF($T72=0,"",INT(ROUND(($S72-$R72)*$Q$12,6)+'計算（触らない）'!$B$4))</f>
        <v/>
      </c>
      <c r="G72" s="40">
        <f>IF($T72=0,"",$R72)</f>
        <v/>
      </c>
      <c r="H72" s="38">
        <f>IF($T72=0,"",TRIM(IF(AND($Q$5&lt;=2,59=$Q$6),"売却・除却（期末の帳簿価額を帳簿から外す）",IF(AND($U72&gt;0,$U71=0),"ここから改定償却率（改定取得価額 "&amp;TEXT($U72,"#,##0")&amp;"円）",IF($U72&gt;0,"改定償却","")))&amp;IF(AND($Q$5&lt;=2,$R72=$Q$11,$S72&gt;$Q$11,59&lt;&gt;$Q$6)," 償却終わり（帳簿価額 "&amp;$R72&amp;"円）","")&amp;IF(AND($Q$5=4,59=0),"少額特例で全額を経費","")))</f>
        <v/>
      </c>
      <c r="I72" s="68" t="n"/>
      <c r="J72" s="68" t="n"/>
      <c r="K72" s="68" t="n"/>
      <c r="L72" s="68" t="n"/>
      <c r="M72" s="68" t="n"/>
      <c r="N72" s="68" t="n"/>
      <c r="O72" s="68" t="n"/>
      <c r="P72" s="68" t="n"/>
      <c r="Q72" s="68" t="n"/>
      <c r="R72" s="68">
        <f>IF($Q$4=0,0,INDEX('計算（触らない）'!$AS$6:$EP$105,$Q$3,60))</f>
        <v/>
      </c>
      <c r="S72" s="68">
        <f>IF($Q$4=0,0,INDEX('計算（触らない）'!$AS$6:$EP$105,$Q$3,59))</f>
        <v/>
      </c>
      <c r="T72" s="68">
        <f>IF($Q$4=0,0,IF(59=0,1,IF(AND($Q$5&lt;=2,59&lt;=$Q$6,$S72&gt;$Q$11),1,IF(AND($Q$5=3,59&lt;=2),1,0))))</f>
        <v/>
      </c>
      <c r="U72" s="68">
        <f>IF($Q$4=0,0,INDEX('計算（触らない）'!$ER$6:$IN$105,$Q$3,59))</f>
        <v/>
      </c>
    </row>
    <row r="73" ht="17" customHeight="1">
      <c r="A73" s="37">
        <f>IF($T73=0,"",IF('計算（触らない）'!$B$1=1,($Q$13+60)&amp;"年度",($Q$13+60)&amp;"年"))</f>
        <v/>
      </c>
      <c r="B73" s="40">
        <f>IF($T73=0,"",$S73)</f>
        <v/>
      </c>
      <c r="C73" s="51">
        <f>IF($T73=0,"",IF($Q$5&gt;2,"―",IF(60=$Q$6,$Q$7,12)))</f>
        <v/>
      </c>
      <c r="D73" s="42">
        <f>IF($T73=0,"",IF($Q$5=3,"1/3",IF($Q$5=4,"―",IF($U73&gt;0,$Q$10,$Q$9))))</f>
        <v/>
      </c>
      <c r="E73" s="40">
        <f>IF($T73=0,"",$S73-$R73)</f>
        <v/>
      </c>
      <c r="F73" s="40">
        <f>IF($T73=0,"",INT(ROUND(($S73-$R73)*$Q$12,6)+'計算（触らない）'!$B$4))</f>
        <v/>
      </c>
      <c r="G73" s="40">
        <f>IF($T73=0,"",$R73)</f>
        <v/>
      </c>
      <c r="H73" s="38">
        <f>IF($T73=0,"",TRIM(IF(AND($Q$5&lt;=2,60=$Q$6),"売却・除却（期末の帳簿価額を帳簿から外す）",IF(AND($U73&gt;0,$U72=0),"ここから改定償却率（改定取得価額 "&amp;TEXT($U73,"#,##0")&amp;"円）",IF($U73&gt;0,"改定償却","")))&amp;IF(AND($Q$5&lt;=2,$R73=$Q$11,$S73&gt;$Q$11,60&lt;&gt;$Q$6)," 償却終わり（帳簿価額 "&amp;$R73&amp;"円）","")&amp;IF(AND($Q$5=4,60=0),"少額特例で全額を経費","")))</f>
        <v/>
      </c>
      <c r="I73" s="68" t="n"/>
      <c r="J73" s="68" t="n"/>
      <c r="K73" s="68" t="n"/>
      <c r="L73" s="68" t="n"/>
      <c r="M73" s="68" t="n"/>
      <c r="N73" s="68" t="n"/>
      <c r="O73" s="68" t="n"/>
      <c r="P73" s="68" t="n"/>
      <c r="Q73" s="68" t="n"/>
      <c r="R73" s="68">
        <f>IF($Q$4=0,0,INDEX('計算（触らない）'!$AS$6:$EP$105,$Q$3,61))</f>
        <v/>
      </c>
      <c r="S73" s="68">
        <f>IF($Q$4=0,0,INDEX('計算（触らない）'!$AS$6:$EP$105,$Q$3,60))</f>
        <v/>
      </c>
      <c r="T73" s="68">
        <f>IF($Q$4=0,0,IF(60=0,1,IF(AND($Q$5&lt;=2,60&lt;=$Q$6,$S73&gt;$Q$11),1,IF(AND($Q$5=3,60&lt;=2),1,0))))</f>
        <v/>
      </c>
      <c r="U73" s="68">
        <f>IF($Q$4=0,0,INDEX('計算（触らない）'!$ER$6:$IN$105,$Q$3,60))</f>
        <v/>
      </c>
    </row>
    <row r="74" ht="17" customHeight="1">
      <c r="A74" s="37">
        <f>IF($T74=0,"",IF('計算（触らない）'!$B$1=1,($Q$13+61)&amp;"年度",($Q$13+61)&amp;"年"))</f>
        <v/>
      </c>
      <c r="B74" s="40">
        <f>IF($T74=0,"",$S74)</f>
        <v/>
      </c>
      <c r="C74" s="51">
        <f>IF($T74=0,"",IF($Q$5&gt;2,"―",IF(61=$Q$6,$Q$7,12)))</f>
        <v/>
      </c>
      <c r="D74" s="42">
        <f>IF($T74=0,"",IF($Q$5=3,"1/3",IF($Q$5=4,"―",IF($U74&gt;0,$Q$10,$Q$9))))</f>
        <v/>
      </c>
      <c r="E74" s="40">
        <f>IF($T74=0,"",$S74-$R74)</f>
        <v/>
      </c>
      <c r="F74" s="40">
        <f>IF($T74=0,"",INT(ROUND(($S74-$R74)*$Q$12,6)+'計算（触らない）'!$B$4))</f>
        <v/>
      </c>
      <c r="G74" s="40">
        <f>IF($T74=0,"",$R74)</f>
        <v/>
      </c>
      <c r="H74" s="38">
        <f>IF($T74=0,"",TRIM(IF(AND($Q$5&lt;=2,61=$Q$6),"売却・除却（期末の帳簿価額を帳簿から外す）",IF(AND($U74&gt;0,$U73=0),"ここから改定償却率（改定取得価額 "&amp;TEXT($U74,"#,##0")&amp;"円）",IF($U74&gt;0,"改定償却","")))&amp;IF(AND($Q$5&lt;=2,$R74=$Q$11,$S74&gt;$Q$11,61&lt;&gt;$Q$6)," 償却終わり（帳簿価額 "&amp;$R74&amp;"円）","")&amp;IF(AND($Q$5=4,61=0),"少額特例で全額を経費","")))</f>
        <v/>
      </c>
      <c r="I74" s="68" t="n"/>
      <c r="J74" s="68" t="n"/>
      <c r="K74" s="68" t="n"/>
      <c r="L74" s="68" t="n"/>
      <c r="M74" s="68" t="n"/>
      <c r="N74" s="68" t="n"/>
      <c r="O74" s="68" t="n"/>
      <c r="P74" s="68" t="n"/>
      <c r="Q74" s="68" t="n"/>
      <c r="R74" s="68">
        <f>IF($Q$4=0,0,INDEX('計算（触らない）'!$AS$6:$EP$105,$Q$3,62))</f>
        <v/>
      </c>
      <c r="S74" s="68">
        <f>IF($Q$4=0,0,INDEX('計算（触らない）'!$AS$6:$EP$105,$Q$3,61))</f>
        <v/>
      </c>
      <c r="T74" s="68">
        <f>IF($Q$4=0,0,IF(61=0,1,IF(AND($Q$5&lt;=2,61&lt;=$Q$6,$S74&gt;$Q$11),1,IF(AND($Q$5=3,61&lt;=2),1,0))))</f>
        <v/>
      </c>
      <c r="U74" s="68">
        <f>IF($Q$4=0,0,INDEX('計算（触らない）'!$ER$6:$IN$105,$Q$3,61))</f>
        <v/>
      </c>
    </row>
    <row r="75" ht="17" customHeight="1">
      <c r="A75" s="37">
        <f>IF($T75=0,"",IF('計算（触らない）'!$B$1=1,($Q$13+62)&amp;"年度",($Q$13+62)&amp;"年"))</f>
        <v/>
      </c>
      <c r="B75" s="40">
        <f>IF($T75=0,"",$S75)</f>
        <v/>
      </c>
      <c r="C75" s="51">
        <f>IF($T75=0,"",IF($Q$5&gt;2,"―",IF(62=$Q$6,$Q$7,12)))</f>
        <v/>
      </c>
      <c r="D75" s="42">
        <f>IF($T75=0,"",IF($Q$5=3,"1/3",IF($Q$5=4,"―",IF($U75&gt;0,$Q$10,$Q$9))))</f>
        <v/>
      </c>
      <c r="E75" s="40">
        <f>IF($T75=0,"",$S75-$R75)</f>
        <v/>
      </c>
      <c r="F75" s="40">
        <f>IF($T75=0,"",INT(ROUND(($S75-$R75)*$Q$12,6)+'計算（触らない）'!$B$4))</f>
        <v/>
      </c>
      <c r="G75" s="40">
        <f>IF($T75=0,"",$R75)</f>
        <v/>
      </c>
      <c r="H75" s="38">
        <f>IF($T75=0,"",TRIM(IF(AND($Q$5&lt;=2,62=$Q$6),"売却・除却（期末の帳簿価額を帳簿から外す）",IF(AND($U75&gt;0,$U74=0),"ここから改定償却率（改定取得価額 "&amp;TEXT($U75,"#,##0")&amp;"円）",IF($U75&gt;0,"改定償却","")))&amp;IF(AND($Q$5&lt;=2,$R75=$Q$11,$S75&gt;$Q$11,62&lt;&gt;$Q$6)," 償却終わり（帳簿価額 "&amp;$R75&amp;"円）","")&amp;IF(AND($Q$5=4,62=0),"少額特例で全額を経費","")))</f>
        <v/>
      </c>
      <c r="I75" s="68" t="n"/>
      <c r="J75" s="68" t="n"/>
      <c r="K75" s="68" t="n"/>
      <c r="L75" s="68" t="n"/>
      <c r="M75" s="68" t="n"/>
      <c r="N75" s="68" t="n"/>
      <c r="O75" s="68" t="n"/>
      <c r="P75" s="68" t="n"/>
      <c r="Q75" s="68" t="n"/>
      <c r="R75" s="68">
        <f>IF($Q$4=0,0,INDEX('計算（触らない）'!$AS$6:$EP$105,$Q$3,63))</f>
        <v/>
      </c>
      <c r="S75" s="68">
        <f>IF($Q$4=0,0,INDEX('計算（触らない）'!$AS$6:$EP$105,$Q$3,62))</f>
        <v/>
      </c>
      <c r="T75" s="68">
        <f>IF($Q$4=0,0,IF(62=0,1,IF(AND($Q$5&lt;=2,62&lt;=$Q$6,$S75&gt;$Q$11),1,IF(AND($Q$5=3,62&lt;=2),1,0))))</f>
        <v/>
      </c>
      <c r="U75" s="68">
        <f>IF($Q$4=0,0,INDEX('計算（触らない）'!$ER$6:$IN$105,$Q$3,62))</f>
        <v/>
      </c>
    </row>
    <row r="76" ht="17" customHeight="1">
      <c r="A76" s="37">
        <f>IF($T76=0,"",IF('計算（触らない）'!$B$1=1,($Q$13+63)&amp;"年度",($Q$13+63)&amp;"年"))</f>
        <v/>
      </c>
      <c r="B76" s="40">
        <f>IF($T76=0,"",$S76)</f>
        <v/>
      </c>
      <c r="C76" s="51">
        <f>IF($T76=0,"",IF($Q$5&gt;2,"―",IF(63=$Q$6,$Q$7,12)))</f>
        <v/>
      </c>
      <c r="D76" s="42">
        <f>IF($T76=0,"",IF($Q$5=3,"1/3",IF($Q$5=4,"―",IF($U76&gt;0,$Q$10,$Q$9))))</f>
        <v/>
      </c>
      <c r="E76" s="40">
        <f>IF($T76=0,"",$S76-$R76)</f>
        <v/>
      </c>
      <c r="F76" s="40">
        <f>IF($T76=0,"",INT(ROUND(($S76-$R76)*$Q$12,6)+'計算（触らない）'!$B$4))</f>
        <v/>
      </c>
      <c r="G76" s="40">
        <f>IF($T76=0,"",$R76)</f>
        <v/>
      </c>
      <c r="H76" s="38">
        <f>IF($T76=0,"",TRIM(IF(AND($Q$5&lt;=2,63=$Q$6),"売却・除却（期末の帳簿価額を帳簿から外す）",IF(AND($U76&gt;0,$U75=0),"ここから改定償却率（改定取得価額 "&amp;TEXT($U76,"#,##0")&amp;"円）",IF($U76&gt;0,"改定償却","")))&amp;IF(AND($Q$5&lt;=2,$R76=$Q$11,$S76&gt;$Q$11,63&lt;&gt;$Q$6)," 償却終わり（帳簿価額 "&amp;$R76&amp;"円）","")&amp;IF(AND($Q$5=4,63=0),"少額特例で全額を経費","")))</f>
        <v/>
      </c>
      <c r="I76" s="68" t="n"/>
      <c r="J76" s="68" t="n"/>
      <c r="K76" s="68" t="n"/>
      <c r="L76" s="68" t="n"/>
      <c r="M76" s="68" t="n"/>
      <c r="N76" s="68" t="n"/>
      <c r="O76" s="68" t="n"/>
      <c r="P76" s="68" t="n"/>
      <c r="Q76" s="68" t="n"/>
      <c r="R76" s="68">
        <f>IF($Q$4=0,0,INDEX('計算（触らない）'!$AS$6:$EP$105,$Q$3,64))</f>
        <v/>
      </c>
      <c r="S76" s="68">
        <f>IF($Q$4=0,0,INDEX('計算（触らない）'!$AS$6:$EP$105,$Q$3,63))</f>
        <v/>
      </c>
      <c r="T76" s="68">
        <f>IF($Q$4=0,0,IF(63=0,1,IF(AND($Q$5&lt;=2,63&lt;=$Q$6,$S76&gt;$Q$11),1,IF(AND($Q$5=3,63&lt;=2),1,0))))</f>
        <v/>
      </c>
      <c r="U76" s="68">
        <f>IF($Q$4=0,0,INDEX('計算（触らない）'!$ER$6:$IN$105,$Q$3,63))</f>
        <v/>
      </c>
    </row>
    <row r="77" ht="17" customHeight="1">
      <c r="A77" s="37">
        <f>IF($T77=0,"",IF('計算（触らない）'!$B$1=1,($Q$13+64)&amp;"年度",($Q$13+64)&amp;"年"))</f>
        <v/>
      </c>
      <c r="B77" s="40">
        <f>IF($T77=0,"",$S77)</f>
        <v/>
      </c>
      <c r="C77" s="51">
        <f>IF($T77=0,"",IF($Q$5&gt;2,"―",IF(64=$Q$6,$Q$7,12)))</f>
        <v/>
      </c>
      <c r="D77" s="42">
        <f>IF($T77=0,"",IF($Q$5=3,"1/3",IF($Q$5=4,"―",IF($U77&gt;0,$Q$10,$Q$9))))</f>
        <v/>
      </c>
      <c r="E77" s="40">
        <f>IF($T77=0,"",$S77-$R77)</f>
        <v/>
      </c>
      <c r="F77" s="40">
        <f>IF($T77=0,"",INT(ROUND(($S77-$R77)*$Q$12,6)+'計算（触らない）'!$B$4))</f>
        <v/>
      </c>
      <c r="G77" s="40">
        <f>IF($T77=0,"",$R77)</f>
        <v/>
      </c>
      <c r="H77" s="38">
        <f>IF($T77=0,"",TRIM(IF(AND($Q$5&lt;=2,64=$Q$6),"売却・除却（期末の帳簿価額を帳簿から外す）",IF(AND($U77&gt;0,$U76=0),"ここから改定償却率（改定取得価額 "&amp;TEXT($U77,"#,##0")&amp;"円）",IF($U77&gt;0,"改定償却","")))&amp;IF(AND($Q$5&lt;=2,$R77=$Q$11,$S77&gt;$Q$11,64&lt;&gt;$Q$6)," 償却終わり（帳簿価額 "&amp;$R77&amp;"円）","")&amp;IF(AND($Q$5=4,64=0),"少額特例で全額を経費","")))</f>
        <v/>
      </c>
      <c r="I77" s="68" t="n"/>
      <c r="J77" s="68" t="n"/>
      <c r="K77" s="68" t="n"/>
      <c r="L77" s="68" t="n"/>
      <c r="M77" s="68" t="n"/>
      <c r="N77" s="68" t="n"/>
      <c r="O77" s="68" t="n"/>
      <c r="P77" s="68" t="n"/>
      <c r="Q77" s="68" t="n"/>
      <c r="R77" s="68">
        <f>IF($Q$4=0,0,INDEX('計算（触らない）'!$AS$6:$EP$105,$Q$3,65))</f>
        <v/>
      </c>
      <c r="S77" s="68">
        <f>IF($Q$4=0,0,INDEX('計算（触らない）'!$AS$6:$EP$105,$Q$3,64))</f>
        <v/>
      </c>
      <c r="T77" s="68">
        <f>IF($Q$4=0,0,IF(64=0,1,IF(AND($Q$5&lt;=2,64&lt;=$Q$6,$S77&gt;$Q$11),1,IF(AND($Q$5=3,64&lt;=2),1,0))))</f>
        <v/>
      </c>
      <c r="U77" s="68">
        <f>IF($Q$4=0,0,INDEX('計算（触らない）'!$ER$6:$IN$105,$Q$3,64))</f>
        <v/>
      </c>
    </row>
    <row r="78" ht="17" customHeight="1">
      <c r="A78" s="37">
        <f>IF($T78=0,"",IF('計算（触らない）'!$B$1=1,($Q$13+65)&amp;"年度",($Q$13+65)&amp;"年"))</f>
        <v/>
      </c>
      <c r="B78" s="40">
        <f>IF($T78=0,"",$S78)</f>
        <v/>
      </c>
      <c r="C78" s="51">
        <f>IF($T78=0,"",IF($Q$5&gt;2,"―",IF(65=$Q$6,$Q$7,12)))</f>
        <v/>
      </c>
      <c r="D78" s="42">
        <f>IF($T78=0,"",IF($Q$5=3,"1/3",IF($Q$5=4,"―",IF($U78&gt;0,$Q$10,$Q$9))))</f>
        <v/>
      </c>
      <c r="E78" s="40">
        <f>IF($T78=0,"",$S78-$R78)</f>
        <v/>
      </c>
      <c r="F78" s="40">
        <f>IF($T78=0,"",INT(ROUND(($S78-$R78)*$Q$12,6)+'計算（触らない）'!$B$4))</f>
        <v/>
      </c>
      <c r="G78" s="40">
        <f>IF($T78=0,"",$R78)</f>
        <v/>
      </c>
      <c r="H78" s="38">
        <f>IF($T78=0,"",TRIM(IF(AND($Q$5&lt;=2,65=$Q$6),"売却・除却（期末の帳簿価額を帳簿から外す）",IF(AND($U78&gt;0,$U77=0),"ここから改定償却率（改定取得価額 "&amp;TEXT($U78,"#,##0")&amp;"円）",IF($U78&gt;0,"改定償却","")))&amp;IF(AND($Q$5&lt;=2,$R78=$Q$11,$S78&gt;$Q$11,65&lt;&gt;$Q$6)," 償却終わり（帳簿価額 "&amp;$R78&amp;"円）","")&amp;IF(AND($Q$5=4,65=0),"少額特例で全額を経費","")))</f>
        <v/>
      </c>
      <c r="I78" s="68" t="n"/>
      <c r="J78" s="68" t="n"/>
      <c r="K78" s="68" t="n"/>
      <c r="L78" s="68" t="n"/>
      <c r="M78" s="68" t="n"/>
      <c r="N78" s="68" t="n"/>
      <c r="O78" s="68" t="n"/>
      <c r="P78" s="68" t="n"/>
      <c r="Q78" s="68" t="n"/>
      <c r="R78" s="68">
        <f>IF($Q$4=0,0,INDEX('計算（触らない）'!$AS$6:$EP$105,$Q$3,66))</f>
        <v/>
      </c>
      <c r="S78" s="68">
        <f>IF($Q$4=0,0,INDEX('計算（触らない）'!$AS$6:$EP$105,$Q$3,65))</f>
        <v/>
      </c>
      <c r="T78" s="68">
        <f>IF($Q$4=0,0,IF(65=0,1,IF(AND($Q$5&lt;=2,65&lt;=$Q$6,$S78&gt;$Q$11),1,IF(AND($Q$5=3,65&lt;=2),1,0))))</f>
        <v/>
      </c>
      <c r="U78" s="68">
        <f>IF($Q$4=0,0,INDEX('計算（触らない）'!$ER$6:$IN$105,$Q$3,65))</f>
        <v/>
      </c>
    </row>
    <row r="79" ht="17" customHeight="1">
      <c r="A79" s="37">
        <f>IF($T79=0,"",IF('計算（触らない）'!$B$1=1,($Q$13+66)&amp;"年度",($Q$13+66)&amp;"年"))</f>
        <v/>
      </c>
      <c r="B79" s="40">
        <f>IF($T79=0,"",$S79)</f>
        <v/>
      </c>
      <c r="C79" s="51">
        <f>IF($T79=0,"",IF($Q$5&gt;2,"―",IF(66=$Q$6,$Q$7,12)))</f>
        <v/>
      </c>
      <c r="D79" s="42">
        <f>IF($T79=0,"",IF($Q$5=3,"1/3",IF($Q$5=4,"―",IF($U79&gt;0,$Q$10,$Q$9))))</f>
        <v/>
      </c>
      <c r="E79" s="40">
        <f>IF($T79=0,"",$S79-$R79)</f>
        <v/>
      </c>
      <c r="F79" s="40">
        <f>IF($T79=0,"",INT(ROUND(($S79-$R79)*$Q$12,6)+'計算（触らない）'!$B$4))</f>
        <v/>
      </c>
      <c r="G79" s="40">
        <f>IF($T79=0,"",$R79)</f>
        <v/>
      </c>
      <c r="H79" s="38">
        <f>IF($T79=0,"",TRIM(IF(AND($Q$5&lt;=2,66=$Q$6),"売却・除却（期末の帳簿価額を帳簿から外す）",IF(AND($U79&gt;0,$U78=0),"ここから改定償却率（改定取得価額 "&amp;TEXT($U79,"#,##0")&amp;"円）",IF($U79&gt;0,"改定償却","")))&amp;IF(AND($Q$5&lt;=2,$R79=$Q$11,$S79&gt;$Q$11,66&lt;&gt;$Q$6)," 償却終わり（帳簿価額 "&amp;$R79&amp;"円）","")&amp;IF(AND($Q$5=4,66=0),"少額特例で全額を経費","")))</f>
        <v/>
      </c>
      <c r="I79" s="68" t="n"/>
      <c r="J79" s="68" t="n"/>
      <c r="K79" s="68" t="n"/>
      <c r="L79" s="68" t="n"/>
      <c r="M79" s="68" t="n"/>
      <c r="N79" s="68" t="n"/>
      <c r="O79" s="68" t="n"/>
      <c r="P79" s="68" t="n"/>
      <c r="Q79" s="68" t="n"/>
      <c r="R79" s="68">
        <f>IF($Q$4=0,0,INDEX('計算（触らない）'!$AS$6:$EP$105,$Q$3,67))</f>
        <v/>
      </c>
      <c r="S79" s="68">
        <f>IF($Q$4=0,0,INDEX('計算（触らない）'!$AS$6:$EP$105,$Q$3,66))</f>
        <v/>
      </c>
      <c r="T79" s="68">
        <f>IF($Q$4=0,0,IF(66=0,1,IF(AND($Q$5&lt;=2,66&lt;=$Q$6,$S79&gt;$Q$11),1,IF(AND($Q$5=3,66&lt;=2),1,0))))</f>
        <v/>
      </c>
      <c r="U79" s="68">
        <f>IF($Q$4=0,0,INDEX('計算（触らない）'!$ER$6:$IN$105,$Q$3,66))</f>
        <v/>
      </c>
    </row>
    <row r="80" ht="17" customHeight="1">
      <c r="A80" s="37">
        <f>IF($T80=0,"",IF('計算（触らない）'!$B$1=1,($Q$13+67)&amp;"年度",($Q$13+67)&amp;"年"))</f>
        <v/>
      </c>
      <c r="B80" s="40">
        <f>IF($T80=0,"",$S80)</f>
        <v/>
      </c>
      <c r="C80" s="51">
        <f>IF($T80=0,"",IF($Q$5&gt;2,"―",IF(67=$Q$6,$Q$7,12)))</f>
        <v/>
      </c>
      <c r="D80" s="42">
        <f>IF($T80=0,"",IF($Q$5=3,"1/3",IF($Q$5=4,"―",IF($U80&gt;0,$Q$10,$Q$9))))</f>
        <v/>
      </c>
      <c r="E80" s="40">
        <f>IF($T80=0,"",$S80-$R80)</f>
        <v/>
      </c>
      <c r="F80" s="40">
        <f>IF($T80=0,"",INT(ROUND(($S80-$R80)*$Q$12,6)+'計算（触らない）'!$B$4))</f>
        <v/>
      </c>
      <c r="G80" s="40">
        <f>IF($T80=0,"",$R80)</f>
        <v/>
      </c>
      <c r="H80" s="38">
        <f>IF($T80=0,"",TRIM(IF(AND($Q$5&lt;=2,67=$Q$6),"売却・除却（期末の帳簿価額を帳簿から外す）",IF(AND($U80&gt;0,$U79=0),"ここから改定償却率（改定取得価額 "&amp;TEXT($U80,"#,##0")&amp;"円）",IF($U80&gt;0,"改定償却","")))&amp;IF(AND($Q$5&lt;=2,$R80=$Q$11,$S80&gt;$Q$11,67&lt;&gt;$Q$6)," 償却終わり（帳簿価額 "&amp;$R80&amp;"円）","")&amp;IF(AND($Q$5=4,67=0),"少額特例で全額を経費","")))</f>
        <v/>
      </c>
      <c r="I80" s="68" t="n"/>
      <c r="J80" s="68" t="n"/>
      <c r="K80" s="68" t="n"/>
      <c r="L80" s="68" t="n"/>
      <c r="M80" s="68" t="n"/>
      <c r="N80" s="68" t="n"/>
      <c r="O80" s="68" t="n"/>
      <c r="P80" s="68" t="n"/>
      <c r="Q80" s="68" t="n"/>
      <c r="R80" s="68">
        <f>IF($Q$4=0,0,INDEX('計算（触らない）'!$AS$6:$EP$105,$Q$3,68))</f>
        <v/>
      </c>
      <c r="S80" s="68">
        <f>IF($Q$4=0,0,INDEX('計算（触らない）'!$AS$6:$EP$105,$Q$3,67))</f>
        <v/>
      </c>
      <c r="T80" s="68">
        <f>IF($Q$4=0,0,IF(67=0,1,IF(AND($Q$5&lt;=2,67&lt;=$Q$6,$S80&gt;$Q$11),1,IF(AND($Q$5=3,67&lt;=2),1,0))))</f>
        <v/>
      </c>
      <c r="U80" s="68">
        <f>IF($Q$4=0,0,INDEX('計算（触らない）'!$ER$6:$IN$105,$Q$3,67))</f>
        <v/>
      </c>
    </row>
    <row r="81" ht="17" customHeight="1">
      <c r="A81" s="37">
        <f>IF($T81=0,"",IF('計算（触らない）'!$B$1=1,($Q$13+68)&amp;"年度",($Q$13+68)&amp;"年"))</f>
        <v/>
      </c>
      <c r="B81" s="40">
        <f>IF($T81=0,"",$S81)</f>
        <v/>
      </c>
      <c r="C81" s="51">
        <f>IF($T81=0,"",IF($Q$5&gt;2,"―",IF(68=$Q$6,$Q$7,12)))</f>
        <v/>
      </c>
      <c r="D81" s="42">
        <f>IF($T81=0,"",IF($Q$5=3,"1/3",IF($Q$5=4,"―",IF($U81&gt;0,$Q$10,$Q$9))))</f>
        <v/>
      </c>
      <c r="E81" s="40">
        <f>IF($T81=0,"",$S81-$R81)</f>
        <v/>
      </c>
      <c r="F81" s="40">
        <f>IF($T81=0,"",INT(ROUND(($S81-$R81)*$Q$12,6)+'計算（触らない）'!$B$4))</f>
        <v/>
      </c>
      <c r="G81" s="40">
        <f>IF($T81=0,"",$R81)</f>
        <v/>
      </c>
      <c r="H81" s="38">
        <f>IF($T81=0,"",TRIM(IF(AND($Q$5&lt;=2,68=$Q$6),"売却・除却（期末の帳簿価額を帳簿から外す）",IF(AND($U81&gt;0,$U80=0),"ここから改定償却率（改定取得価額 "&amp;TEXT($U81,"#,##0")&amp;"円）",IF($U81&gt;0,"改定償却","")))&amp;IF(AND($Q$5&lt;=2,$R81=$Q$11,$S81&gt;$Q$11,68&lt;&gt;$Q$6)," 償却終わり（帳簿価額 "&amp;$R81&amp;"円）","")&amp;IF(AND($Q$5=4,68=0),"少額特例で全額を経費","")))</f>
        <v/>
      </c>
      <c r="I81" s="68" t="n"/>
      <c r="J81" s="68" t="n"/>
      <c r="K81" s="68" t="n"/>
      <c r="L81" s="68" t="n"/>
      <c r="M81" s="68" t="n"/>
      <c r="N81" s="68" t="n"/>
      <c r="O81" s="68" t="n"/>
      <c r="P81" s="68" t="n"/>
      <c r="Q81" s="68" t="n"/>
      <c r="R81" s="68">
        <f>IF($Q$4=0,0,INDEX('計算（触らない）'!$AS$6:$EP$105,$Q$3,69))</f>
        <v/>
      </c>
      <c r="S81" s="68">
        <f>IF($Q$4=0,0,INDEX('計算（触らない）'!$AS$6:$EP$105,$Q$3,68))</f>
        <v/>
      </c>
      <c r="T81" s="68">
        <f>IF($Q$4=0,0,IF(68=0,1,IF(AND($Q$5&lt;=2,68&lt;=$Q$6,$S81&gt;$Q$11),1,IF(AND($Q$5=3,68&lt;=2),1,0))))</f>
        <v/>
      </c>
      <c r="U81" s="68">
        <f>IF($Q$4=0,0,INDEX('計算（触らない）'!$ER$6:$IN$105,$Q$3,68))</f>
        <v/>
      </c>
    </row>
    <row r="82" ht="17" customHeight="1">
      <c r="A82" s="37">
        <f>IF($T82=0,"",IF('計算（触らない）'!$B$1=1,($Q$13+69)&amp;"年度",($Q$13+69)&amp;"年"))</f>
        <v/>
      </c>
      <c r="B82" s="40">
        <f>IF($T82=0,"",$S82)</f>
        <v/>
      </c>
      <c r="C82" s="51">
        <f>IF($T82=0,"",IF($Q$5&gt;2,"―",IF(69=$Q$6,$Q$7,12)))</f>
        <v/>
      </c>
      <c r="D82" s="42">
        <f>IF($T82=0,"",IF($Q$5=3,"1/3",IF($Q$5=4,"―",IF($U82&gt;0,$Q$10,$Q$9))))</f>
        <v/>
      </c>
      <c r="E82" s="40">
        <f>IF($T82=0,"",$S82-$R82)</f>
        <v/>
      </c>
      <c r="F82" s="40">
        <f>IF($T82=0,"",INT(ROUND(($S82-$R82)*$Q$12,6)+'計算（触らない）'!$B$4))</f>
        <v/>
      </c>
      <c r="G82" s="40">
        <f>IF($T82=0,"",$R82)</f>
        <v/>
      </c>
      <c r="H82" s="38">
        <f>IF($T82=0,"",TRIM(IF(AND($Q$5&lt;=2,69=$Q$6),"売却・除却（期末の帳簿価額を帳簿から外す）",IF(AND($U82&gt;0,$U81=0),"ここから改定償却率（改定取得価額 "&amp;TEXT($U82,"#,##0")&amp;"円）",IF($U82&gt;0,"改定償却","")))&amp;IF(AND($Q$5&lt;=2,$R82=$Q$11,$S82&gt;$Q$11,69&lt;&gt;$Q$6)," 償却終わり（帳簿価額 "&amp;$R82&amp;"円）","")&amp;IF(AND($Q$5=4,69=0),"少額特例で全額を経費","")))</f>
        <v/>
      </c>
      <c r="I82" s="68" t="n"/>
      <c r="J82" s="68" t="n"/>
      <c r="K82" s="68" t="n"/>
      <c r="L82" s="68" t="n"/>
      <c r="M82" s="68" t="n"/>
      <c r="N82" s="68" t="n"/>
      <c r="O82" s="68" t="n"/>
      <c r="P82" s="68" t="n"/>
      <c r="Q82" s="68" t="n"/>
      <c r="R82" s="68">
        <f>IF($Q$4=0,0,INDEX('計算（触らない）'!$AS$6:$EP$105,$Q$3,70))</f>
        <v/>
      </c>
      <c r="S82" s="68">
        <f>IF($Q$4=0,0,INDEX('計算（触らない）'!$AS$6:$EP$105,$Q$3,69))</f>
        <v/>
      </c>
      <c r="T82" s="68">
        <f>IF($Q$4=0,0,IF(69=0,1,IF(AND($Q$5&lt;=2,69&lt;=$Q$6,$S82&gt;$Q$11),1,IF(AND($Q$5=3,69&lt;=2),1,0))))</f>
        <v/>
      </c>
      <c r="U82" s="68">
        <f>IF($Q$4=0,0,INDEX('計算（触らない）'!$ER$6:$IN$105,$Q$3,69))</f>
        <v/>
      </c>
    </row>
    <row r="83" ht="17" customHeight="1">
      <c r="A83" s="37">
        <f>IF($T83=0,"",IF('計算（触らない）'!$B$1=1,($Q$13+70)&amp;"年度",($Q$13+70)&amp;"年"))</f>
        <v/>
      </c>
      <c r="B83" s="40">
        <f>IF($T83=0,"",$S83)</f>
        <v/>
      </c>
      <c r="C83" s="51">
        <f>IF($T83=0,"",IF($Q$5&gt;2,"―",IF(70=$Q$6,$Q$7,12)))</f>
        <v/>
      </c>
      <c r="D83" s="42">
        <f>IF($T83=0,"",IF($Q$5=3,"1/3",IF($Q$5=4,"―",IF($U83&gt;0,$Q$10,$Q$9))))</f>
        <v/>
      </c>
      <c r="E83" s="40">
        <f>IF($T83=0,"",$S83-$R83)</f>
        <v/>
      </c>
      <c r="F83" s="40">
        <f>IF($T83=0,"",INT(ROUND(($S83-$R83)*$Q$12,6)+'計算（触らない）'!$B$4))</f>
        <v/>
      </c>
      <c r="G83" s="40">
        <f>IF($T83=0,"",$R83)</f>
        <v/>
      </c>
      <c r="H83" s="38">
        <f>IF($T83=0,"",TRIM(IF(AND($Q$5&lt;=2,70=$Q$6),"売却・除却（期末の帳簿価額を帳簿から外す）",IF(AND($U83&gt;0,$U82=0),"ここから改定償却率（改定取得価額 "&amp;TEXT($U83,"#,##0")&amp;"円）",IF($U83&gt;0,"改定償却","")))&amp;IF(AND($Q$5&lt;=2,$R83=$Q$11,$S83&gt;$Q$11,70&lt;&gt;$Q$6)," 償却終わり（帳簿価額 "&amp;$R83&amp;"円）","")&amp;IF(AND($Q$5=4,70=0),"少額特例で全額を経費","")))</f>
        <v/>
      </c>
      <c r="I83" s="68" t="n"/>
      <c r="J83" s="68" t="n"/>
      <c r="K83" s="68" t="n"/>
      <c r="L83" s="68" t="n"/>
      <c r="M83" s="68" t="n"/>
      <c r="N83" s="68" t="n"/>
      <c r="O83" s="68" t="n"/>
      <c r="P83" s="68" t="n"/>
      <c r="Q83" s="68" t="n"/>
      <c r="R83" s="68">
        <f>IF($Q$4=0,0,INDEX('計算（触らない）'!$AS$6:$EP$105,$Q$3,71))</f>
        <v/>
      </c>
      <c r="S83" s="68">
        <f>IF($Q$4=0,0,INDEX('計算（触らない）'!$AS$6:$EP$105,$Q$3,70))</f>
        <v/>
      </c>
      <c r="T83" s="68">
        <f>IF($Q$4=0,0,IF(70=0,1,IF(AND($Q$5&lt;=2,70&lt;=$Q$6,$S83&gt;$Q$11),1,IF(AND($Q$5=3,70&lt;=2),1,0))))</f>
        <v/>
      </c>
      <c r="U83" s="68">
        <f>IF($Q$4=0,0,INDEX('計算（触らない）'!$ER$6:$IN$105,$Q$3,70))</f>
        <v/>
      </c>
    </row>
    <row r="84" ht="17" customHeight="1">
      <c r="A84" s="37">
        <f>IF($T84=0,"",IF('計算（触らない）'!$B$1=1,($Q$13+71)&amp;"年度",($Q$13+71)&amp;"年"))</f>
        <v/>
      </c>
      <c r="B84" s="40">
        <f>IF($T84=0,"",$S84)</f>
        <v/>
      </c>
      <c r="C84" s="51">
        <f>IF($T84=0,"",IF($Q$5&gt;2,"―",IF(71=$Q$6,$Q$7,12)))</f>
        <v/>
      </c>
      <c r="D84" s="42">
        <f>IF($T84=0,"",IF($Q$5=3,"1/3",IF($Q$5=4,"―",IF($U84&gt;0,$Q$10,$Q$9))))</f>
        <v/>
      </c>
      <c r="E84" s="40">
        <f>IF($T84=0,"",$S84-$R84)</f>
        <v/>
      </c>
      <c r="F84" s="40">
        <f>IF($T84=0,"",INT(ROUND(($S84-$R84)*$Q$12,6)+'計算（触らない）'!$B$4))</f>
        <v/>
      </c>
      <c r="G84" s="40">
        <f>IF($T84=0,"",$R84)</f>
        <v/>
      </c>
      <c r="H84" s="38">
        <f>IF($T84=0,"",TRIM(IF(AND($Q$5&lt;=2,71=$Q$6),"売却・除却（期末の帳簿価額を帳簿から外す）",IF(AND($U84&gt;0,$U83=0),"ここから改定償却率（改定取得価額 "&amp;TEXT($U84,"#,##0")&amp;"円）",IF($U84&gt;0,"改定償却","")))&amp;IF(AND($Q$5&lt;=2,$R84=$Q$11,$S84&gt;$Q$11,71&lt;&gt;$Q$6)," 償却終わり（帳簿価額 "&amp;$R84&amp;"円）","")&amp;IF(AND($Q$5=4,71=0),"少額特例で全額を経費","")))</f>
        <v/>
      </c>
      <c r="I84" s="68" t="n"/>
      <c r="J84" s="68" t="n"/>
      <c r="K84" s="68" t="n"/>
      <c r="L84" s="68" t="n"/>
      <c r="M84" s="68" t="n"/>
      <c r="N84" s="68" t="n"/>
      <c r="O84" s="68" t="n"/>
      <c r="P84" s="68" t="n"/>
      <c r="Q84" s="68" t="n"/>
      <c r="R84" s="68">
        <f>IF($Q$4=0,0,INDEX('計算（触らない）'!$AS$6:$EP$105,$Q$3,72))</f>
        <v/>
      </c>
      <c r="S84" s="68">
        <f>IF($Q$4=0,0,INDEX('計算（触らない）'!$AS$6:$EP$105,$Q$3,71))</f>
        <v/>
      </c>
      <c r="T84" s="68">
        <f>IF($Q$4=0,0,IF(71=0,1,IF(AND($Q$5&lt;=2,71&lt;=$Q$6,$S84&gt;$Q$11),1,IF(AND($Q$5=3,71&lt;=2),1,0))))</f>
        <v/>
      </c>
      <c r="U84" s="68">
        <f>IF($Q$4=0,0,INDEX('計算（触らない）'!$ER$6:$IN$105,$Q$3,71))</f>
        <v/>
      </c>
    </row>
    <row r="85" ht="17" customHeight="1">
      <c r="A85" s="37">
        <f>IF($T85=0,"",IF('計算（触らない）'!$B$1=1,($Q$13+72)&amp;"年度",($Q$13+72)&amp;"年"))</f>
        <v/>
      </c>
      <c r="B85" s="40">
        <f>IF($T85=0,"",$S85)</f>
        <v/>
      </c>
      <c r="C85" s="51">
        <f>IF($T85=0,"",IF($Q$5&gt;2,"―",IF(72=$Q$6,$Q$7,12)))</f>
        <v/>
      </c>
      <c r="D85" s="42">
        <f>IF($T85=0,"",IF($Q$5=3,"1/3",IF($Q$5=4,"―",IF($U85&gt;0,$Q$10,$Q$9))))</f>
        <v/>
      </c>
      <c r="E85" s="40">
        <f>IF($T85=0,"",$S85-$R85)</f>
        <v/>
      </c>
      <c r="F85" s="40">
        <f>IF($T85=0,"",INT(ROUND(($S85-$R85)*$Q$12,6)+'計算（触らない）'!$B$4))</f>
        <v/>
      </c>
      <c r="G85" s="40">
        <f>IF($T85=0,"",$R85)</f>
        <v/>
      </c>
      <c r="H85" s="38">
        <f>IF($T85=0,"",TRIM(IF(AND($Q$5&lt;=2,72=$Q$6),"売却・除却（期末の帳簿価額を帳簿から外す）",IF(AND($U85&gt;0,$U84=0),"ここから改定償却率（改定取得価額 "&amp;TEXT($U85,"#,##0")&amp;"円）",IF($U85&gt;0,"改定償却","")))&amp;IF(AND($Q$5&lt;=2,$R85=$Q$11,$S85&gt;$Q$11,72&lt;&gt;$Q$6)," 償却終わり（帳簿価額 "&amp;$R85&amp;"円）","")&amp;IF(AND($Q$5=4,72=0),"少額特例で全額を経費","")))</f>
        <v/>
      </c>
      <c r="I85" s="68" t="n"/>
      <c r="J85" s="68" t="n"/>
      <c r="K85" s="68" t="n"/>
      <c r="L85" s="68" t="n"/>
      <c r="M85" s="68" t="n"/>
      <c r="N85" s="68" t="n"/>
      <c r="O85" s="68" t="n"/>
      <c r="P85" s="68" t="n"/>
      <c r="Q85" s="68" t="n"/>
      <c r="R85" s="68">
        <f>IF($Q$4=0,0,INDEX('計算（触らない）'!$AS$6:$EP$105,$Q$3,73))</f>
        <v/>
      </c>
      <c r="S85" s="68">
        <f>IF($Q$4=0,0,INDEX('計算（触らない）'!$AS$6:$EP$105,$Q$3,72))</f>
        <v/>
      </c>
      <c r="T85" s="68">
        <f>IF($Q$4=0,0,IF(72=0,1,IF(AND($Q$5&lt;=2,72&lt;=$Q$6,$S85&gt;$Q$11),1,IF(AND($Q$5=3,72&lt;=2),1,0))))</f>
        <v/>
      </c>
      <c r="U85" s="68">
        <f>IF($Q$4=0,0,INDEX('計算（触らない）'!$ER$6:$IN$105,$Q$3,72))</f>
        <v/>
      </c>
    </row>
    <row r="86" ht="17" customHeight="1">
      <c r="A86" s="37">
        <f>IF($T86=0,"",IF('計算（触らない）'!$B$1=1,($Q$13+73)&amp;"年度",($Q$13+73)&amp;"年"))</f>
        <v/>
      </c>
      <c r="B86" s="40">
        <f>IF($T86=0,"",$S86)</f>
        <v/>
      </c>
      <c r="C86" s="51">
        <f>IF($T86=0,"",IF($Q$5&gt;2,"―",IF(73=$Q$6,$Q$7,12)))</f>
        <v/>
      </c>
      <c r="D86" s="42">
        <f>IF($T86=0,"",IF($Q$5=3,"1/3",IF($Q$5=4,"―",IF($U86&gt;0,$Q$10,$Q$9))))</f>
        <v/>
      </c>
      <c r="E86" s="40">
        <f>IF($T86=0,"",$S86-$R86)</f>
        <v/>
      </c>
      <c r="F86" s="40">
        <f>IF($T86=0,"",INT(ROUND(($S86-$R86)*$Q$12,6)+'計算（触らない）'!$B$4))</f>
        <v/>
      </c>
      <c r="G86" s="40">
        <f>IF($T86=0,"",$R86)</f>
        <v/>
      </c>
      <c r="H86" s="38">
        <f>IF($T86=0,"",TRIM(IF(AND($Q$5&lt;=2,73=$Q$6),"売却・除却（期末の帳簿価額を帳簿から外す）",IF(AND($U86&gt;0,$U85=0),"ここから改定償却率（改定取得価額 "&amp;TEXT($U86,"#,##0")&amp;"円）",IF($U86&gt;0,"改定償却","")))&amp;IF(AND($Q$5&lt;=2,$R86=$Q$11,$S86&gt;$Q$11,73&lt;&gt;$Q$6)," 償却終わり（帳簿価額 "&amp;$R86&amp;"円）","")&amp;IF(AND($Q$5=4,73=0),"少額特例で全額を経費","")))</f>
        <v/>
      </c>
      <c r="I86" s="68" t="n"/>
      <c r="J86" s="68" t="n"/>
      <c r="K86" s="68" t="n"/>
      <c r="L86" s="68" t="n"/>
      <c r="M86" s="68" t="n"/>
      <c r="N86" s="68" t="n"/>
      <c r="O86" s="68" t="n"/>
      <c r="P86" s="68" t="n"/>
      <c r="Q86" s="68" t="n"/>
      <c r="R86" s="68">
        <f>IF($Q$4=0,0,INDEX('計算（触らない）'!$AS$6:$EP$105,$Q$3,74))</f>
        <v/>
      </c>
      <c r="S86" s="68">
        <f>IF($Q$4=0,0,INDEX('計算（触らない）'!$AS$6:$EP$105,$Q$3,73))</f>
        <v/>
      </c>
      <c r="T86" s="68">
        <f>IF($Q$4=0,0,IF(73=0,1,IF(AND($Q$5&lt;=2,73&lt;=$Q$6,$S86&gt;$Q$11),1,IF(AND($Q$5=3,73&lt;=2),1,0))))</f>
        <v/>
      </c>
      <c r="U86" s="68">
        <f>IF($Q$4=0,0,INDEX('計算（触らない）'!$ER$6:$IN$105,$Q$3,73))</f>
        <v/>
      </c>
    </row>
    <row r="87" ht="17" customHeight="1">
      <c r="A87" s="37">
        <f>IF($T87=0,"",IF('計算（触らない）'!$B$1=1,($Q$13+74)&amp;"年度",($Q$13+74)&amp;"年"))</f>
        <v/>
      </c>
      <c r="B87" s="40">
        <f>IF($T87=0,"",$S87)</f>
        <v/>
      </c>
      <c r="C87" s="51">
        <f>IF($T87=0,"",IF($Q$5&gt;2,"―",IF(74=$Q$6,$Q$7,12)))</f>
        <v/>
      </c>
      <c r="D87" s="42">
        <f>IF($T87=0,"",IF($Q$5=3,"1/3",IF($Q$5=4,"―",IF($U87&gt;0,$Q$10,$Q$9))))</f>
        <v/>
      </c>
      <c r="E87" s="40">
        <f>IF($T87=0,"",$S87-$R87)</f>
        <v/>
      </c>
      <c r="F87" s="40">
        <f>IF($T87=0,"",INT(ROUND(($S87-$R87)*$Q$12,6)+'計算（触らない）'!$B$4))</f>
        <v/>
      </c>
      <c r="G87" s="40">
        <f>IF($T87=0,"",$R87)</f>
        <v/>
      </c>
      <c r="H87" s="38">
        <f>IF($T87=0,"",TRIM(IF(AND($Q$5&lt;=2,74=$Q$6),"売却・除却（期末の帳簿価額を帳簿から外す）",IF(AND($U87&gt;0,$U86=0),"ここから改定償却率（改定取得価額 "&amp;TEXT($U87,"#,##0")&amp;"円）",IF($U87&gt;0,"改定償却","")))&amp;IF(AND($Q$5&lt;=2,$R87=$Q$11,$S87&gt;$Q$11,74&lt;&gt;$Q$6)," 償却終わり（帳簿価額 "&amp;$R87&amp;"円）","")&amp;IF(AND($Q$5=4,74=0),"少額特例で全額を経費","")))</f>
        <v/>
      </c>
      <c r="I87" s="68" t="n"/>
      <c r="J87" s="68" t="n"/>
      <c r="K87" s="68" t="n"/>
      <c r="L87" s="68" t="n"/>
      <c r="M87" s="68" t="n"/>
      <c r="N87" s="68" t="n"/>
      <c r="O87" s="68" t="n"/>
      <c r="P87" s="68" t="n"/>
      <c r="Q87" s="68" t="n"/>
      <c r="R87" s="68">
        <f>IF($Q$4=0,0,INDEX('計算（触らない）'!$AS$6:$EP$105,$Q$3,75))</f>
        <v/>
      </c>
      <c r="S87" s="68">
        <f>IF($Q$4=0,0,INDEX('計算（触らない）'!$AS$6:$EP$105,$Q$3,74))</f>
        <v/>
      </c>
      <c r="T87" s="68">
        <f>IF($Q$4=0,0,IF(74=0,1,IF(AND($Q$5&lt;=2,74&lt;=$Q$6,$S87&gt;$Q$11),1,IF(AND($Q$5=3,74&lt;=2),1,0))))</f>
        <v/>
      </c>
      <c r="U87" s="68">
        <f>IF($Q$4=0,0,INDEX('計算（触らない）'!$ER$6:$IN$105,$Q$3,74))</f>
        <v/>
      </c>
    </row>
    <row r="88" ht="17" customHeight="1">
      <c r="A88" s="37">
        <f>IF($T88=0,"",IF('計算（触らない）'!$B$1=1,($Q$13+75)&amp;"年度",($Q$13+75)&amp;"年"))</f>
        <v/>
      </c>
      <c r="B88" s="40">
        <f>IF($T88=0,"",$S88)</f>
        <v/>
      </c>
      <c r="C88" s="51">
        <f>IF($T88=0,"",IF($Q$5&gt;2,"―",IF(75=$Q$6,$Q$7,12)))</f>
        <v/>
      </c>
      <c r="D88" s="42">
        <f>IF($T88=0,"",IF($Q$5=3,"1/3",IF($Q$5=4,"―",IF($U88&gt;0,$Q$10,$Q$9))))</f>
        <v/>
      </c>
      <c r="E88" s="40">
        <f>IF($T88=0,"",$S88-$R88)</f>
        <v/>
      </c>
      <c r="F88" s="40">
        <f>IF($T88=0,"",INT(ROUND(($S88-$R88)*$Q$12,6)+'計算（触らない）'!$B$4))</f>
        <v/>
      </c>
      <c r="G88" s="40">
        <f>IF($T88=0,"",$R88)</f>
        <v/>
      </c>
      <c r="H88" s="38">
        <f>IF($T88=0,"",TRIM(IF(AND($Q$5&lt;=2,75=$Q$6),"売却・除却（期末の帳簿価額を帳簿から外す）",IF(AND($U88&gt;0,$U87=0),"ここから改定償却率（改定取得価額 "&amp;TEXT($U88,"#,##0")&amp;"円）",IF($U88&gt;0,"改定償却","")))&amp;IF(AND($Q$5&lt;=2,$R88=$Q$11,$S88&gt;$Q$11,75&lt;&gt;$Q$6)," 償却終わり（帳簿価額 "&amp;$R88&amp;"円）","")&amp;IF(AND($Q$5=4,75=0),"少額特例で全額を経費","")))</f>
        <v/>
      </c>
      <c r="I88" s="68" t="n"/>
      <c r="J88" s="68" t="n"/>
      <c r="K88" s="68" t="n"/>
      <c r="L88" s="68" t="n"/>
      <c r="M88" s="68" t="n"/>
      <c r="N88" s="68" t="n"/>
      <c r="O88" s="68" t="n"/>
      <c r="P88" s="68" t="n"/>
      <c r="Q88" s="68" t="n"/>
      <c r="R88" s="68">
        <f>IF($Q$4=0,0,INDEX('計算（触らない）'!$AS$6:$EP$105,$Q$3,76))</f>
        <v/>
      </c>
      <c r="S88" s="68">
        <f>IF($Q$4=0,0,INDEX('計算（触らない）'!$AS$6:$EP$105,$Q$3,75))</f>
        <v/>
      </c>
      <c r="T88" s="68">
        <f>IF($Q$4=0,0,IF(75=0,1,IF(AND($Q$5&lt;=2,75&lt;=$Q$6,$S88&gt;$Q$11),1,IF(AND($Q$5=3,75&lt;=2),1,0))))</f>
        <v/>
      </c>
      <c r="U88" s="68">
        <f>IF($Q$4=0,0,INDEX('計算（触らない）'!$ER$6:$IN$105,$Q$3,75))</f>
        <v/>
      </c>
    </row>
    <row r="89" ht="17" customHeight="1">
      <c r="A89" s="37">
        <f>IF($T89=0,"",IF('計算（触らない）'!$B$1=1,($Q$13+76)&amp;"年度",($Q$13+76)&amp;"年"))</f>
        <v/>
      </c>
      <c r="B89" s="40">
        <f>IF($T89=0,"",$S89)</f>
        <v/>
      </c>
      <c r="C89" s="51">
        <f>IF($T89=0,"",IF($Q$5&gt;2,"―",IF(76=$Q$6,$Q$7,12)))</f>
        <v/>
      </c>
      <c r="D89" s="42">
        <f>IF($T89=0,"",IF($Q$5=3,"1/3",IF($Q$5=4,"―",IF($U89&gt;0,$Q$10,$Q$9))))</f>
        <v/>
      </c>
      <c r="E89" s="40">
        <f>IF($T89=0,"",$S89-$R89)</f>
        <v/>
      </c>
      <c r="F89" s="40">
        <f>IF($T89=0,"",INT(ROUND(($S89-$R89)*$Q$12,6)+'計算（触らない）'!$B$4))</f>
        <v/>
      </c>
      <c r="G89" s="40">
        <f>IF($T89=0,"",$R89)</f>
        <v/>
      </c>
      <c r="H89" s="38">
        <f>IF($T89=0,"",TRIM(IF(AND($Q$5&lt;=2,76=$Q$6),"売却・除却（期末の帳簿価額を帳簿から外す）",IF(AND($U89&gt;0,$U88=0),"ここから改定償却率（改定取得価額 "&amp;TEXT($U89,"#,##0")&amp;"円）",IF($U89&gt;0,"改定償却","")))&amp;IF(AND($Q$5&lt;=2,$R89=$Q$11,$S89&gt;$Q$11,76&lt;&gt;$Q$6)," 償却終わり（帳簿価額 "&amp;$R89&amp;"円）","")&amp;IF(AND($Q$5=4,76=0),"少額特例で全額を経費","")))</f>
        <v/>
      </c>
      <c r="I89" s="68" t="n"/>
      <c r="J89" s="68" t="n"/>
      <c r="K89" s="68" t="n"/>
      <c r="L89" s="68" t="n"/>
      <c r="M89" s="68" t="n"/>
      <c r="N89" s="68" t="n"/>
      <c r="O89" s="68" t="n"/>
      <c r="P89" s="68" t="n"/>
      <c r="Q89" s="68" t="n"/>
      <c r="R89" s="68">
        <f>IF($Q$4=0,0,INDEX('計算（触らない）'!$AS$6:$EP$105,$Q$3,77))</f>
        <v/>
      </c>
      <c r="S89" s="68">
        <f>IF($Q$4=0,0,INDEX('計算（触らない）'!$AS$6:$EP$105,$Q$3,76))</f>
        <v/>
      </c>
      <c r="T89" s="68">
        <f>IF($Q$4=0,0,IF(76=0,1,IF(AND($Q$5&lt;=2,76&lt;=$Q$6,$S89&gt;$Q$11),1,IF(AND($Q$5=3,76&lt;=2),1,0))))</f>
        <v/>
      </c>
      <c r="U89" s="68">
        <f>IF($Q$4=0,0,INDEX('計算（触らない）'!$ER$6:$IN$105,$Q$3,76))</f>
        <v/>
      </c>
    </row>
    <row r="90" ht="17" customHeight="1">
      <c r="A90" s="37">
        <f>IF($T90=0,"",IF('計算（触らない）'!$B$1=1,($Q$13+77)&amp;"年度",($Q$13+77)&amp;"年"))</f>
        <v/>
      </c>
      <c r="B90" s="40">
        <f>IF($T90=0,"",$S90)</f>
        <v/>
      </c>
      <c r="C90" s="51">
        <f>IF($T90=0,"",IF($Q$5&gt;2,"―",IF(77=$Q$6,$Q$7,12)))</f>
        <v/>
      </c>
      <c r="D90" s="42">
        <f>IF($T90=0,"",IF($Q$5=3,"1/3",IF($Q$5=4,"―",IF($U90&gt;0,$Q$10,$Q$9))))</f>
        <v/>
      </c>
      <c r="E90" s="40">
        <f>IF($T90=0,"",$S90-$R90)</f>
        <v/>
      </c>
      <c r="F90" s="40">
        <f>IF($T90=0,"",INT(ROUND(($S90-$R90)*$Q$12,6)+'計算（触らない）'!$B$4))</f>
        <v/>
      </c>
      <c r="G90" s="40">
        <f>IF($T90=0,"",$R90)</f>
        <v/>
      </c>
      <c r="H90" s="38">
        <f>IF($T90=0,"",TRIM(IF(AND($Q$5&lt;=2,77=$Q$6),"売却・除却（期末の帳簿価額を帳簿から外す）",IF(AND($U90&gt;0,$U89=0),"ここから改定償却率（改定取得価額 "&amp;TEXT($U90,"#,##0")&amp;"円）",IF($U90&gt;0,"改定償却","")))&amp;IF(AND($Q$5&lt;=2,$R90=$Q$11,$S90&gt;$Q$11,77&lt;&gt;$Q$6)," 償却終わり（帳簿価額 "&amp;$R90&amp;"円）","")&amp;IF(AND($Q$5=4,77=0),"少額特例で全額を経費","")))</f>
        <v/>
      </c>
      <c r="I90" s="68" t="n"/>
      <c r="J90" s="68" t="n"/>
      <c r="K90" s="68" t="n"/>
      <c r="L90" s="68" t="n"/>
      <c r="M90" s="68" t="n"/>
      <c r="N90" s="68" t="n"/>
      <c r="O90" s="68" t="n"/>
      <c r="P90" s="68" t="n"/>
      <c r="Q90" s="68" t="n"/>
      <c r="R90" s="68">
        <f>IF($Q$4=0,0,INDEX('計算（触らない）'!$AS$6:$EP$105,$Q$3,78))</f>
        <v/>
      </c>
      <c r="S90" s="68">
        <f>IF($Q$4=0,0,INDEX('計算（触らない）'!$AS$6:$EP$105,$Q$3,77))</f>
        <v/>
      </c>
      <c r="T90" s="68">
        <f>IF($Q$4=0,0,IF(77=0,1,IF(AND($Q$5&lt;=2,77&lt;=$Q$6,$S90&gt;$Q$11),1,IF(AND($Q$5=3,77&lt;=2),1,0))))</f>
        <v/>
      </c>
      <c r="U90" s="68">
        <f>IF($Q$4=0,0,INDEX('計算（触らない）'!$ER$6:$IN$105,$Q$3,77))</f>
        <v/>
      </c>
    </row>
    <row r="91" ht="17" customHeight="1">
      <c r="A91" s="37">
        <f>IF($T91=0,"",IF('計算（触らない）'!$B$1=1,($Q$13+78)&amp;"年度",($Q$13+78)&amp;"年"))</f>
        <v/>
      </c>
      <c r="B91" s="40">
        <f>IF($T91=0,"",$S91)</f>
        <v/>
      </c>
      <c r="C91" s="51">
        <f>IF($T91=0,"",IF($Q$5&gt;2,"―",IF(78=$Q$6,$Q$7,12)))</f>
        <v/>
      </c>
      <c r="D91" s="42">
        <f>IF($T91=0,"",IF($Q$5=3,"1/3",IF($Q$5=4,"―",IF($U91&gt;0,$Q$10,$Q$9))))</f>
        <v/>
      </c>
      <c r="E91" s="40">
        <f>IF($T91=0,"",$S91-$R91)</f>
        <v/>
      </c>
      <c r="F91" s="40">
        <f>IF($T91=0,"",INT(ROUND(($S91-$R91)*$Q$12,6)+'計算（触らない）'!$B$4))</f>
        <v/>
      </c>
      <c r="G91" s="40">
        <f>IF($T91=0,"",$R91)</f>
        <v/>
      </c>
      <c r="H91" s="38">
        <f>IF($T91=0,"",TRIM(IF(AND($Q$5&lt;=2,78=$Q$6),"売却・除却（期末の帳簿価額を帳簿から外す）",IF(AND($U91&gt;0,$U90=0),"ここから改定償却率（改定取得価額 "&amp;TEXT($U91,"#,##0")&amp;"円）",IF($U91&gt;0,"改定償却","")))&amp;IF(AND($Q$5&lt;=2,$R91=$Q$11,$S91&gt;$Q$11,78&lt;&gt;$Q$6)," 償却終わり（帳簿価額 "&amp;$R91&amp;"円）","")&amp;IF(AND($Q$5=4,78=0),"少額特例で全額を経費","")))</f>
        <v/>
      </c>
      <c r="I91" s="68" t="n"/>
      <c r="J91" s="68" t="n"/>
      <c r="K91" s="68" t="n"/>
      <c r="L91" s="68" t="n"/>
      <c r="M91" s="68" t="n"/>
      <c r="N91" s="68" t="n"/>
      <c r="O91" s="68" t="n"/>
      <c r="P91" s="68" t="n"/>
      <c r="Q91" s="68" t="n"/>
      <c r="R91" s="68">
        <f>IF($Q$4=0,0,INDEX('計算（触らない）'!$AS$6:$EP$105,$Q$3,79))</f>
        <v/>
      </c>
      <c r="S91" s="68">
        <f>IF($Q$4=0,0,INDEX('計算（触らない）'!$AS$6:$EP$105,$Q$3,78))</f>
        <v/>
      </c>
      <c r="T91" s="68">
        <f>IF($Q$4=0,0,IF(78=0,1,IF(AND($Q$5&lt;=2,78&lt;=$Q$6,$S91&gt;$Q$11),1,IF(AND($Q$5=3,78&lt;=2),1,0))))</f>
        <v/>
      </c>
      <c r="U91" s="68">
        <f>IF($Q$4=0,0,INDEX('計算（触らない）'!$ER$6:$IN$105,$Q$3,78))</f>
        <v/>
      </c>
    </row>
    <row r="92" ht="17" customHeight="1">
      <c r="A92" s="37">
        <f>IF($T92=0,"",IF('計算（触らない）'!$B$1=1,($Q$13+79)&amp;"年度",($Q$13+79)&amp;"年"))</f>
        <v/>
      </c>
      <c r="B92" s="40">
        <f>IF($T92=0,"",$S92)</f>
        <v/>
      </c>
      <c r="C92" s="51">
        <f>IF($T92=0,"",IF($Q$5&gt;2,"―",IF(79=$Q$6,$Q$7,12)))</f>
        <v/>
      </c>
      <c r="D92" s="42">
        <f>IF($T92=0,"",IF($Q$5=3,"1/3",IF($Q$5=4,"―",IF($U92&gt;0,$Q$10,$Q$9))))</f>
        <v/>
      </c>
      <c r="E92" s="40">
        <f>IF($T92=0,"",$S92-$R92)</f>
        <v/>
      </c>
      <c r="F92" s="40">
        <f>IF($T92=0,"",INT(ROUND(($S92-$R92)*$Q$12,6)+'計算（触らない）'!$B$4))</f>
        <v/>
      </c>
      <c r="G92" s="40">
        <f>IF($T92=0,"",$R92)</f>
        <v/>
      </c>
      <c r="H92" s="38">
        <f>IF($T92=0,"",TRIM(IF(AND($Q$5&lt;=2,79=$Q$6),"売却・除却（期末の帳簿価額を帳簿から外す）",IF(AND($U92&gt;0,$U91=0),"ここから改定償却率（改定取得価額 "&amp;TEXT($U92,"#,##0")&amp;"円）",IF($U92&gt;0,"改定償却","")))&amp;IF(AND($Q$5&lt;=2,$R92=$Q$11,$S92&gt;$Q$11,79&lt;&gt;$Q$6)," 償却終わり（帳簿価額 "&amp;$R92&amp;"円）","")&amp;IF(AND($Q$5=4,79=0),"少額特例で全額を経費","")))</f>
        <v/>
      </c>
      <c r="I92" s="68" t="n"/>
      <c r="J92" s="68" t="n"/>
      <c r="K92" s="68" t="n"/>
      <c r="L92" s="68" t="n"/>
      <c r="M92" s="68" t="n"/>
      <c r="N92" s="68" t="n"/>
      <c r="O92" s="68" t="n"/>
      <c r="P92" s="68" t="n"/>
      <c r="Q92" s="68" t="n"/>
      <c r="R92" s="68">
        <f>IF($Q$4=0,0,INDEX('計算（触らない）'!$AS$6:$EP$105,$Q$3,80))</f>
        <v/>
      </c>
      <c r="S92" s="68">
        <f>IF($Q$4=0,0,INDEX('計算（触らない）'!$AS$6:$EP$105,$Q$3,79))</f>
        <v/>
      </c>
      <c r="T92" s="68">
        <f>IF($Q$4=0,0,IF(79=0,1,IF(AND($Q$5&lt;=2,79&lt;=$Q$6,$S92&gt;$Q$11),1,IF(AND($Q$5=3,79&lt;=2),1,0))))</f>
        <v/>
      </c>
      <c r="U92" s="68">
        <f>IF($Q$4=0,0,INDEX('計算（触らない）'!$ER$6:$IN$105,$Q$3,79))</f>
        <v/>
      </c>
    </row>
    <row r="93" ht="17" customHeight="1">
      <c r="A93" s="37">
        <f>IF($T93=0,"",IF('計算（触らない）'!$B$1=1,($Q$13+80)&amp;"年度",($Q$13+80)&amp;"年"))</f>
        <v/>
      </c>
      <c r="B93" s="40">
        <f>IF($T93=0,"",$S93)</f>
        <v/>
      </c>
      <c r="C93" s="51">
        <f>IF($T93=0,"",IF($Q$5&gt;2,"―",IF(80=$Q$6,$Q$7,12)))</f>
        <v/>
      </c>
      <c r="D93" s="42">
        <f>IF($T93=0,"",IF($Q$5=3,"1/3",IF($Q$5=4,"―",IF($U93&gt;0,$Q$10,$Q$9))))</f>
        <v/>
      </c>
      <c r="E93" s="40">
        <f>IF($T93=0,"",$S93-$R93)</f>
        <v/>
      </c>
      <c r="F93" s="40">
        <f>IF($T93=0,"",INT(ROUND(($S93-$R93)*$Q$12,6)+'計算（触らない）'!$B$4))</f>
        <v/>
      </c>
      <c r="G93" s="40">
        <f>IF($T93=0,"",$R93)</f>
        <v/>
      </c>
      <c r="H93" s="38">
        <f>IF($T93=0,"",TRIM(IF(AND($Q$5&lt;=2,80=$Q$6),"売却・除却（期末の帳簿価額を帳簿から外す）",IF(AND($U93&gt;0,$U92=0),"ここから改定償却率（改定取得価額 "&amp;TEXT($U93,"#,##0")&amp;"円）",IF($U93&gt;0,"改定償却","")))&amp;IF(AND($Q$5&lt;=2,$R93=$Q$11,$S93&gt;$Q$11,80&lt;&gt;$Q$6)," 償却終わり（帳簿価額 "&amp;$R93&amp;"円）","")&amp;IF(AND($Q$5=4,80=0),"少額特例で全額を経費","")))</f>
        <v/>
      </c>
      <c r="I93" s="68" t="n"/>
      <c r="J93" s="68" t="n"/>
      <c r="K93" s="68" t="n"/>
      <c r="L93" s="68" t="n"/>
      <c r="M93" s="68" t="n"/>
      <c r="N93" s="68" t="n"/>
      <c r="O93" s="68" t="n"/>
      <c r="P93" s="68" t="n"/>
      <c r="Q93" s="68" t="n"/>
      <c r="R93" s="68">
        <f>IF($Q$4=0,0,INDEX('計算（触らない）'!$AS$6:$EP$105,$Q$3,81))</f>
        <v/>
      </c>
      <c r="S93" s="68">
        <f>IF($Q$4=0,0,INDEX('計算（触らない）'!$AS$6:$EP$105,$Q$3,80))</f>
        <v/>
      </c>
      <c r="T93" s="68">
        <f>IF($Q$4=0,0,IF(80=0,1,IF(AND($Q$5&lt;=2,80&lt;=$Q$6,$S93&gt;$Q$11),1,IF(AND($Q$5=3,80&lt;=2),1,0))))</f>
        <v/>
      </c>
      <c r="U93" s="68">
        <f>IF($Q$4=0,0,INDEX('計算（触らない）'!$ER$6:$IN$105,$Q$3,80))</f>
        <v/>
      </c>
    </row>
    <row r="94" ht="17" customHeight="1">
      <c r="A94" s="37">
        <f>IF($T94=0,"",IF('計算（触らない）'!$B$1=1,($Q$13+81)&amp;"年度",($Q$13+81)&amp;"年"))</f>
        <v/>
      </c>
      <c r="B94" s="40">
        <f>IF($T94=0,"",$S94)</f>
        <v/>
      </c>
      <c r="C94" s="51">
        <f>IF($T94=0,"",IF($Q$5&gt;2,"―",IF(81=$Q$6,$Q$7,12)))</f>
        <v/>
      </c>
      <c r="D94" s="42">
        <f>IF($T94=0,"",IF($Q$5=3,"1/3",IF($Q$5=4,"―",IF($U94&gt;0,$Q$10,$Q$9))))</f>
        <v/>
      </c>
      <c r="E94" s="40">
        <f>IF($T94=0,"",$S94-$R94)</f>
        <v/>
      </c>
      <c r="F94" s="40">
        <f>IF($T94=0,"",INT(ROUND(($S94-$R94)*$Q$12,6)+'計算（触らない）'!$B$4))</f>
        <v/>
      </c>
      <c r="G94" s="40">
        <f>IF($T94=0,"",$R94)</f>
        <v/>
      </c>
      <c r="H94" s="38">
        <f>IF($T94=0,"",TRIM(IF(AND($Q$5&lt;=2,81=$Q$6),"売却・除却（期末の帳簿価額を帳簿から外す）",IF(AND($U94&gt;0,$U93=0),"ここから改定償却率（改定取得価額 "&amp;TEXT($U94,"#,##0")&amp;"円）",IF($U94&gt;0,"改定償却","")))&amp;IF(AND($Q$5&lt;=2,$R94=$Q$11,$S94&gt;$Q$11,81&lt;&gt;$Q$6)," 償却終わり（帳簿価額 "&amp;$R94&amp;"円）","")&amp;IF(AND($Q$5=4,81=0),"少額特例で全額を経費","")))</f>
        <v/>
      </c>
      <c r="I94" s="68" t="n"/>
      <c r="J94" s="68" t="n"/>
      <c r="K94" s="68" t="n"/>
      <c r="L94" s="68" t="n"/>
      <c r="M94" s="68" t="n"/>
      <c r="N94" s="68" t="n"/>
      <c r="O94" s="68" t="n"/>
      <c r="P94" s="68" t="n"/>
      <c r="Q94" s="68" t="n"/>
      <c r="R94" s="68">
        <f>IF($Q$4=0,0,INDEX('計算（触らない）'!$AS$6:$EP$105,$Q$3,82))</f>
        <v/>
      </c>
      <c r="S94" s="68">
        <f>IF($Q$4=0,0,INDEX('計算（触らない）'!$AS$6:$EP$105,$Q$3,81))</f>
        <v/>
      </c>
      <c r="T94" s="68">
        <f>IF($Q$4=0,0,IF(81=0,1,IF(AND($Q$5&lt;=2,81&lt;=$Q$6,$S94&gt;$Q$11),1,IF(AND($Q$5=3,81&lt;=2),1,0))))</f>
        <v/>
      </c>
      <c r="U94" s="68">
        <f>IF($Q$4=0,0,INDEX('計算（触らない）'!$ER$6:$IN$105,$Q$3,81))</f>
        <v/>
      </c>
    </row>
    <row r="95" ht="17" customHeight="1">
      <c r="A95" s="37">
        <f>IF($T95=0,"",IF('計算（触らない）'!$B$1=1,($Q$13+82)&amp;"年度",($Q$13+82)&amp;"年"))</f>
        <v/>
      </c>
      <c r="B95" s="40">
        <f>IF($T95=0,"",$S95)</f>
        <v/>
      </c>
      <c r="C95" s="51">
        <f>IF($T95=0,"",IF($Q$5&gt;2,"―",IF(82=$Q$6,$Q$7,12)))</f>
        <v/>
      </c>
      <c r="D95" s="42">
        <f>IF($T95=0,"",IF($Q$5=3,"1/3",IF($Q$5=4,"―",IF($U95&gt;0,$Q$10,$Q$9))))</f>
        <v/>
      </c>
      <c r="E95" s="40">
        <f>IF($T95=0,"",$S95-$R95)</f>
        <v/>
      </c>
      <c r="F95" s="40">
        <f>IF($T95=0,"",INT(ROUND(($S95-$R95)*$Q$12,6)+'計算（触らない）'!$B$4))</f>
        <v/>
      </c>
      <c r="G95" s="40">
        <f>IF($T95=0,"",$R95)</f>
        <v/>
      </c>
      <c r="H95" s="38">
        <f>IF($T95=0,"",TRIM(IF(AND($Q$5&lt;=2,82=$Q$6),"売却・除却（期末の帳簿価額を帳簿から外す）",IF(AND($U95&gt;0,$U94=0),"ここから改定償却率（改定取得価額 "&amp;TEXT($U95,"#,##0")&amp;"円）",IF($U95&gt;0,"改定償却","")))&amp;IF(AND($Q$5&lt;=2,$R95=$Q$11,$S95&gt;$Q$11,82&lt;&gt;$Q$6)," 償却終わり（帳簿価額 "&amp;$R95&amp;"円）","")&amp;IF(AND($Q$5=4,82=0),"少額特例で全額を経費","")))</f>
        <v/>
      </c>
      <c r="I95" s="68" t="n"/>
      <c r="J95" s="68" t="n"/>
      <c r="K95" s="68" t="n"/>
      <c r="L95" s="68" t="n"/>
      <c r="M95" s="68" t="n"/>
      <c r="N95" s="68" t="n"/>
      <c r="O95" s="68" t="n"/>
      <c r="P95" s="68" t="n"/>
      <c r="Q95" s="68" t="n"/>
      <c r="R95" s="68">
        <f>IF($Q$4=0,0,INDEX('計算（触らない）'!$AS$6:$EP$105,$Q$3,83))</f>
        <v/>
      </c>
      <c r="S95" s="68">
        <f>IF($Q$4=0,0,INDEX('計算（触らない）'!$AS$6:$EP$105,$Q$3,82))</f>
        <v/>
      </c>
      <c r="T95" s="68">
        <f>IF($Q$4=0,0,IF(82=0,1,IF(AND($Q$5&lt;=2,82&lt;=$Q$6,$S95&gt;$Q$11),1,IF(AND($Q$5=3,82&lt;=2),1,0))))</f>
        <v/>
      </c>
      <c r="U95" s="68">
        <f>IF($Q$4=0,0,INDEX('計算（触らない）'!$ER$6:$IN$105,$Q$3,82))</f>
        <v/>
      </c>
    </row>
    <row r="96" ht="17" customHeight="1">
      <c r="A96" s="37">
        <f>IF($T96=0,"",IF('計算（触らない）'!$B$1=1,($Q$13+83)&amp;"年度",($Q$13+83)&amp;"年"))</f>
        <v/>
      </c>
      <c r="B96" s="40">
        <f>IF($T96=0,"",$S96)</f>
        <v/>
      </c>
      <c r="C96" s="51">
        <f>IF($T96=0,"",IF($Q$5&gt;2,"―",IF(83=$Q$6,$Q$7,12)))</f>
        <v/>
      </c>
      <c r="D96" s="42">
        <f>IF($T96=0,"",IF($Q$5=3,"1/3",IF($Q$5=4,"―",IF($U96&gt;0,$Q$10,$Q$9))))</f>
        <v/>
      </c>
      <c r="E96" s="40">
        <f>IF($T96=0,"",$S96-$R96)</f>
        <v/>
      </c>
      <c r="F96" s="40">
        <f>IF($T96=0,"",INT(ROUND(($S96-$R96)*$Q$12,6)+'計算（触らない）'!$B$4))</f>
        <v/>
      </c>
      <c r="G96" s="40">
        <f>IF($T96=0,"",$R96)</f>
        <v/>
      </c>
      <c r="H96" s="38">
        <f>IF($T96=0,"",TRIM(IF(AND($Q$5&lt;=2,83=$Q$6),"売却・除却（期末の帳簿価額を帳簿から外す）",IF(AND($U96&gt;0,$U95=0),"ここから改定償却率（改定取得価額 "&amp;TEXT($U96,"#,##0")&amp;"円）",IF($U96&gt;0,"改定償却","")))&amp;IF(AND($Q$5&lt;=2,$R96=$Q$11,$S96&gt;$Q$11,83&lt;&gt;$Q$6)," 償却終わり（帳簿価額 "&amp;$R96&amp;"円）","")&amp;IF(AND($Q$5=4,83=0),"少額特例で全額を経費","")))</f>
        <v/>
      </c>
      <c r="I96" s="68" t="n"/>
      <c r="J96" s="68" t="n"/>
      <c r="K96" s="68" t="n"/>
      <c r="L96" s="68" t="n"/>
      <c r="M96" s="68" t="n"/>
      <c r="N96" s="68" t="n"/>
      <c r="O96" s="68" t="n"/>
      <c r="P96" s="68" t="n"/>
      <c r="Q96" s="68" t="n"/>
      <c r="R96" s="68">
        <f>IF($Q$4=0,0,INDEX('計算（触らない）'!$AS$6:$EP$105,$Q$3,84))</f>
        <v/>
      </c>
      <c r="S96" s="68">
        <f>IF($Q$4=0,0,INDEX('計算（触らない）'!$AS$6:$EP$105,$Q$3,83))</f>
        <v/>
      </c>
      <c r="T96" s="68">
        <f>IF($Q$4=0,0,IF(83=0,1,IF(AND($Q$5&lt;=2,83&lt;=$Q$6,$S96&gt;$Q$11),1,IF(AND($Q$5=3,83&lt;=2),1,0))))</f>
        <v/>
      </c>
      <c r="U96" s="68">
        <f>IF($Q$4=0,0,INDEX('計算（触らない）'!$ER$6:$IN$105,$Q$3,83))</f>
        <v/>
      </c>
    </row>
    <row r="97" ht="17" customHeight="1">
      <c r="A97" s="37">
        <f>IF($T97=0,"",IF('計算（触らない）'!$B$1=1,($Q$13+84)&amp;"年度",($Q$13+84)&amp;"年"))</f>
        <v/>
      </c>
      <c r="B97" s="40">
        <f>IF($T97=0,"",$S97)</f>
        <v/>
      </c>
      <c r="C97" s="51">
        <f>IF($T97=0,"",IF($Q$5&gt;2,"―",IF(84=$Q$6,$Q$7,12)))</f>
        <v/>
      </c>
      <c r="D97" s="42">
        <f>IF($T97=0,"",IF($Q$5=3,"1/3",IF($Q$5=4,"―",IF($U97&gt;0,$Q$10,$Q$9))))</f>
        <v/>
      </c>
      <c r="E97" s="40">
        <f>IF($T97=0,"",$S97-$R97)</f>
        <v/>
      </c>
      <c r="F97" s="40">
        <f>IF($T97=0,"",INT(ROUND(($S97-$R97)*$Q$12,6)+'計算（触らない）'!$B$4))</f>
        <v/>
      </c>
      <c r="G97" s="40">
        <f>IF($T97=0,"",$R97)</f>
        <v/>
      </c>
      <c r="H97" s="38">
        <f>IF($T97=0,"",TRIM(IF(AND($Q$5&lt;=2,84=$Q$6),"売却・除却（期末の帳簿価額を帳簿から外す）",IF(AND($U97&gt;0,$U96=0),"ここから改定償却率（改定取得価額 "&amp;TEXT($U97,"#,##0")&amp;"円）",IF($U97&gt;0,"改定償却","")))&amp;IF(AND($Q$5&lt;=2,$R97=$Q$11,$S97&gt;$Q$11,84&lt;&gt;$Q$6)," 償却終わり（帳簿価額 "&amp;$R97&amp;"円）","")&amp;IF(AND($Q$5=4,84=0),"少額特例で全額を経費","")))</f>
        <v/>
      </c>
      <c r="I97" s="68" t="n"/>
      <c r="J97" s="68" t="n"/>
      <c r="K97" s="68" t="n"/>
      <c r="L97" s="68" t="n"/>
      <c r="M97" s="68" t="n"/>
      <c r="N97" s="68" t="n"/>
      <c r="O97" s="68" t="n"/>
      <c r="P97" s="68" t="n"/>
      <c r="Q97" s="68" t="n"/>
      <c r="R97" s="68">
        <f>IF($Q$4=0,0,INDEX('計算（触らない）'!$AS$6:$EP$105,$Q$3,85))</f>
        <v/>
      </c>
      <c r="S97" s="68">
        <f>IF($Q$4=0,0,INDEX('計算（触らない）'!$AS$6:$EP$105,$Q$3,84))</f>
        <v/>
      </c>
      <c r="T97" s="68">
        <f>IF($Q$4=0,0,IF(84=0,1,IF(AND($Q$5&lt;=2,84&lt;=$Q$6,$S97&gt;$Q$11),1,IF(AND($Q$5=3,84&lt;=2),1,0))))</f>
        <v/>
      </c>
      <c r="U97" s="68">
        <f>IF($Q$4=0,0,INDEX('計算（触らない）'!$ER$6:$IN$105,$Q$3,84))</f>
        <v/>
      </c>
    </row>
    <row r="98" ht="17" customHeight="1">
      <c r="A98" s="37">
        <f>IF($T98=0,"",IF('計算（触らない）'!$B$1=1,($Q$13+85)&amp;"年度",($Q$13+85)&amp;"年"))</f>
        <v/>
      </c>
      <c r="B98" s="40">
        <f>IF($T98=0,"",$S98)</f>
        <v/>
      </c>
      <c r="C98" s="51">
        <f>IF($T98=0,"",IF($Q$5&gt;2,"―",IF(85=$Q$6,$Q$7,12)))</f>
        <v/>
      </c>
      <c r="D98" s="42">
        <f>IF($T98=0,"",IF($Q$5=3,"1/3",IF($Q$5=4,"―",IF($U98&gt;0,$Q$10,$Q$9))))</f>
        <v/>
      </c>
      <c r="E98" s="40">
        <f>IF($T98=0,"",$S98-$R98)</f>
        <v/>
      </c>
      <c r="F98" s="40">
        <f>IF($T98=0,"",INT(ROUND(($S98-$R98)*$Q$12,6)+'計算（触らない）'!$B$4))</f>
        <v/>
      </c>
      <c r="G98" s="40">
        <f>IF($T98=0,"",$R98)</f>
        <v/>
      </c>
      <c r="H98" s="38">
        <f>IF($T98=0,"",TRIM(IF(AND($Q$5&lt;=2,85=$Q$6),"売却・除却（期末の帳簿価額を帳簿から外す）",IF(AND($U98&gt;0,$U97=0),"ここから改定償却率（改定取得価額 "&amp;TEXT($U98,"#,##0")&amp;"円）",IF($U98&gt;0,"改定償却","")))&amp;IF(AND($Q$5&lt;=2,$R98=$Q$11,$S98&gt;$Q$11,85&lt;&gt;$Q$6)," 償却終わり（帳簿価額 "&amp;$R98&amp;"円）","")&amp;IF(AND($Q$5=4,85=0),"少額特例で全額を経費","")))</f>
        <v/>
      </c>
      <c r="I98" s="68" t="n"/>
      <c r="J98" s="68" t="n"/>
      <c r="K98" s="68" t="n"/>
      <c r="L98" s="68" t="n"/>
      <c r="M98" s="68" t="n"/>
      <c r="N98" s="68" t="n"/>
      <c r="O98" s="68" t="n"/>
      <c r="P98" s="68" t="n"/>
      <c r="Q98" s="68" t="n"/>
      <c r="R98" s="68">
        <f>IF($Q$4=0,0,INDEX('計算（触らない）'!$AS$6:$EP$105,$Q$3,86))</f>
        <v/>
      </c>
      <c r="S98" s="68">
        <f>IF($Q$4=0,0,INDEX('計算（触らない）'!$AS$6:$EP$105,$Q$3,85))</f>
        <v/>
      </c>
      <c r="T98" s="68">
        <f>IF($Q$4=0,0,IF(85=0,1,IF(AND($Q$5&lt;=2,85&lt;=$Q$6,$S98&gt;$Q$11),1,IF(AND($Q$5=3,85&lt;=2),1,0))))</f>
        <v/>
      </c>
      <c r="U98" s="68">
        <f>IF($Q$4=0,0,INDEX('計算（触らない）'!$ER$6:$IN$105,$Q$3,85))</f>
        <v/>
      </c>
    </row>
    <row r="99" ht="17" customHeight="1">
      <c r="A99" s="37">
        <f>IF($T99=0,"",IF('計算（触らない）'!$B$1=1,($Q$13+86)&amp;"年度",($Q$13+86)&amp;"年"))</f>
        <v/>
      </c>
      <c r="B99" s="40">
        <f>IF($T99=0,"",$S99)</f>
        <v/>
      </c>
      <c r="C99" s="51">
        <f>IF($T99=0,"",IF($Q$5&gt;2,"―",IF(86=$Q$6,$Q$7,12)))</f>
        <v/>
      </c>
      <c r="D99" s="42">
        <f>IF($T99=0,"",IF($Q$5=3,"1/3",IF($Q$5=4,"―",IF($U99&gt;0,$Q$10,$Q$9))))</f>
        <v/>
      </c>
      <c r="E99" s="40">
        <f>IF($T99=0,"",$S99-$R99)</f>
        <v/>
      </c>
      <c r="F99" s="40">
        <f>IF($T99=0,"",INT(ROUND(($S99-$R99)*$Q$12,6)+'計算（触らない）'!$B$4))</f>
        <v/>
      </c>
      <c r="G99" s="40">
        <f>IF($T99=0,"",$R99)</f>
        <v/>
      </c>
      <c r="H99" s="38">
        <f>IF($T99=0,"",TRIM(IF(AND($Q$5&lt;=2,86=$Q$6),"売却・除却（期末の帳簿価額を帳簿から外す）",IF(AND($U99&gt;0,$U98=0),"ここから改定償却率（改定取得価額 "&amp;TEXT($U99,"#,##0")&amp;"円）",IF($U99&gt;0,"改定償却","")))&amp;IF(AND($Q$5&lt;=2,$R99=$Q$11,$S99&gt;$Q$11,86&lt;&gt;$Q$6)," 償却終わり（帳簿価額 "&amp;$R99&amp;"円）","")&amp;IF(AND($Q$5=4,86=0),"少額特例で全額を経費","")))</f>
        <v/>
      </c>
      <c r="I99" s="68" t="n"/>
      <c r="J99" s="68" t="n"/>
      <c r="K99" s="68" t="n"/>
      <c r="L99" s="68" t="n"/>
      <c r="M99" s="68" t="n"/>
      <c r="N99" s="68" t="n"/>
      <c r="O99" s="68" t="n"/>
      <c r="P99" s="68" t="n"/>
      <c r="Q99" s="68" t="n"/>
      <c r="R99" s="68">
        <f>IF($Q$4=0,0,INDEX('計算（触らない）'!$AS$6:$EP$105,$Q$3,87))</f>
        <v/>
      </c>
      <c r="S99" s="68">
        <f>IF($Q$4=0,0,INDEX('計算（触らない）'!$AS$6:$EP$105,$Q$3,86))</f>
        <v/>
      </c>
      <c r="T99" s="68">
        <f>IF($Q$4=0,0,IF(86=0,1,IF(AND($Q$5&lt;=2,86&lt;=$Q$6,$S99&gt;$Q$11),1,IF(AND($Q$5=3,86&lt;=2),1,0))))</f>
        <v/>
      </c>
      <c r="U99" s="68">
        <f>IF($Q$4=0,0,INDEX('計算（触らない）'!$ER$6:$IN$105,$Q$3,86))</f>
        <v/>
      </c>
    </row>
    <row r="100" ht="17" customHeight="1">
      <c r="A100" s="37">
        <f>IF($T100=0,"",IF('計算（触らない）'!$B$1=1,($Q$13+87)&amp;"年度",($Q$13+87)&amp;"年"))</f>
        <v/>
      </c>
      <c r="B100" s="40">
        <f>IF($T100=0,"",$S100)</f>
        <v/>
      </c>
      <c r="C100" s="51">
        <f>IF($T100=0,"",IF($Q$5&gt;2,"―",IF(87=$Q$6,$Q$7,12)))</f>
        <v/>
      </c>
      <c r="D100" s="42">
        <f>IF($T100=0,"",IF($Q$5=3,"1/3",IF($Q$5=4,"―",IF($U100&gt;0,$Q$10,$Q$9))))</f>
        <v/>
      </c>
      <c r="E100" s="40">
        <f>IF($T100=0,"",$S100-$R100)</f>
        <v/>
      </c>
      <c r="F100" s="40">
        <f>IF($T100=0,"",INT(ROUND(($S100-$R100)*$Q$12,6)+'計算（触らない）'!$B$4))</f>
        <v/>
      </c>
      <c r="G100" s="40">
        <f>IF($T100=0,"",$R100)</f>
        <v/>
      </c>
      <c r="H100" s="38">
        <f>IF($T100=0,"",TRIM(IF(AND($Q$5&lt;=2,87=$Q$6),"売却・除却（期末の帳簿価額を帳簿から外す）",IF(AND($U100&gt;0,$U99=0),"ここから改定償却率（改定取得価額 "&amp;TEXT($U100,"#,##0")&amp;"円）",IF($U100&gt;0,"改定償却","")))&amp;IF(AND($Q$5&lt;=2,$R100=$Q$11,$S100&gt;$Q$11,87&lt;&gt;$Q$6)," 償却終わり（帳簿価額 "&amp;$R100&amp;"円）","")&amp;IF(AND($Q$5=4,87=0),"少額特例で全額を経費","")))</f>
        <v/>
      </c>
      <c r="I100" s="68" t="n"/>
      <c r="J100" s="68" t="n"/>
      <c r="K100" s="68" t="n"/>
      <c r="L100" s="68" t="n"/>
      <c r="M100" s="68" t="n"/>
      <c r="N100" s="68" t="n"/>
      <c r="O100" s="68" t="n"/>
      <c r="P100" s="68" t="n"/>
      <c r="Q100" s="68" t="n"/>
      <c r="R100" s="68">
        <f>IF($Q$4=0,0,INDEX('計算（触らない）'!$AS$6:$EP$105,$Q$3,88))</f>
        <v/>
      </c>
      <c r="S100" s="68">
        <f>IF($Q$4=0,0,INDEX('計算（触らない）'!$AS$6:$EP$105,$Q$3,87))</f>
        <v/>
      </c>
      <c r="T100" s="68">
        <f>IF($Q$4=0,0,IF(87=0,1,IF(AND($Q$5&lt;=2,87&lt;=$Q$6,$S100&gt;$Q$11),1,IF(AND($Q$5=3,87&lt;=2),1,0))))</f>
        <v/>
      </c>
      <c r="U100" s="68">
        <f>IF($Q$4=0,0,INDEX('計算（触らない）'!$ER$6:$IN$105,$Q$3,87))</f>
        <v/>
      </c>
    </row>
    <row r="101" ht="17" customHeight="1">
      <c r="A101" s="37">
        <f>IF($T101=0,"",IF('計算（触らない）'!$B$1=1,($Q$13+88)&amp;"年度",($Q$13+88)&amp;"年"))</f>
        <v/>
      </c>
      <c r="B101" s="40">
        <f>IF($T101=0,"",$S101)</f>
        <v/>
      </c>
      <c r="C101" s="51">
        <f>IF($T101=0,"",IF($Q$5&gt;2,"―",IF(88=$Q$6,$Q$7,12)))</f>
        <v/>
      </c>
      <c r="D101" s="42">
        <f>IF($T101=0,"",IF($Q$5=3,"1/3",IF($Q$5=4,"―",IF($U101&gt;0,$Q$10,$Q$9))))</f>
        <v/>
      </c>
      <c r="E101" s="40">
        <f>IF($T101=0,"",$S101-$R101)</f>
        <v/>
      </c>
      <c r="F101" s="40">
        <f>IF($T101=0,"",INT(ROUND(($S101-$R101)*$Q$12,6)+'計算（触らない）'!$B$4))</f>
        <v/>
      </c>
      <c r="G101" s="40">
        <f>IF($T101=0,"",$R101)</f>
        <v/>
      </c>
      <c r="H101" s="38">
        <f>IF($T101=0,"",TRIM(IF(AND($Q$5&lt;=2,88=$Q$6),"売却・除却（期末の帳簿価額を帳簿から外す）",IF(AND($U101&gt;0,$U100=0),"ここから改定償却率（改定取得価額 "&amp;TEXT($U101,"#,##0")&amp;"円）",IF($U101&gt;0,"改定償却","")))&amp;IF(AND($Q$5&lt;=2,$R101=$Q$11,$S101&gt;$Q$11,88&lt;&gt;$Q$6)," 償却終わり（帳簿価額 "&amp;$R101&amp;"円）","")&amp;IF(AND($Q$5=4,88=0),"少額特例で全額を経費","")))</f>
        <v/>
      </c>
      <c r="I101" s="68" t="n"/>
      <c r="J101" s="68" t="n"/>
      <c r="K101" s="68" t="n"/>
      <c r="L101" s="68" t="n"/>
      <c r="M101" s="68" t="n"/>
      <c r="N101" s="68" t="n"/>
      <c r="O101" s="68" t="n"/>
      <c r="P101" s="68" t="n"/>
      <c r="Q101" s="68" t="n"/>
      <c r="R101" s="68">
        <f>IF($Q$4=0,0,INDEX('計算（触らない）'!$AS$6:$EP$105,$Q$3,89))</f>
        <v/>
      </c>
      <c r="S101" s="68">
        <f>IF($Q$4=0,0,INDEX('計算（触らない）'!$AS$6:$EP$105,$Q$3,88))</f>
        <v/>
      </c>
      <c r="T101" s="68">
        <f>IF($Q$4=0,0,IF(88=0,1,IF(AND($Q$5&lt;=2,88&lt;=$Q$6,$S101&gt;$Q$11),1,IF(AND($Q$5=3,88&lt;=2),1,0))))</f>
        <v/>
      </c>
      <c r="U101" s="68">
        <f>IF($Q$4=0,0,INDEX('計算（触らない）'!$ER$6:$IN$105,$Q$3,88))</f>
        <v/>
      </c>
    </row>
    <row r="102" ht="17" customHeight="1">
      <c r="A102" s="37">
        <f>IF($T102=0,"",IF('計算（触らない）'!$B$1=1,($Q$13+89)&amp;"年度",($Q$13+89)&amp;"年"))</f>
        <v/>
      </c>
      <c r="B102" s="40">
        <f>IF($T102=0,"",$S102)</f>
        <v/>
      </c>
      <c r="C102" s="51">
        <f>IF($T102=0,"",IF($Q$5&gt;2,"―",IF(89=$Q$6,$Q$7,12)))</f>
        <v/>
      </c>
      <c r="D102" s="42">
        <f>IF($T102=0,"",IF($Q$5=3,"1/3",IF($Q$5=4,"―",IF($U102&gt;0,$Q$10,$Q$9))))</f>
        <v/>
      </c>
      <c r="E102" s="40">
        <f>IF($T102=0,"",$S102-$R102)</f>
        <v/>
      </c>
      <c r="F102" s="40">
        <f>IF($T102=0,"",INT(ROUND(($S102-$R102)*$Q$12,6)+'計算（触らない）'!$B$4))</f>
        <v/>
      </c>
      <c r="G102" s="40">
        <f>IF($T102=0,"",$R102)</f>
        <v/>
      </c>
      <c r="H102" s="38">
        <f>IF($T102=0,"",TRIM(IF(AND($Q$5&lt;=2,89=$Q$6),"売却・除却（期末の帳簿価額を帳簿から外す）",IF(AND($U102&gt;0,$U101=0),"ここから改定償却率（改定取得価額 "&amp;TEXT($U102,"#,##0")&amp;"円）",IF($U102&gt;0,"改定償却","")))&amp;IF(AND($Q$5&lt;=2,$R102=$Q$11,$S102&gt;$Q$11,89&lt;&gt;$Q$6)," 償却終わり（帳簿価額 "&amp;$R102&amp;"円）","")&amp;IF(AND($Q$5=4,89=0),"少額特例で全額を経費","")))</f>
        <v/>
      </c>
      <c r="I102" s="68" t="n"/>
      <c r="J102" s="68" t="n"/>
      <c r="K102" s="68" t="n"/>
      <c r="L102" s="68" t="n"/>
      <c r="M102" s="68" t="n"/>
      <c r="N102" s="68" t="n"/>
      <c r="O102" s="68" t="n"/>
      <c r="P102" s="68" t="n"/>
      <c r="Q102" s="68" t="n"/>
      <c r="R102" s="68">
        <f>IF($Q$4=0,0,INDEX('計算（触らない）'!$AS$6:$EP$105,$Q$3,90))</f>
        <v/>
      </c>
      <c r="S102" s="68">
        <f>IF($Q$4=0,0,INDEX('計算（触らない）'!$AS$6:$EP$105,$Q$3,89))</f>
        <v/>
      </c>
      <c r="T102" s="68">
        <f>IF($Q$4=0,0,IF(89=0,1,IF(AND($Q$5&lt;=2,89&lt;=$Q$6,$S102&gt;$Q$11),1,IF(AND($Q$5=3,89&lt;=2),1,0))))</f>
        <v/>
      </c>
      <c r="U102" s="68">
        <f>IF($Q$4=0,0,INDEX('計算（触らない）'!$ER$6:$IN$105,$Q$3,89))</f>
        <v/>
      </c>
    </row>
    <row r="103" ht="17" customHeight="1">
      <c r="A103" s="37">
        <f>IF($T103=0,"",IF('計算（触らない）'!$B$1=1,($Q$13+90)&amp;"年度",($Q$13+90)&amp;"年"))</f>
        <v/>
      </c>
      <c r="B103" s="40">
        <f>IF($T103=0,"",$S103)</f>
        <v/>
      </c>
      <c r="C103" s="51">
        <f>IF($T103=0,"",IF($Q$5&gt;2,"―",IF(90=$Q$6,$Q$7,12)))</f>
        <v/>
      </c>
      <c r="D103" s="42">
        <f>IF($T103=0,"",IF($Q$5=3,"1/3",IF($Q$5=4,"―",IF($U103&gt;0,$Q$10,$Q$9))))</f>
        <v/>
      </c>
      <c r="E103" s="40">
        <f>IF($T103=0,"",$S103-$R103)</f>
        <v/>
      </c>
      <c r="F103" s="40">
        <f>IF($T103=0,"",INT(ROUND(($S103-$R103)*$Q$12,6)+'計算（触らない）'!$B$4))</f>
        <v/>
      </c>
      <c r="G103" s="40">
        <f>IF($T103=0,"",$R103)</f>
        <v/>
      </c>
      <c r="H103" s="38">
        <f>IF($T103=0,"",TRIM(IF(AND($Q$5&lt;=2,90=$Q$6),"売却・除却（期末の帳簿価額を帳簿から外す）",IF(AND($U103&gt;0,$U102=0),"ここから改定償却率（改定取得価額 "&amp;TEXT($U103,"#,##0")&amp;"円）",IF($U103&gt;0,"改定償却","")))&amp;IF(AND($Q$5&lt;=2,$R103=$Q$11,$S103&gt;$Q$11,90&lt;&gt;$Q$6)," 償却終わり（帳簿価額 "&amp;$R103&amp;"円）","")&amp;IF(AND($Q$5=4,90=0),"少額特例で全額を経費","")))</f>
        <v/>
      </c>
      <c r="I103" s="68" t="n"/>
      <c r="J103" s="68" t="n"/>
      <c r="K103" s="68" t="n"/>
      <c r="L103" s="68" t="n"/>
      <c r="M103" s="68" t="n"/>
      <c r="N103" s="68" t="n"/>
      <c r="O103" s="68" t="n"/>
      <c r="P103" s="68" t="n"/>
      <c r="Q103" s="68" t="n"/>
      <c r="R103" s="68">
        <f>IF($Q$4=0,0,INDEX('計算（触らない）'!$AS$6:$EP$105,$Q$3,91))</f>
        <v/>
      </c>
      <c r="S103" s="68">
        <f>IF($Q$4=0,0,INDEX('計算（触らない）'!$AS$6:$EP$105,$Q$3,90))</f>
        <v/>
      </c>
      <c r="T103" s="68">
        <f>IF($Q$4=0,0,IF(90=0,1,IF(AND($Q$5&lt;=2,90&lt;=$Q$6,$S103&gt;$Q$11),1,IF(AND($Q$5=3,90&lt;=2),1,0))))</f>
        <v/>
      </c>
      <c r="U103" s="68">
        <f>IF($Q$4=0,0,INDEX('計算（触らない）'!$ER$6:$IN$105,$Q$3,90))</f>
        <v/>
      </c>
    </row>
    <row r="104" ht="17" customHeight="1">
      <c r="A104" s="37">
        <f>IF($T104=0,"",IF('計算（触らない）'!$B$1=1,($Q$13+91)&amp;"年度",($Q$13+91)&amp;"年"))</f>
        <v/>
      </c>
      <c r="B104" s="40">
        <f>IF($T104=0,"",$S104)</f>
        <v/>
      </c>
      <c r="C104" s="51">
        <f>IF($T104=0,"",IF($Q$5&gt;2,"―",IF(91=$Q$6,$Q$7,12)))</f>
        <v/>
      </c>
      <c r="D104" s="42">
        <f>IF($T104=0,"",IF($Q$5=3,"1/3",IF($Q$5=4,"―",IF($U104&gt;0,$Q$10,$Q$9))))</f>
        <v/>
      </c>
      <c r="E104" s="40">
        <f>IF($T104=0,"",$S104-$R104)</f>
        <v/>
      </c>
      <c r="F104" s="40">
        <f>IF($T104=0,"",INT(ROUND(($S104-$R104)*$Q$12,6)+'計算（触らない）'!$B$4))</f>
        <v/>
      </c>
      <c r="G104" s="40">
        <f>IF($T104=0,"",$R104)</f>
        <v/>
      </c>
      <c r="H104" s="38">
        <f>IF($T104=0,"",TRIM(IF(AND($Q$5&lt;=2,91=$Q$6),"売却・除却（期末の帳簿価額を帳簿から外す）",IF(AND($U104&gt;0,$U103=0),"ここから改定償却率（改定取得価額 "&amp;TEXT($U104,"#,##0")&amp;"円）",IF($U104&gt;0,"改定償却","")))&amp;IF(AND($Q$5&lt;=2,$R104=$Q$11,$S104&gt;$Q$11,91&lt;&gt;$Q$6)," 償却終わり（帳簿価額 "&amp;$R104&amp;"円）","")&amp;IF(AND($Q$5=4,91=0),"少額特例で全額を経費","")))</f>
        <v/>
      </c>
      <c r="I104" s="68" t="n"/>
      <c r="J104" s="68" t="n"/>
      <c r="K104" s="68" t="n"/>
      <c r="L104" s="68" t="n"/>
      <c r="M104" s="68" t="n"/>
      <c r="N104" s="68" t="n"/>
      <c r="O104" s="68" t="n"/>
      <c r="P104" s="68" t="n"/>
      <c r="Q104" s="68" t="n"/>
      <c r="R104" s="68">
        <f>IF($Q$4=0,0,INDEX('計算（触らない）'!$AS$6:$EP$105,$Q$3,92))</f>
        <v/>
      </c>
      <c r="S104" s="68">
        <f>IF($Q$4=0,0,INDEX('計算（触らない）'!$AS$6:$EP$105,$Q$3,91))</f>
        <v/>
      </c>
      <c r="T104" s="68">
        <f>IF($Q$4=0,0,IF(91=0,1,IF(AND($Q$5&lt;=2,91&lt;=$Q$6,$S104&gt;$Q$11),1,IF(AND($Q$5=3,91&lt;=2),1,0))))</f>
        <v/>
      </c>
      <c r="U104" s="68">
        <f>IF($Q$4=0,0,INDEX('計算（触らない）'!$ER$6:$IN$105,$Q$3,91))</f>
        <v/>
      </c>
    </row>
    <row r="105" ht="17" customHeight="1">
      <c r="A105" s="37">
        <f>IF($T105=0,"",IF('計算（触らない）'!$B$1=1,($Q$13+92)&amp;"年度",($Q$13+92)&amp;"年"))</f>
        <v/>
      </c>
      <c r="B105" s="40">
        <f>IF($T105=0,"",$S105)</f>
        <v/>
      </c>
      <c r="C105" s="51">
        <f>IF($T105=0,"",IF($Q$5&gt;2,"―",IF(92=$Q$6,$Q$7,12)))</f>
        <v/>
      </c>
      <c r="D105" s="42">
        <f>IF($T105=0,"",IF($Q$5=3,"1/3",IF($Q$5=4,"―",IF($U105&gt;0,$Q$10,$Q$9))))</f>
        <v/>
      </c>
      <c r="E105" s="40">
        <f>IF($T105=0,"",$S105-$R105)</f>
        <v/>
      </c>
      <c r="F105" s="40">
        <f>IF($T105=0,"",INT(ROUND(($S105-$R105)*$Q$12,6)+'計算（触らない）'!$B$4))</f>
        <v/>
      </c>
      <c r="G105" s="40">
        <f>IF($T105=0,"",$R105)</f>
        <v/>
      </c>
      <c r="H105" s="38">
        <f>IF($T105=0,"",TRIM(IF(AND($Q$5&lt;=2,92=$Q$6),"売却・除却（期末の帳簿価額を帳簿から外す）",IF(AND($U105&gt;0,$U104=0),"ここから改定償却率（改定取得価額 "&amp;TEXT($U105,"#,##0")&amp;"円）",IF($U105&gt;0,"改定償却","")))&amp;IF(AND($Q$5&lt;=2,$R105=$Q$11,$S105&gt;$Q$11,92&lt;&gt;$Q$6)," 償却終わり（帳簿価額 "&amp;$R105&amp;"円）","")&amp;IF(AND($Q$5=4,92=0),"少額特例で全額を経費","")))</f>
        <v/>
      </c>
      <c r="I105" s="68" t="n"/>
      <c r="J105" s="68" t="n"/>
      <c r="K105" s="68" t="n"/>
      <c r="L105" s="68" t="n"/>
      <c r="M105" s="68" t="n"/>
      <c r="N105" s="68" t="n"/>
      <c r="O105" s="68" t="n"/>
      <c r="P105" s="68" t="n"/>
      <c r="Q105" s="68" t="n"/>
      <c r="R105" s="68">
        <f>IF($Q$4=0,0,INDEX('計算（触らない）'!$AS$6:$EP$105,$Q$3,93))</f>
        <v/>
      </c>
      <c r="S105" s="68">
        <f>IF($Q$4=0,0,INDEX('計算（触らない）'!$AS$6:$EP$105,$Q$3,92))</f>
        <v/>
      </c>
      <c r="T105" s="68">
        <f>IF($Q$4=0,0,IF(92=0,1,IF(AND($Q$5&lt;=2,92&lt;=$Q$6,$S105&gt;$Q$11),1,IF(AND($Q$5=3,92&lt;=2),1,0))))</f>
        <v/>
      </c>
      <c r="U105" s="68">
        <f>IF($Q$4=0,0,INDEX('計算（触らない）'!$ER$6:$IN$105,$Q$3,92))</f>
        <v/>
      </c>
    </row>
    <row r="106" ht="17" customHeight="1">
      <c r="A106" s="37">
        <f>IF($T106=0,"",IF('計算（触らない）'!$B$1=1,($Q$13+93)&amp;"年度",($Q$13+93)&amp;"年"))</f>
        <v/>
      </c>
      <c r="B106" s="40">
        <f>IF($T106=0,"",$S106)</f>
        <v/>
      </c>
      <c r="C106" s="51">
        <f>IF($T106=0,"",IF($Q$5&gt;2,"―",IF(93=$Q$6,$Q$7,12)))</f>
        <v/>
      </c>
      <c r="D106" s="42">
        <f>IF($T106=0,"",IF($Q$5=3,"1/3",IF($Q$5=4,"―",IF($U106&gt;0,$Q$10,$Q$9))))</f>
        <v/>
      </c>
      <c r="E106" s="40">
        <f>IF($T106=0,"",$S106-$R106)</f>
        <v/>
      </c>
      <c r="F106" s="40">
        <f>IF($T106=0,"",INT(ROUND(($S106-$R106)*$Q$12,6)+'計算（触らない）'!$B$4))</f>
        <v/>
      </c>
      <c r="G106" s="40">
        <f>IF($T106=0,"",$R106)</f>
        <v/>
      </c>
      <c r="H106" s="38">
        <f>IF($T106=0,"",TRIM(IF(AND($Q$5&lt;=2,93=$Q$6),"売却・除却（期末の帳簿価額を帳簿から外す）",IF(AND($U106&gt;0,$U105=0),"ここから改定償却率（改定取得価額 "&amp;TEXT($U106,"#,##0")&amp;"円）",IF($U106&gt;0,"改定償却","")))&amp;IF(AND($Q$5&lt;=2,$R106=$Q$11,$S106&gt;$Q$11,93&lt;&gt;$Q$6)," 償却終わり（帳簿価額 "&amp;$R106&amp;"円）","")&amp;IF(AND($Q$5=4,93=0),"少額特例で全額を経費","")))</f>
        <v/>
      </c>
      <c r="I106" s="68" t="n"/>
      <c r="J106" s="68" t="n"/>
      <c r="K106" s="68" t="n"/>
      <c r="L106" s="68" t="n"/>
      <c r="M106" s="68" t="n"/>
      <c r="N106" s="68" t="n"/>
      <c r="O106" s="68" t="n"/>
      <c r="P106" s="68" t="n"/>
      <c r="Q106" s="68" t="n"/>
      <c r="R106" s="68">
        <f>IF($Q$4=0,0,INDEX('計算（触らない）'!$AS$6:$EP$105,$Q$3,94))</f>
        <v/>
      </c>
      <c r="S106" s="68">
        <f>IF($Q$4=0,0,INDEX('計算（触らない）'!$AS$6:$EP$105,$Q$3,93))</f>
        <v/>
      </c>
      <c r="T106" s="68">
        <f>IF($Q$4=0,0,IF(93=0,1,IF(AND($Q$5&lt;=2,93&lt;=$Q$6,$S106&gt;$Q$11),1,IF(AND($Q$5=3,93&lt;=2),1,0))))</f>
        <v/>
      </c>
      <c r="U106" s="68">
        <f>IF($Q$4=0,0,INDEX('計算（触らない）'!$ER$6:$IN$105,$Q$3,93))</f>
        <v/>
      </c>
    </row>
    <row r="107" ht="17" customHeight="1">
      <c r="A107" s="37">
        <f>IF($T107=0,"",IF('計算（触らない）'!$B$1=1,($Q$13+94)&amp;"年度",($Q$13+94)&amp;"年"))</f>
        <v/>
      </c>
      <c r="B107" s="40">
        <f>IF($T107=0,"",$S107)</f>
        <v/>
      </c>
      <c r="C107" s="51">
        <f>IF($T107=0,"",IF($Q$5&gt;2,"―",IF(94=$Q$6,$Q$7,12)))</f>
        <v/>
      </c>
      <c r="D107" s="42">
        <f>IF($T107=0,"",IF($Q$5=3,"1/3",IF($Q$5=4,"―",IF($U107&gt;0,$Q$10,$Q$9))))</f>
        <v/>
      </c>
      <c r="E107" s="40">
        <f>IF($T107=0,"",$S107-$R107)</f>
        <v/>
      </c>
      <c r="F107" s="40">
        <f>IF($T107=0,"",INT(ROUND(($S107-$R107)*$Q$12,6)+'計算（触らない）'!$B$4))</f>
        <v/>
      </c>
      <c r="G107" s="40">
        <f>IF($T107=0,"",$R107)</f>
        <v/>
      </c>
      <c r="H107" s="38">
        <f>IF($T107=0,"",TRIM(IF(AND($Q$5&lt;=2,94=$Q$6),"売却・除却（期末の帳簿価額を帳簿から外す）",IF(AND($U107&gt;0,$U106=0),"ここから改定償却率（改定取得価額 "&amp;TEXT($U107,"#,##0")&amp;"円）",IF($U107&gt;0,"改定償却","")))&amp;IF(AND($Q$5&lt;=2,$R107=$Q$11,$S107&gt;$Q$11,94&lt;&gt;$Q$6)," 償却終わり（帳簿価額 "&amp;$R107&amp;"円）","")&amp;IF(AND($Q$5=4,94=0),"少額特例で全額を経費","")))</f>
        <v/>
      </c>
      <c r="I107" s="68" t="n"/>
      <c r="J107" s="68" t="n"/>
      <c r="K107" s="68" t="n"/>
      <c r="L107" s="68" t="n"/>
      <c r="M107" s="68" t="n"/>
      <c r="N107" s="68" t="n"/>
      <c r="O107" s="68" t="n"/>
      <c r="P107" s="68" t="n"/>
      <c r="Q107" s="68" t="n"/>
      <c r="R107" s="68">
        <f>IF($Q$4=0,0,INDEX('計算（触らない）'!$AS$6:$EP$105,$Q$3,95))</f>
        <v/>
      </c>
      <c r="S107" s="68">
        <f>IF($Q$4=0,0,INDEX('計算（触らない）'!$AS$6:$EP$105,$Q$3,94))</f>
        <v/>
      </c>
      <c r="T107" s="68">
        <f>IF($Q$4=0,0,IF(94=0,1,IF(AND($Q$5&lt;=2,94&lt;=$Q$6,$S107&gt;$Q$11),1,IF(AND($Q$5=3,94&lt;=2),1,0))))</f>
        <v/>
      </c>
      <c r="U107" s="68">
        <f>IF($Q$4=0,0,INDEX('計算（触らない）'!$ER$6:$IN$105,$Q$3,94))</f>
        <v/>
      </c>
    </row>
    <row r="108" ht="17" customHeight="1">
      <c r="A108" s="37">
        <f>IF($T108=0,"",IF('計算（触らない）'!$B$1=1,($Q$13+95)&amp;"年度",($Q$13+95)&amp;"年"))</f>
        <v/>
      </c>
      <c r="B108" s="40">
        <f>IF($T108=0,"",$S108)</f>
        <v/>
      </c>
      <c r="C108" s="51">
        <f>IF($T108=0,"",IF($Q$5&gt;2,"―",IF(95=$Q$6,$Q$7,12)))</f>
        <v/>
      </c>
      <c r="D108" s="42">
        <f>IF($T108=0,"",IF($Q$5=3,"1/3",IF($Q$5=4,"―",IF($U108&gt;0,$Q$10,$Q$9))))</f>
        <v/>
      </c>
      <c r="E108" s="40">
        <f>IF($T108=0,"",$S108-$R108)</f>
        <v/>
      </c>
      <c r="F108" s="40">
        <f>IF($T108=0,"",INT(ROUND(($S108-$R108)*$Q$12,6)+'計算（触らない）'!$B$4))</f>
        <v/>
      </c>
      <c r="G108" s="40">
        <f>IF($T108=0,"",$R108)</f>
        <v/>
      </c>
      <c r="H108" s="38">
        <f>IF($T108=0,"",TRIM(IF(AND($Q$5&lt;=2,95=$Q$6),"売却・除却（期末の帳簿価額を帳簿から外す）",IF(AND($U108&gt;0,$U107=0),"ここから改定償却率（改定取得価額 "&amp;TEXT($U108,"#,##0")&amp;"円）",IF($U108&gt;0,"改定償却","")))&amp;IF(AND($Q$5&lt;=2,$R108=$Q$11,$S108&gt;$Q$11,95&lt;&gt;$Q$6)," 償却終わり（帳簿価額 "&amp;$R108&amp;"円）","")&amp;IF(AND($Q$5=4,95=0),"少額特例で全額を経費","")))</f>
        <v/>
      </c>
      <c r="I108" s="68" t="n"/>
      <c r="J108" s="68" t="n"/>
      <c r="K108" s="68" t="n"/>
      <c r="L108" s="68" t="n"/>
      <c r="M108" s="68" t="n"/>
      <c r="N108" s="68" t="n"/>
      <c r="O108" s="68" t="n"/>
      <c r="P108" s="68" t="n"/>
      <c r="Q108" s="68" t="n"/>
      <c r="R108" s="68">
        <f>IF($Q$4=0,0,INDEX('計算（触らない）'!$AS$6:$EP$105,$Q$3,96))</f>
        <v/>
      </c>
      <c r="S108" s="68">
        <f>IF($Q$4=0,0,INDEX('計算（触らない）'!$AS$6:$EP$105,$Q$3,95))</f>
        <v/>
      </c>
      <c r="T108" s="68">
        <f>IF($Q$4=0,0,IF(95=0,1,IF(AND($Q$5&lt;=2,95&lt;=$Q$6,$S108&gt;$Q$11),1,IF(AND($Q$5=3,95&lt;=2),1,0))))</f>
        <v/>
      </c>
      <c r="U108" s="68">
        <f>IF($Q$4=0,0,INDEX('計算（触らない）'!$ER$6:$IN$105,$Q$3,95))</f>
        <v/>
      </c>
    </row>
    <row r="109" ht="17" customHeight="1">
      <c r="A109" s="37">
        <f>IF($T109=0,"",IF('計算（触らない）'!$B$1=1,($Q$13+96)&amp;"年度",($Q$13+96)&amp;"年"))</f>
        <v/>
      </c>
      <c r="B109" s="40">
        <f>IF($T109=0,"",$S109)</f>
        <v/>
      </c>
      <c r="C109" s="51">
        <f>IF($T109=0,"",IF($Q$5&gt;2,"―",IF(96=$Q$6,$Q$7,12)))</f>
        <v/>
      </c>
      <c r="D109" s="42">
        <f>IF($T109=0,"",IF($Q$5=3,"1/3",IF($Q$5=4,"―",IF($U109&gt;0,$Q$10,$Q$9))))</f>
        <v/>
      </c>
      <c r="E109" s="40">
        <f>IF($T109=0,"",$S109-$R109)</f>
        <v/>
      </c>
      <c r="F109" s="40">
        <f>IF($T109=0,"",INT(ROUND(($S109-$R109)*$Q$12,6)+'計算（触らない）'!$B$4))</f>
        <v/>
      </c>
      <c r="G109" s="40">
        <f>IF($T109=0,"",$R109)</f>
        <v/>
      </c>
      <c r="H109" s="38">
        <f>IF($T109=0,"",TRIM(IF(AND($Q$5&lt;=2,96=$Q$6),"売却・除却（期末の帳簿価額を帳簿から外す）",IF(AND($U109&gt;0,$U108=0),"ここから改定償却率（改定取得価額 "&amp;TEXT($U109,"#,##0")&amp;"円）",IF($U109&gt;0,"改定償却","")))&amp;IF(AND($Q$5&lt;=2,$R109=$Q$11,$S109&gt;$Q$11,96&lt;&gt;$Q$6)," 償却終わり（帳簿価額 "&amp;$R109&amp;"円）","")&amp;IF(AND($Q$5=4,96=0),"少額特例で全額を経費","")))</f>
        <v/>
      </c>
      <c r="I109" s="68" t="n"/>
      <c r="J109" s="68" t="n"/>
      <c r="K109" s="68" t="n"/>
      <c r="L109" s="68" t="n"/>
      <c r="M109" s="68" t="n"/>
      <c r="N109" s="68" t="n"/>
      <c r="O109" s="68" t="n"/>
      <c r="P109" s="68" t="n"/>
      <c r="Q109" s="68" t="n"/>
      <c r="R109" s="68">
        <f>IF($Q$4=0,0,INDEX('計算（触らない）'!$AS$6:$EP$105,$Q$3,97))</f>
        <v/>
      </c>
      <c r="S109" s="68">
        <f>IF($Q$4=0,0,INDEX('計算（触らない）'!$AS$6:$EP$105,$Q$3,96))</f>
        <v/>
      </c>
      <c r="T109" s="68">
        <f>IF($Q$4=0,0,IF(96=0,1,IF(AND($Q$5&lt;=2,96&lt;=$Q$6,$S109&gt;$Q$11),1,IF(AND($Q$5=3,96&lt;=2),1,0))))</f>
        <v/>
      </c>
      <c r="U109" s="68">
        <f>IF($Q$4=0,0,INDEX('計算（触らない）'!$ER$6:$IN$105,$Q$3,96))</f>
        <v/>
      </c>
    </row>
    <row r="110" ht="17" customHeight="1">
      <c r="A110" s="37">
        <f>IF($T110=0,"",IF('計算（触らない）'!$B$1=1,($Q$13+97)&amp;"年度",($Q$13+97)&amp;"年"))</f>
        <v/>
      </c>
      <c r="B110" s="40">
        <f>IF($T110=0,"",$S110)</f>
        <v/>
      </c>
      <c r="C110" s="51">
        <f>IF($T110=0,"",IF($Q$5&gt;2,"―",IF(97=$Q$6,$Q$7,12)))</f>
        <v/>
      </c>
      <c r="D110" s="42">
        <f>IF($T110=0,"",IF($Q$5=3,"1/3",IF($Q$5=4,"―",IF($U110&gt;0,$Q$10,$Q$9))))</f>
        <v/>
      </c>
      <c r="E110" s="40">
        <f>IF($T110=0,"",$S110-$R110)</f>
        <v/>
      </c>
      <c r="F110" s="40">
        <f>IF($T110=0,"",INT(ROUND(($S110-$R110)*$Q$12,6)+'計算（触らない）'!$B$4))</f>
        <v/>
      </c>
      <c r="G110" s="40">
        <f>IF($T110=0,"",$R110)</f>
        <v/>
      </c>
      <c r="H110" s="38">
        <f>IF($T110=0,"",TRIM(IF(AND($Q$5&lt;=2,97=$Q$6),"売却・除却（期末の帳簿価額を帳簿から外す）",IF(AND($U110&gt;0,$U109=0),"ここから改定償却率（改定取得価額 "&amp;TEXT($U110,"#,##0")&amp;"円）",IF($U110&gt;0,"改定償却","")))&amp;IF(AND($Q$5&lt;=2,$R110=$Q$11,$S110&gt;$Q$11,97&lt;&gt;$Q$6)," 償却終わり（帳簿価額 "&amp;$R110&amp;"円）","")&amp;IF(AND($Q$5=4,97=0),"少額特例で全額を経費","")))</f>
        <v/>
      </c>
      <c r="I110" s="68" t="n"/>
      <c r="J110" s="68" t="n"/>
      <c r="K110" s="68" t="n"/>
      <c r="L110" s="68" t="n"/>
      <c r="M110" s="68" t="n"/>
      <c r="N110" s="68" t="n"/>
      <c r="O110" s="68" t="n"/>
      <c r="P110" s="68" t="n"/>
      <c r="Q110" s="68" t="n"/>
      <c r="R110" s="68">
        <f>IF($Q$4=0,0,INDEX('計算（触らない）'!$AS$6:$EP$105,$Q$3,98))</f>
        <v/>
      </c>
      <c r="S110" s="68">
        <f>IF($Q$4=0,0,INDEX('計算（触らない）'!$AS$6:$EP$105,$Q$3,97))</f>
        <v/>
      </c>
      <c r="T110" s="68">
        <f>IF($Q$4=0,0,IF(97=0,1,IF(AND($Q$5&lt;=2,97&lt;=$Q$6,$S110&gt;$Q$11),1,IF(AND($Q$5=3,97&lt;=2),1,0))))</f>
        <v/>
      </c>
      <c r="U110" s="68">
        <f>IF($Q$4=0,0,INDEX('計算（触らない）'!$ER$6:$IN$105,$Q$3,97))</f>
        <v/>
      </c>
    </row>
    <row r="111" ht="17" customHeight="1">
      <c r="A111" s="37">
        <f>IF($T111=0,"",IF('計算（触らない）'!$B$1=1,($Q$13+98)&amp;"年度",($Q$13+98)&amp;"年"))</f>
        <v/>
      </c>
      <c r="B111" s="40">
        <f>IF($T111=0,"",$S111)</f>
        <v/>
      </c>
      <c r="C111" s="51">
        <f>IF($T111=0,"",IF($Q$5&gt;2,"―",IF(98=$Q$6,$Q$7,12)))</f>
        <v/>
      </c>
      <c r="D111" s="42">
        <f>IF($T111=0,"",IF($Q$5=3,"1/3",IF($Q$5=4,"―",IF($U111&gt;0,$Q$10,$Q$9))))</f>
        <v/>
      </c>
      <c r="E111" s="40">
        <f>IF($T111=0,"",$S111-$R111)</f>
        <v/>
      </c>
      <c r="F111" s="40">
        <f>IF($T111=0,"",INT(ROUND(($S111-$R111)*$Q$12,6)+'計算（触らない）'!$B$4))</f>
        <v/>
      </c>
      <c r="G111" s="40">
        <f>IF($T111=0,"",$R111)</f>
        <v/>
      </c>
      <c r="H111" s="38">
        <f>IF($T111=0,"",TRIM(IF(AND($Q$5&lt;=2,98=$Q$6),"売却・除却（期末の帳簿価額を帳簿から外す）",IF(AND($U111&gt;0,$U110=0),"ここから改定償却率（改定取得価額 "&amp;TEXT($U111,"#,##0")&amp;"円）",IF($U111&gt;0,"改定償却","")))&amp;IF(AND($Q$5&lt;=2,$R111=$Q$11,$S111&gt;$Q$11,98&lt;&gt;$Q$6)," 償却終わり（帳簿価額 "&amp;$R111&amp;"円）","")&amp;IF(AND($Q$5=4,98=0),"少額特例で全額を経費","")))</f>
        <v/>
      </c>
      <c r="I111" s="68" t="n"/>
      <c r="J111" s="68" t="n"/>
      <c r="K111" s="68" t="n"/>
      <c r="L111" s="68" t="n"/>
      <c r="M111" s="68" t="n"/>
      <c r="N111" s="68" t="n"/>
      <c r="O111" s="68" t="n"/>
      <c r="P111" s="68" t="n"/>
      <c r="Q111" s="68" t="n"/>
      <c r="R111" s="68">
        <f>IF($Q$4=0,0,INDEX('計算（触らない）'!$AS$6:$EP$105,$Q$3,99))</f>
        <v/>
      </c>
      <c r="S111" s="68">
        <f>IF($Q$4=0,0,INDEX('計算（触らない）'!$AS$6:$EP$105,$Q$3,98))</f>
        <v/>
      </c>
      <c r="T111" s="68">
        <f>IF($Q$4=0,0,IF(98=0,1,IF(AND($Q$5&lt;=2,98&lt;=$Q$6,$S111&gt;$Q$11),1,IF(AND($Q$5=3,98&lt;=2),1,0))))</f>
        <v/>
      </c>
      <c r="U111" s="68">
        <f>IF($Q$4=0,0,INDEX('計算（触らない）'!$ER$6:$IN$105,$Q$3,98))</f>
        <v/>
      </c>
    </row>
    <row r="112" ht="17" customHeight="1">
      <c r="A112" s="37">
        <f>IF($T112=0,"",IF('計算（触らない）'!$B$1=1,($Q$13+99)&amp;"年度",($Q$13+99)&amp;"年"))</f>
        <v/>
      </c>
      <c r="B112" s="40">
        <f>IF($T112=0,"",$S112)</f>
        <v/>
      </c>
      <c r="C112" s="51">
        <f>IF($T112=0,"",IF($Q$5&gt;2,"―",IF(99=$Q$6,$Q$7,12)))</f>
        <v/>
      </c>
      <c r="D112" s="42">
        <f>IF($T112=0,"",IF($Q$5=3,"1/3",IF($Q$5=4,"―",IF($U112&gt;0,$Q$10,$Q$9))))</f>
        <v/>
      </c>
      <c r="E112" s="40">
        <f>IF($T112=0,"",$S112-$R112)</f>
        <v/>
      </c>
      <c r="F112" s="40">
        <f>IF($T112=0,"",INT(ROUND(($S112-$R112)*$Q$12,6)+'計算（触らない）'!$B$4))</f>
        <v/>
      </c>
      <c r="G112" s="40">
        <f>IF($T112=0,"",$R112)</f>
        <v/>
      </c>
      <c r="H112" s="38">
        <f>IF($T112=0,"",TRIM(IF(AND($Q$5&lt;=2,99=$Q$6),"売却・除却（期末の帳簿価額を帳簿から外す）",IF(AND($U112&gt;0,$U111=0),"ここから改定償却率（改定取得価額 "&amp;TEXT($U112,"#,##0")&amp;"円）",IF($U112&gt;0,"改定償却","")))&amp;IF(AND($Q$5&lt;=2,$R112=$Q$11,$S112&gt;$Q$11,99&lt;&gt;$Q$6)," 償却終わり（帳簿価額 "&amp;$R112&amp;"円）","")&amp;IF(AND($Q$5=4,99=0),"少額特例で全額を経費","")))</f>
        <v/>
      </c>
      <c r="I112" s="68" t="n"/>
      <c r="J112" s="68" t="n"/>
      <c r="K112" s="68" t="n"/>
      <c r="L112" s="68" t="n"/>
      <c r="M112" s="68" t="n"/>
      <c r="N112" s="68" t="n"/>
      <c r="O112" s="68" t="n"/>
      <c r="P112" s="68" t="n"/>
      <c r="Q112" s="68" t="n"/>
      <c r="R112" s="68">
        <f>IF($Q$4=0,0,INDEX('計算（触らない）'!$AS$6:$EP$105,$Q$3,100))</f>
        <v/>
      </c>
      <c r="S112" s="68">
        <f>IF($Q$4=0,0,INDEX('計算（触らない）'!$AS$6:$EP$105,$Q$3,99))</f>
        <v/>
      </c>
      <c r="T112" s="68">
        <f>IF($Q$4=0,0,IF(99=0,1,IF(AND($Q$5&lt;=2,99&lt;=$Q$6,$S112&gt;$Q$11),1,IF(AND($Q$5=3,99&lt;=2),1,0))))</f>
        <v/>
      </c>
      <c r="U112" s="68">
        <f>IF($Q$4=0,0,INDEX('計算（触らない）'!$ER$6:$IN$105,$Q$3,99))</f>
        <v/>
      </c>
    </row>
    <row r="113" ht="17" customHeight="1">
      <c r="A113" s="37">
        <f>IF($T113=0,"",IF('計算（触らない）'!$B$1=1,($Q$13+100)&amp;"年度",($Q$13+100)&amp;"年"))</f>
        <v/>
      </c>
      <c r="B113" s="40">
        <f>IF($T113=0,"",$S113)</f>
        <v/>
      </c>
      <c r="C113" s="51">
        <f>IF($T113=0,"",IF($Q$5&gt;2,"―",IF(100=$Q$6,$Q$7,12)))</f>
        <v/>
      </c>
      <c r="D113" s="42">
        <f>IF($T113=0,"",IF($Q$5=3,"1/3",IF($Q$5=4,"―",IF($U113&gt;0,$Q$10,$Q$9))))</f>
        <v/>
      </c>
      <c r="E113" s="40">
        <f>IF($T113=0,"",$S113-$R113)</f>
        <v/>
      </c>
      <c r="F113" s="40">
        <f>IF($T113=0,"",INT(ROUND(($S113-$R113)*$Q$12,6)+'計算（触らない）'!$B$4))</f>
        <v/>
      </c>
      <c r="G113" s="40">
        <f>IF($T113=0,"",$R113)</f>
        <v/>
      </c>
      <c r="H113" s="38">
        <f>IF($T113=0,"",TRIM(IF(AND($Q$5&lt;=2,100=$Q$6),"売却・除却（期末の帳簿価額を帳簿から外す）",IF(AND($U113&gt;0,$U112=0),"ここから改定償却率（改定取得価額 "&amp;TEXT($U113,"#,##0")&amp;"円）",IF($U113&gt;0,"改定償却","")))&amp;IF(AND($Q$5&lt;=2,$R113=$Q$11,$S113&gt;$Q$11,100&lt;&gt;$Q$6)," 償却終わり（帳簿価額 "&amp;$R113&amp;"円）","")&amp;IF(AND($Q$5=4,100=0),"少額特例で全額を経費","")))</f>
        <v/>
      </c>
      <c r="I113" s="68" t="n"/>
      <c r="J113" s="68" t="n"/>
      <c r="K113" s="68" t="n"/>
      <c r="L113" s="68" t="n"/>
      <c r="M113" s="68" t="n"/>
      <c r="N113" s="68" t="n"/>
      <c r="O113" s="68" t="n"/>
      <c r="P113" s="68" t="n"/>
      <c r="Q113" s="68" t="n"/>
      <c r="R113" s="68">
        <f>IF($Q$4=0,0,INDEX('計算（触らない）'!$AS$6:$EP$105,$Q$3,101))</f>
        <v/>
      </c>
      <c r="S113" s="68">
        <f>IF($Q$4=0,0,INDEX('計算（触らない）'!$AS$6:$EP$105,$Q$3,100))</f>
        <v/>
      </c>
      <c r="T113" s="68">
        <f>IF($Q$4=0,0,IF(100=0,1,IF(AND($Q$5&lt;=2,100&lt;=$Q$6,$S113&gt;$Q$11),1,IF(AND($Q$5=3,100&lt;=2),1,0))))</f>
        <v/>
      </c>
      <c r="U113" s="68">
        <f>IF($Q$4=0,0,INDEX('計算（触らない）'!$ER$6:$IN$105,$Q$3,100))</f>
        <v/>
      </c>
    </row>
    <row r="114" ht="17" customHeight="1">
      <c r="A114" s="37">
        <f>IF($T114=0,"",IF('計算（触らない）'!$B$1=1,($Q$13+101)&amp;"年度",($Q$13+101)&amp;"年"))</f>
        <v/>
      </c>
      <c r="B114" s="40">
        <f>IF($T114=0,"",$S114)</f>
        <v/>
      </c>
      <c r="C114" s="51">
        <f>IF($T114=0,"",IF($Q$5&gt;2,"―",IF(101=$Q$6,$Q$7,12)))</f>
        <v/>
      </c>
      <c r="D114" s="42">
        <f>IF($T114=0,"",IF($Q$5=3,"1/3",IF($Q$5=4,"―",IF($U114&gt;0,$Q$10,$Q$9))))</f>
        <v/>
      </c>
      <c r="E114" s="40">
        <f>IF($T114=0,"",$S114-$R114)</f>
        <v/>
      </c>
      <c r="F114" s="40">
        <f>IF($T114=0,"",INT(ROUND(($S114-$R114)*$Q$12,6)+'計算（触らない）'!$B$4))</f>
        <v/>
      </c>
      <c r="G114" s="40">
        <f>IF($T114=0,"",$R114)</f>
        <v/>
      </c>
      <c r="H114" s="38">
        <f>IF($T114=0,"",TRIM(IF(AND($Q$5&lt;=2,101=$Q$6),"売却・除却（期末の帳簿価額を帳簿から外す）",IF(AND($U114&gt;0,$U113=0),"ここから改定償却率（改定取得価額 "&amp;TEXT($U114,"#,##0")&amp;"円）",IF($U114&gt;0,"改定償却","")))&amp;IF(AND($Q$5&lt;=2,$R114=$Q$11,$S114&gt;$Q$11,101&lt;&gt;$Q$6)," 償却終わり（帳簿価額 "&amp;$R114&amp;"円）","")&amp;IF(AND($Q$5=4,101=0),"少額特例で全額を経費","")))</f>
        <v/>
      </c>
      <c r="I114" s="68" t="n"/>
      <c r="J114" s="68" t="n"/>
      <c r="K114" s="68" t="n"/>
      <c r="L114" s="68" t="n"/>
      <c r="M114" s="68" t="n"/>
      <c r="N114" s="68" t="n"/>
      <c r="O114" s="68" t="n"/>
      <c r="P114" s="68" t="n"/>
      <c r="Q114" s="68" t="n"/>
      <c r="R114" s="68">
        <f>IF($Q$4=0,0,INDEX('計算（触らない）'!$AS$6:$EP$105,$Q$3,102))</f>
        <v/>
      </c>
      <c r="S114" s="68">
        <f>IF($Q$4=0,0,INDEX('計算（触らない）'!$AS$6:$EP$105,$Q$3,101))</f>
        <v/>
      </c>
      <c r="T114" s="68">
        <f>IF($Q$4=0,0,IF(101=0,1,IF(AND($Q$5&lt;=2,101&lt;=$Q$6,$S114&gt;$Q$11),1,IF(AND($Q$5=3,101&lt;=2),1,0))))</f>
        <v/>
      </c>
      <c r="U114" s="68">
        <f>IF($Q$4=0,0,INDEX('計算（触らない）'!$ER$6:$IN$105,$Q$3,101))</f>
        <v/>
      </c>
    </row>
  </sheetData>
  <mergeCells count="20">
    <mergeCell ref="D10:E10"/>
    <mergeCell ref="B7:C7"/>
    <mergeCell ref="F5:H5"/>
    <mergeCell ref="F8:H8"/>
    <mergeCell ref="A1:H1"/>
    <mergeCell ref="D6:E6"/>
    <mergeCell ref="F9:H9"/>
    <mergeCell ref="B8:C8"/>
    <mergeCell ref="D7:E7"/>
    <mergeCell ref="B10:C10"/>
    <mergeCell ref="C3:H3"/>
    <mergeCell ref="B9:C9"/>
    <mergeCell ref="D9:E9"/>
    <mergeCell ref="D8:E8"/>
    <mergeCell ref="B6:C6"/>
    <mergeCell ref="F10:H10"/>
    <mergeCell ref="F6:H6"/>
    <mergeCell ref="B5:C5"/>
    <mergeCell ref="D5:E5"/>
    <mergeCell ref="F7:H7"/>
  </mergeCells>
  <conditionalFormatting sqref="A13:H114">
    <cfRule type="expression" priority="1" dxfId="1">
      <formula>AND($T13=1,$Q$13+ROW()-13=$Q$17)</formula>
    </cfRule>
  </conditionalFormatting>
  <dataValidations count="1">
    <dataValidation sqref="B3" showDropDown="0" showInputMessage="0" showErrorMessage="0" allowBlank="1" errorTitle="入力を確かめてください" error="固定資産台帳の番号（1〜100）を入れます。" type="whole" operator="between">
      <formula1>1</formula1>
      <formula2>100</formula2>
    </dataValidation>
  </dataValidations>
  <printOptions horizontalCentered="1"/>
  <pageMargins left="0.4" right="0.4" top="0.45" bottom="0.45" header="0.2" footer="0.2"/>
  <pageSetup orientation="portrait" paperSize="9" fitToHeight="0" fitToWidth="1"/>
</worksheet>
</file>

<file path=xl/worksheets/sheet6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X105"/>
  <sheetViews>
    <sheetView showGridLines="0" tabSelected="0" workbookViewId="0">
      <pane xSplit="3" ySplit="5" topLeftCell="D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12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2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  <col width="10.5" customWidth="1" min="21" max="21"/>
    <col width="10.5" customWidth="1" min="22" max="22"/>
    <col width="10.5" customWidth="1" min="23" max="23"/>
    <col width="10.5" customWidth="1" min="24" max="24"/>
  </cols>
  <sheetData>
    <row r="1" ht="26" customHeight="1">
      <c r="A1" s="67" t="inlineStr">
        <is>
          <t>年別の償却費（表示する年から10年分・経費にする額）</t>
        </is>
      </c>
      <c r="B1" s="68" t="n"/>
      <c r="C1" s="68" t="n"/>
      <c r="D1" s="68" t="n"/>
      <c r="E1" s="68" t="n"/>
      <c r="F1" s="68" t="n"/>
      <c r="G1" s="68" t="n"/>
      <c r="H1" s="68" t="n"/>
      <c r="I1" s="68" t="n"/>
      <c r="J1" s="68" t="n"/>
      <c r="K1" s="68" t="n"/>
      <c r="L1" s="68" t="n"/>
      <c r="M1" s="68" t="n"/>
      <c r="N1" s="68" t="n"/>
      <c r="O1" s="73" t="inlineStr">
        <is>
          <t>期末の帳簿価額</t>
        </is>
      </c>
      <c r="P1" s="68" t="n"/>
      <c r="Q1" s="68" t="n"/>
      <c r="R1" s="68" t="n"/>
      <c r="S1" s="68" t="n"/>
      <c r="T1" s="68" t="n"/>
      <c r="U1" s="68" t="n"/>
      <c r="V1" s="68" t="n"/>
      <c r="W1" s="68" t="n"/>
      <c r="X1" s="68" t="n"/>
    </row>
    <row r="2" ht="30" customHeight="1">
      <c r="A2" s="72" t="inlineStr">
        <is>
          <t>台帳の資産について、表示する年から10年分の「経費にする額」（事業専用割合をかけた額）を並べます。来年以降は、今の台帳のまま新しい資産を買わなかったときの見込みです。各年の期末の帳簿価額は、右側（O列から）の表にあります。</t>
        </is>
      </c>
      <c r="B2" s="68" t="n"/>
      <c r="C2" s="68" t="n"/>
      <c r="D2" s="68" t="n"/>
      <c r="E2" s="68" t="n"/>
      <c r="F2" s="68" t="n"/>
      <c r="G2" s="68" t="n"/>
      <c r="H2" s="68" t="n"/>
      <c r="I2" s="68" t="n"/>
      <c r="J2" s="68" t="n"/>
      <c r="K2" s="68" t="n"/>
      <c r="L2" s="68" t="n"/>
      <c r="M2" s="68" t="n"/>
      <c r="N2" s="68" t="n"/>
      <c r="O2" s="68" t="n"/>
      <c r="P2" s="68" t="n"/>
      <c r="Q2" s="68" t="n"/>
      <c r="R2" s="68" t="n"/>
      <c r="S2" s="68" t="n"/>
      <c r="T2" s="68" t="n"/>
      <c r="U2" s="68" t="n"/>
      <c r="V2" s="68" t="n"/>
      <c r="W2" s="68" t="n"/>
      <c r="X2" s="68" t="n"/>
    </row>
    <row r="3">
      <c r="A3" s="68" t="n"/>
      <c r="B3" s="68" t="n"/>
      <c r="C3" s="68" t="n"/>
      <c r="D3" s="68" t="n"/>
      <c r="E3" s="68" t="n"/>
      <c r="F3" s="68" t="n"/>
      <c r="G3" s="68" t="n"/>
      <c r="H3" s="68" t="n"/>
      <c r="I3" s="68" t="n"/>
      <c r="J3" s="68" t="n"/>
      <c r="K3" s="68" t="n"/>
      <c r="L3" s="68" t="n"/>
      <c r="M3" s="68" t="n"/>
      <c r="N3" s="68" t="n"/>
      <c r="O3" s="68" t="n"/>
      <c r="P3" s="68" t="n"/>
      <c r="Q3" s="68" t="n"/>
      <c r="R3" s="68" t="n"/>
      <c r="S3" s="68" t="n"/>
      <c r="T3" s="68" t="n"/>
      <c r="U3" s="68" t="n"/>
      <c r="V3" s="68" t="n"/>
      <c r="W3" s="68" t="n"/>
      <c r="X3" s="68" t="n"/>
    </row>
    <row r="4" ht="22" customHeight="1">
      <c r="A4" s="20" t="inlineStr">
        <is>
          <t>番号</t>
        </is>
      </c>
      <c r="B4" s="20" t="inlineStr">
        <is>
          <t>資産の名称</t>
        </is>
      </c>
      <c r="C4" s="20" t="inlineStr">
        <is>
          <t>償却方法</t>
        </is>
      </c>
      <c r="D4" s="20">
        <f>IF('計算（触らない）'!$B$3=0,"",IF('計算（触らない）'!$B$1=1,('計算（触らない）'!$B$3+0)&amp;"年度",('計算（触らない）'!$B$3+0)&amp;"年"))</f>
        <v/>
      </c>
      <c r="E4" s="20">
        <f>IF('計算（触らない）'!$B$3=0,"",IF('計算（触らない）'!$B$1=1,('計算（触らない）'!$B$3+1)&amp;"年度",('計算（触らない）'!$B$3+1)&amp;"年"))</f>
        <v/>
      </c>
      <c r="F4" s="20">
        <f>IF('計算（触らない）'!$B$3=0,"",IF('計算（触らない）'!$B$1=1,('計算（触らない）'!$B$3+2)&amp;"年度",('計算（触らない）'!$B$3+2)&amp;"年"))</f>
        <v/>
      </c>
      <c r="G4" s="20">
        <f>IF('計算（触らない）'!$B$3=0,"",IF('計算（触らない）'!$B$1=1,('計算（触らない）'!$B$3+3)&amp;"年度",('計算（触らない）'!$B$3+3)&amp;"年"))</f>
        <v/>
      </c>
      <c r="H4" s="20">
        <f>IF('計算（触らない）'!$B$3=0,"",IF('計算（触らない）'!$B$1=1,('計算（触らない）'!$B$3+4)&amp;"年度",('計算（触らない）'!$B$3+4)&amp;"年"))</f>
        <v/>
      </c>
      <c r="I4" s="20">
        <f>IF('計算（触らない）'!$B$3=0,"",IF('計算（触らない）'!$B$1=1,('計算（触らない）'!$B$3+5)&amp;"年度",('計算（触らない）'!$B$3+5)&amp;"年"))</f>
        <v/>
      </c>
      <c r="J4" s="20">
        <f>IF('計算（触らない）'!$B$3=0,"",IF('計算（触らない）'!$B$1=1,('計算（触らない）'!$B$3+6)&amp;"年度",('計算（触らない）'!$B$3+6)&amp;"年"))</f>
        <v/>
      </c>
      <c r="K4" s="20">
        <f>IF('計算（触らない）'!$B$3=0,"",IF('計算（触らない）'!$B$1=1,('計算（触らない）'!$B$3+7)&amp;"年度",('計算（触らない）'!$B$3+7)&amp;"年"))</f>
        <v/>
      </c>
      <c r="L4" s="20">
        <f>IF('計算（触らない）'!$B$3=0,"",IF('計算（触らない）'!$B$1=1,('計算（触らない）'!$B$3+8)&amp;"年度",('計算（触らない）'!$B$3+8)&amp;"年"))</f>
        <v/>
      </c>
      <c r="M4" s="20">
        <f>IF('計算（触らない）'!$B$3=0,"",IF('計算（触らない）'!$B$1=1,('計算（触らない）'!$B$3+9)&amp;"年度",('計算（触らない）'!$B$3+9)&amp;"年"))</f>
        <v/>
      </c>
      <c r="N4" s="68" t="n"/>
      <c r="O4" s="18">
        <f>IF('計算（触らない）'!$B$3=0,"",IF('計算（触らない）'!$B$1=1,('計算（触らない）'!$B$3+0)&amp;"年度",('計算（触らない）'!$B$3+0)&amp;"年"))</f>
        <v/>
      </c>
      <c r="P4" s="18">
        <f>IF('計算（触らない）'!$B$3=0,"",IF('計算（触らない）'!$B$1=1,('計算（触らない）'!$B$3+1)&amp;"年度",('計算（触らない）'!$B$3+1)&amp;"年"))</f>
        <v/>
      </c>
      <c r="Q4" s="18">
        <f>IF('計算（触らない）'!$B$3=0,"",IF('計算（触らない）'!$B$1=1,('計算（触らない）'!$B$3+2)&amp;"年度",('計算（触らない）'!$B$3+2)&amp;"年"))</f>
        <v/>
      </c>
      <c r="R4" s="18">
        <f>IF('計算（触らない）'!$B$3=0,"",IF('計算（触らない）'!$B$1=1,('計算（触らない）'!$B$3+3)&amp;"年度",('計算（触らない）'!$B$3+3)&amp;"年"))</f>
        <v/>
      </c>
      <c r="S4" s="18">
        <f>IF('計算（触らない）'!$B$3=0,"",IF('計算（触らない）'!$B$1=1,('計算（触らない）'!$B$3+4)&amp;"年度",('計算（触らない）'!$B$3+4)&amp;"年"))</f>
        <v/>
      </c>
      <c r="T4" s="18">
        <f>IF('計算（触らない）'!$B$3=0,"",IF('計算（触らない）'!$B$1=1,('計算（触らない）'!$B$3+5)&amp;"年度",('計算（触らない）'!$B$3+5)&amp;"年"))</f>
        <v/>
      </c>
      <c r="U4" s="18">
        <f>IF('計算（触らない）'!$B$3=0,"",IF('計算（触らない）'!$B$1=1,('計算（触らない）'!$B$3+6)&amp;"年度",('計算（触らない）'!$B$3+6)&amp;"年"))</f>
        <v/>
      </c>
      <c r="V4" s="18">
        <f>IF('計算（触らない）'!$B$3=0,"",IF('計算（触らない）'!$B$1=1,('計算（触らない）'!$B$3+7)&amp;"年度",('計算（触らない）'!$B$3+7)&amp;"年"))</f>
        <v/>
      </c>
      <c r="W4" s="18">
        <f>IF('計算（触らない）'!$B$3=0,"",IF('計算（触らない）'!$B$1=1,('計算（触らない）'!$B$3+8)&amp;"年度",('計算（触らない）'!$B$3+8)&amp;"年"))</f>
        <v/>
      </c>
      <c r="X4" s="18">
        <f>IF('計算（触らない）'!$B$3=0,"",IF('計算（触らない）'!$B$1=1,('計算（触らない）'!$B$3+9)&amp;"年度",('計算（触らない）'!$B$3+9)&amp;"年"))</f>
        <v/>
      </c>
    </row>
    <row r="5">
      <c r="A5" s="79" t="inlineStr">
        <is>
          <t>合計</t>
        </is>
      </c>
      <c r="B5" s="77" t="n"/>
      <c r="C5" s="74" t="n"/>
      <c r="D5" s="15">
        <f>SUM(D6:D105)</f>
        <v/>
      </c>
      <c r="E5" s="15">
        <f>SUM(E6:E105)</f>
        <v/>
      </c>
      <c r="F5" s="15">
        <f>SUM(F6:F105)</f>
        <v/>
      </c>
      <c r="G5" s="15">
        <f>SUM(G6:G105)</f>
        <v/>
      </c>
      <c r="H5" s="15">
        <f>SUM(H6:H105)</f>
        <v/>
      </c>
      <c r="I5" s="15">
        <f>SUM(I6:I105)</f>
        <v/>
      </c>
      <c r="J5" s="15">
        <f>SUM(J6:J105)</f>
        <v/>
      </c>
      <c r="K5" s="15">
        <f>SUM(K6:K105)</f>
        <v/>
      </c>
      <c r="L5" s="15">
        <f>SUM(L6:L105)</f>
        <v/>
      </c>
      <c r="M5" s="15">
        <f>SUM(M6:M105)</f>
        <v/>
      </c>
      <c r="N5" s="68" t="n"/>
      <c r="O5" s="15">
        <f>SUM(O6:O105)</f>
        <v/>
      </c>
      <c r="P5" s="15">
        <f>SUM(P6:P105)</f>
        <v/>
      </c>
      <c r="Q5" s="15">
        <f>SUM(Q6:Q105)</f>
        <v/>
      </c>
      <c r="R5" s="15">
        <f>SUM(R6:R105)</f>
        <v/>
      </c>
      <c r="S5" s="15">
        <f>SUM(S6:S105)</f>
        <v/>
      </c>
      <c r="T5" s="15">
        <f>SUM(T6:T105)</f>
        <v/>
      </c>
      <c r="U5" s="15">
        <f>SUM(U6:U105)</f>
        <v/>
      </c>
      <c r="V5" s="15">
        <f>SUM(V6:V105)</f>
        <v/>
      </c>
      <c r="W5" s="15">
        <f>SUM(W6:W105)</f>
        <v/>
      </c>
      <c r="X5" s="15">
        <f>SUM(X6:X105)</f>
        <v/>
      </c>
    </row>
    <row r="6" ht="17" customHeight="1">
      <c r="A6" s="21" t="n">
        <v>1</v>
      </c>
      <c r="B6" s="38">
        <f>IF('計算（触らない）'!$B6=0,"",'固定資産台帳'!$B6&amp;"")</f>
        <v/>
      </c>
      <c r="C6" s="38">
        <f>IF('計算（触らない）'!$B6=0,"",'固定資産台帳'!$H6&amp;"")</f>
        <v/>
      </c>
      <c r="D6" s="52">
        <f>IF('計算（触らない）'!$U6=0,"",IF(('計算（触らない）'!$V6+0)&lt;0,"",INT(ROUND((IF(('計算（触らない）'!$V6+0)=0,'計算（触らない）'!$C6,INDEX('計算（触らない）'!$AS6:$EP6,MIN(('計算（触らない）'!$V6+0),102)))-INDEX('計算（触らない）'!$AS6:$EP6,MIN(('計算（触らない）'!$V6+0),101)+1))*'計算（触らない）'!$N6,6)+'計算（触らない）'!$B$4)))</f>
        <v/>
      </c>
      <c r="E6" s="52">
        <f>IF('計算（触らない）'!$U6=0,"",IF(('計算（触らない）'!$V6+1)&lt;0,"",INT(ROUND((IF(('計算（触らない）'!$V6+1)=0,'計算（触らない）'!$C6,INDEX('計算（触らない）'!$AS6:$EP6,MIN(('計算（触らない）'!$V6+1),102)))-INDEX('計算（触らない）'!$AS6:$EP6,MIN(('計算（触らない）'!$V6+1),101)+1))*'計算（触らない）'!$N6,6)+'計算（触らない）'!$B$4)))</f>
        <v/>
      </c>
      <c r="F6" s="52">
        <f>IF('計算（触らない）'!$U6=0,"",IF(('計算（触らない）'!$V6+2)&lt;0,"",INT(ROUND((IF(('計算（触らない）'!$V6+2)=0,'計算（触らない）'!$C6,INDEX('計算（触らない）'!$AS6:$EP6,MIN(('計算（触らない）'!$V6+2),102)))-INDEX('計算（触らない）'!$AS6:$EP6,MIN(('計算（触らない）'!$V6+2),101)+1))*'計算（触らない）'!$N6,6)+'計算（触らない）'!$B$4)))</f>
        <v/>
      </c>
      <c r="G6" s="52">
        <f>IF('計算（触らない）'!$U6=0,"",IF(('計算（触らない）'!$V6+3)&lt;0,"",INT(ROUND((IF(('計算（触らない）'!$V6+3)=0,'計算（触らない）'!$C6,INDEX('計算（触らない）'!$AS6:$EP6,MIN(('計算（触らない）'!$V6+3),102)))-INDEX('計算（触らない）'!$AS6:$EP6,MIN(('計算（触らない）'!$V6+3),101)+1))*'計算（触らない）'!$N6,6)+'計算（触らない）'!$B$4)))</f>
        <v/>
      </c>
      <c r="H6" s="52">
        <f>IF('計算（触らない）'!$U6=0,"",IF(('計算（触らない）'!$V6+4)&lt;0,"",INT(ROUND((IF(('計算（触らない）'!$V6+4)=0,'計算（触らない）'!$C6,INDEX('計算（触らない）'!$AS6:$EP6,MIN(('計算（触らない）'!$V6+4),102)))-INDEX('計算（触らない）'!$AS6:$EP6,MIN(('計算（触らない）'!$V6+4),101)+1))*'計算（触らない）'!$N6,6)+'計算（触らない）'!$B$4)))</f>
        <v/>
      </c>
      <c r="I6" s="52">
        <f>IF('計算（触らない）'!$U6=0,"",IF(('計算（触らない）'!$V6+5)&lt;0,"",INT(ROUND((IF(('計算（触らない）'!$V6+5)=0,'計算（触らない）'!$C6,INDEX('計算（触らない）'!$AS6:$EP6,MIN(('計算（触らない）'!$V6+5),102)))-INDEX('計算（触らない）'!$AS6:$EP6,MIN(('計算（触らない）'!$V6+5),101)+1))*'計算（触らない）'!$N6,6)+'計算（触らない）'!$B$4)))</f>
        <v/>
      </c>
      <c r="J6" s="52">
        <f>IF('計算（触らない）'!$U6=0,"",IF(('計算（触らない）'!$V6+6)&lt;0,"",INT(ROUND((IF(('計算（触らない）'!$V6+6)=0,'計算（触らない）'!$C6,INDEX('計算（触らない）'!$AS6:$EP6,MIN(('計算（触らない）'!$V6+6),102)))-INDEX('計算（触らない）'!$AS6:$EP6,MIN(('計算（触らない）'!$V6+6),101)+1))*'計算（触らない）'!$N6,6)+'計算（触らない）'!$B$4)))</f>
        <v/>
      </c>
      <c r="K6" s="52">
        <f>IF('計算（触らない）'!$U6=0,"",IF(('計算（触らない）'!$V6+7)&lt;0,"",INT(ROUND((IF(('計算（触らない）'!$V6+7)=0,'計算（触らない）'!$C6,INDEX('計算（触らない）'!$AS6:$EP6,MIN(('計算（触らない）'!$V6+7),102)))-INDEX('計算（触らない）'!$AS6:$EP6,MIN(('計算（触らない）'!$V6+7),101)+1))*'計算（触らない）'!$N6,6)+'計算（触らない）'!$B$4)))</f>
        <v/>
      </c>
      <c r="L6" s="52">
        <f>IF('計算（触らない）'!$U6=0,"",IF(('計算（触らない）'!$V6+8)&lt;0,"",INT(ROUND((IF(('計算（触らない）'!$V6+8)=0,'計算（触らない）'!$C6,INDEX('計算（触らない）'!$AS6:$EP6,MIN(('計算（触らない）'!$V6+8),102)))-INDEX('計算（触らない）'!$AS6:$EP6,MIN(('計算（触らない）'!$V6+8),101)+1))*'計算（触らない）'!$N6,6)+'計算（触らない）'!$B$4)))</f>
        <v/>
      </c>
      <c r="M6" s="52">
        <f>IF('計算（触らない）'!$U6=0,"",IF(('計算（触らない）'!$V6+9)&lt;0,"",INT(ROUND((IF(('計算（触らない）'!$V6+9)=0,'計算（触らない）'!$C6,INDEX('計算（触らない）'!$AS6:$EP6,MIN(('計算（触らない）'!$V6+9),102)))-INDEX('計算（触らない）'!$AS6:$EP6,MIN(('計算（触らない）'!$V6+9),101)+1))*'計算（触らない）'!$N6,6)+'計算（触らない）'!$B$4)))</f>
        <v/>
      </c>
      <c r="N6" s="68" t="n"/>
      <c r="O6" s="52">
        <f>IF('計算（触らない）'!$U6=0,"",IF(('計算（触らない）'!$V6+0)&lt;0,"",IF(AND('計算（触らない）'!$F6&lt;=2,('計算（触らない）'!$V6+0)&gt;'計算（触らない）'!$R6),0,INDEX('計算（触らない）'!$AS6:$EP6,MIN(('計算（触らない）'!$V6+0),101)+1))))</f>
        <v/>
      </c>
      <c r="P6" s="52">
        <f>IF('計算（触らない）'!$U6=0,"",IF(('計算（触らない）'!$V6+1)&lt;0,"",IF(AND('計算（触らない）'!$F6&lt;=2,('計算（触らない）'!$V6+1)&gt;'計算（触らない）'!$R6),0,INDEX('計算（触らない）'!$AS6:$EP6,MIN(('計算（触らない）'!$V6+1),101)+1))))</f>
        <v/>
      </c>
      <c r="Q6" s="52">
        <f>IF('計算（触らない）'!$U6=0,"",IF(('計算（触らない）'!$V6+2)&lt;0,"",IF(AND('計算（触らない）'!$F6&lt;=2,('計算（触らない）'!$V6+2)&gt;'計算（触らない）'!$R6),0,INDEX('計算（触らない）'!$AS6:$EP6,MIN(('計算（触らない）'!$V6+2),101)+1))))</f>
        <v/>
      </c>
      <c r="R6" s="52">
        <f>IF('計算（触らない）'!$U6=0,"",IF(('計算（触らない）'!$V6+3)&lt;0,"",IF(AND('計算（触らない）'!$F6&lt;=2,('計算（触らない）'!$V6+3)&gt;'計算（触らない）'!$R6),0,INDEX('計算（触らない）'!$AS6:$EP6,MIN(('計算（触らない）'!$V6+3),101)+1))))</f>
        <v/>
      </c>
      <c r="S6" s="52">
        <f>IF('計算（触らない）'!$U6=0,"",IF(('計算（触らない）'!$V6+4)&lt;0,"",IF(AND('計算（触らない）'!$F6&lt;=2,('計算（触らない）'!$V6+4)&gt;'計算（触らない）'!$R6),0,INDEX('計算（触らない）'!$AS6:$EP6,MIN(('計算（触らない）'!$V6+4),101)+1))))</f>
        <v/>
      </c>
      <c r="T6" s="52">
        <f>IF('計算（触らない）'!$U6=0,"",IF(('計算（触らない）'!$V6+5)&lt;0,"",IF(AND('計算（触らない）'!$F6&lt;=2,('計算（触らない）'!$V6+5)&gt;'計算（触らない）'!$R6),0,INDEX('計算（触らない）'!$AS6:$EP6,MIN(('計算（触らない）'!$V6+5),101)+1))))</f>
        <v/>
      </c>
      <c r="U6" s="52">
        <f>IF('計算（触らない）'!$U6=0,"",IF(('計算（触らない）'!$V6+6)&lt;0,"",IF(AND('計算（触らない）'!$F6&lt;=2,('計算（触らない）'!$V6+6)&gt;'計算（触らない）'!$R6),0,INDEX('計算（触らない）'!$AS6:$EP6,MIN(('計算（触らない）'!$V6+6),101)+1))))</f>
        <v/>
      </c>
      <c r="V6" s="52">
        <f>IF('計算（触らない）'!$U6=0,"",IF(('計算（触らない）'!$V6+7)&lt;0,"",IF(AND('計算（触らない）'!$F6&lt;=2,('計算（触らない）'!$V6+7)&gt;'計算（触らない）'!$R6),0,INDEX('計算（触らない）'!$AS6:$EP6,MIN(('計算（触らない）'!$V6+7),101)+1))))</f>
        <v/>
      </c>
      <c r="W6" s="52">
        <f>IF('計算（触らない）'!$U6=0,"",IF(('計算（触らない）'!$V6+8)&lt;0,"",IF(AND('計算（触らない）'!$F6&lt;=2,('計算（触らない）'!$V6+8)&gt;'計算（触らない）'!$R6),0,INDEX('計算（触らない）'!$AS6:$EP6,MIN(('計算（触らない）'!$V6+8),101)+1))))</f>
        <v/>
      </c>
      <c r="X6" s="52">
        <f>IF('計算（触らない）'!$U6=0,"",IF(('計算（触らない）'!$V6+9)&lt;0,"",IF(AND('計算（触らない）'!$F6&lt;=2,('計算（触らない）'!$V6+9)&gt;'計算（触らない）'!$R6),0,INDEX('計算（触らない）'!$AS6:$EP6,MIN(('計算（触らない）'!$V6+9),101)+1))))</f>
        <v/>
      </c>
    </row>
    <row r="7" ht="17" customHeight="1">
      <c r="A7" s="21" t="n">
        <v>2</v>
      </c>
      <c r="B7" s="38">
        <f>IF('計算（触らない）'!$B7=0,"",'固定資産台帳'!$B7&amp;"")</f>
        <v/>
      </c>
      <c r="C7" s="38">
        <f>IF('計算（触らない）'!$B7=0,"",'固定資産台帳'!$H7&amp;"")</f>
        <v/>
      </c>
      <c r="D7" s="52">
        <f>IF('計算（触らない）'!$U7=0,"",IF(('計算（触らない）'!$V7+0)&lt;0,"",INT(ROUND((IF(('計算（触らない）'!$V7+0)=0,'計算（触らない）'!$C7,INDEX('計算（触らない）'!$AS7:$EP7,MIN(('計算（触らない）'!$V7+0),102)))-INDEX('計算（触らない）'!$AS7:$EP7,MIN(('計算（触らない）'!$V7+0),101)+1))*'計算（触らない）'!$N7,6)+'計算（触らない）'!$B$4)))</f>
        <v/>
      </c>
      <c r="E7" s="52">
        <f>IF('計算（触らない）'!$U7=0,"",IF(('計算（触らない）'!$V7+1)&lt;0,"",INT(ROUND((IF(('計算（触らない）'!$V7+1)=0,'計算（触らない）'!$C7,INDEX('計算（触らない）'!$AS7:$EP7,MIN(('計算（触らない）'!$V7+1),102)))-INDEX('計算（触らない）'!$AS7:$EP7,MIN(('計算（触らない）'!$V7+1),101)+1))*'計算（触らない）'!$N7,6)+'計算（触らない）'!$B$4)))</f>
        <v/>
      </c>
      <c r="F7" s="52">
        <f>IF('計算（触らない）'!$U7=0,"",IF(('計算（触らない）'!$V7+2)&lt;0,"",INT(ROUND((IF(('計算（触らない）'!$V7+2)=0,'計算（触らない）'!$C7,INDEX('計算（触らない）'!$AS7:$EP7,MIN(('計算（触らない）'!$V7+2),102)))-INDEX('計算（触らない）'!$AS7:$EP7,MIN(('計算（触らない）'!$V7+2),101)+1))*'計算（触らない）'!$N7,6)+'計算（触らない）'!$B$4)))</f>
        <v/>
      </c>
      <c r="G7" s="52">
        <f>IF('計算（触らない）'!$U7=0,"",IF(('計算（触らない）'!$V7+3)&lt;0,"",INT(ROUND((IF(('計算（触らない）'!$V7+3)=0,'計算（触らない）'!$C7,INDEX('計算（触らない）'!$AS7:$EP7,MIN(('計算（触らない）'!$V7+3),102)))-INDEX('計算（触らない）'!$AS7:$EP7,MIN(('計算（触らない）'!$V7+3),101)+1))*'計算（触らない）'!$N7,6)+'計算（触らない）'!$B$4)))</f>
        <v/>
      </c>
      <c r="H7" s="52">
        <f>IF('計算（触らない）'!$U7=0,"",IF(('計算（触らない）'!$V7+4)&lt;0,"",INT(ROUND((IF(('計算（触らない）'!$V7+4)=0,'計算（触らない）'!$C7,INDEX('計算（触らない）'!$AS7:$EP7,MIN(('計算（触らない）'!$V7+4),102)))-INDEX('計算（触らない）'!$AS7:$EP7,MIN(('計算（触らない）'!$V7+4),101)+1))*'計算（触らない）'!$N7,6)+'計算（触らない）'!$B$4)))</f>
        <v/>
      </c>
      <c r="I7" s="52">
        <f>IF('計算（触らない）'!$U7=0,"",IF(('計算（触らない）'!$V7+5)&lt;0,"",INT(ROUND((IF(('計算（触らない）'!$V7+5)=0,'計算（触らない）'!$C7,INDEX('計算（触らない）'!$AS7:$EP7,MIN(('計算（触らない）'!$V7+5),102)))-INDEX('計算（触らない）'!$AS7:$EP7,MIN(('計算（触らない）'!$V7+5),101)+1))*'計算（触らない）'!$N7,6)+'計算（触らない）'!$B$4)))</f>
        <v/>
      </c>
      <c r="J7" s="52">
        <f>IF('計算（触らない）'!$U7=0,"",IF(('計算（触らない）'!$V7+6)&lt;0,"",INT(ROUND((IF(('計算（触らない）'!$V7+6)=0,'計算（触らない）'!$C7,INDEX('計算（触らない）'!$AS7:$EP7,MIN(('計算（触らない）'!$V7+6),102)))-INDEX('計算（触らない）'!$AS7:$EP7,MIN(('計算（触らない）'!$V7+6),101)+1))*'計算（触らない）'!$N7,6)+'計算（触らない）'!$B$4)))</f>
        <v/>
      </c>
      <c r="K7" s="52">
        <f>IF('計算（触らない）'!$U7=0,"",IF(('計算（触らない）'!$V7+7)&lt;0,"",INT(ROUND((IF(('計算（触らない）'!$V7+7)=0,'計算（触らない）'!$C7,INDEX('計算（触らない）'!$AS7:$EP7,MIN(('計算（触らない）'!$V7+7),102)))-INDEX('計算（触らない）'!$AS7:$EP7,MIN(('計算（触らない）'!$V7+7),101)+1))*'計算（触らない）'!$N7,6)+'計算（触らない）'!$B$4)))</f>
        <v/>
      </c>
      <c r="L7" s="52">
        <f>IF('計算（触らない）'!$U7=0,"",IF(('計算（触らない）'!$V7+8)&lt;0,"",INT(ROUND((IF(('計算（触らない）'!$V7+8)=0,'計算（触らない）'!$C7,INDEX('計算（触らない）'!$AS7:$EP7,MIN(('計算（触らない）'!$V7+8),102)))-INDEX('計算（触らない）'!$AS7:$EP7,MIN(('計算（触らない）'!$V7+8),101)+1))*'計算（触らない）'!$N7,6)+'計算（触らない）'!$B$4)))</f>
        <v/>
      </c>
      <c r="M7" s="52">
        <f>IF('計算（触らない）'!$U7=0,"",IF(('計算（触らない）'!$V7+9)&lt;0,"",INT(ROUND((IF(('計算（触らない）'!$V7+9)=0,'計算（触らない）'!$C7,INDEX('計算（触らない）'!$AS7:$EP7,MIN(('計算（触らない）'!$V7+9),102)))-INDEX('計算（触らない）'!$AS7:$EP7,MIN(('計算（触らない）'!$V7+9),101)+1))*'計算（触らない）'!$N7,6)+'計算（触らない）'!$B$4)))</f>
        <v/>
      </c>
      <c r="N7" s="68" t="n"/>
      <c r="O7" s="52">
        <f>IF('計算（触らない）'!$U7=0,"",IF(('計算（触らない）'!$V7+0)&lt;0,"",IF(AND('計算（触らない）'!$F7&lt;=2,('計算（触らない）'!$V7+0)&gt;'計算（触らない）'!$R7),0,INDEX('計算（触らない）'!$AS7:$EP7,MIN(('計算（触らない）'!$V7+0),101)+1))))</f>
        <v/>
      </c>
      <c r="P7" s="52">
        <f>IF('計算（触らない）'!$U7=0,"",IF(('計算（触らない）'!$V7+1)&lt;0,"",IF(AND('計算（触らない）'!$F7&lt;=2,('計算（触らない）'!$V7+1)&gt;'計算（触らない）'!$R7),0,INDEX('計算（触らない）'!$AS7:$EP7,MIN(('計算（触らない）'!$V7+1),101)+1))))</f>
        <v/>
      </c>
      <c r="Q7" s="52">
        <f>IF('計算（触らない）'!$U7=0,"",IF(('計算（触らない）'!$V7+2)&lt;0,"",IF(AND('計算（触らない）'!$F7&lt;=2,('計算（触らない）'!$V7+2)&gt;'計算（触らない）'!$R7),0,INDEX('計算（触らない）'!$AS7:$EP7,MIN(('計算（触らない）'!$V7+2),101)+1))))</f>
        <v/>
      </c>
      <c r="R7" s="52">
        <f>IF('計算（触らない）'!$U7=0,"",IF(('計算（触らない）'!$V7+3)&lt;0,"",IF(AND('計算（触らない）'!$F7&lt;=2,('計算（触らない）'!$V7+3)&gt;'計算（触らない）'!$R7),0,INDEX('計算（触らない）'!$AS7:$EP7,MIN(('計算（触らない）'!$V7+3),101)+1))))</f>
        <v/>
      </c>
      <c r="S7" s="52">
        <f>IF('計算（触らない）'!$U7=0,"",IF(('計算（触らない）'!$V7+4)&lt;0,"",IF(AND('計算（触らない）'!$F7&lt;=2,('計算（触らない）'!$V7+4)&gt;'計算（触らない）'!$R7),0,INDEX('計算（触らない）'!$AS7:$EP7,MIN(('計算（触らない）'!$V7+4),101)+1))))</f>
        <v/>
      </c>
      <c r="T7" s="52">
        <f>IF('計算（触らない）'!$U7=0,"",IF(('計算（触らない）'!$V7+5)&lt;0,"",IF(AND('計算（触らない）'!$F7&lt;=2,('計算（触らない）'!$V7+5)&gt;'計算（触らない）'!$R7),0,INDEX('計算（触らない）'!$AS7:$EP7,MIN(('計算（触らない）'!$V7+5),101)+1))))</f>
        <v/>
      </c>
      <c r="U7" s="52">
        <f>IF('計算（触らない）'!$U7=0,"",IF(('計算（触らない）'!$V7+6)&lt;0,"",IF(AND('計算（触らない）'!$F7&lt;=2,('計算（触らない）'!$V7+6)&gt;'計算（触らない）'!$R7),0,INDEX('計算（触らない）'!$AS7:$EP7,MIN(('計算（触らない）'!$V7+6),101)+1))))</f>
        <v/>
      </c>
      <c r="V7" s="52">
        <f>IF('計算（触らない）'!$U7=0,"",IF(('計算（触らない）'!$V7+7)&lt;0,"",IF(AND('計算（触らない）'!$F7&lt;=2,('計算（触らない）'!$V7+7)&gt;'計算（触らない）'!$R7),0,INDEX('計算（触らない）'!$AS7:$EP7,MIN(('計算（触らない）'!$V7+7),101)+1))))</f>
        <v/>
      </c>
      <c r="W7" s="52">
        <f>IF('計算（触らない）'!$U7=0,"",IF(('計算（触らない）'!$V7+8)&lt;0,"",IF(AND('計算（触らない）'!$F7&lt;=2,('計算（触らない）'!$V7+8)&gt;'計算（触らない）'!$R7),0,INDEX('計算（触らない）'!$AS7:$EP7,MIN(('計算（触らない）'!$V7+8),101)+1))))</f>
        <v/>
      </c>
      <c r="X7" s="52">
        <f>IF('計算（触らない）'!$U7=0,"",IF(('計算（触らない）'!$V7+9)&lt;0,"",IF(AND('計算（触らない）'!$F7&lt;=2,('計算（触らない）'!$V7+9)&gt;'計算（触らない）'!$R7),0,INDEX('計算（触らない）'!$AS7:$EP7,MIN(('計算（触らない）'!$V7+9),101)+1))))</f>
        <v/>
      </c>
    </row>
    <row r="8" ht="17" customHeight="1">
      <c r="A8" s="21" t="n">
        <v>3</v>
      </c>
      <c r="B8" s="38">
        <f>IF('計算（触らない）'!$B8=0,"",'固定資産台帳'!$B8&amp;"")</f>
        <v/>
      </c>
      <c r="C8" s="38">
        <f>IF('計算（触らない）'!$B8=0,"",'固定資産台帳'!$H8&amp;"")</f>
        <v/>
      </c>
      <c r="D8" s="52">
        <f>IF('計算（触らない）'!$U8=0,"",IF(('計算（触らない）'!$V8+0)&lt;0,"",INT(ROUND((IF(('計算（触らない）'!$V8+0)=0,'計算（触らない）'!$C8,INDEX('計算（触らない）'!$AS8:$EP8,MIN(('計算（触らない）'!$V8+0),102)))-INDEX('計算（触らない）'!$AS8:$EP8,MIN(('計算（触らない）'!$V8+0),101)+1))*'計算（触らない）'!$N8,6)+'計算（触らない）'!$B$4)))</f>
        <v/>
      </c>
      <c r="E8" s="52">
        <f>IF('計算（触らない）'!$U8=0,"",IF(('計算（触らない）'!$V8+1)&lt;0,"",INT(ROUND((IF(('計算（触らない）'!$V8+1)=0,'計算（触らない）'!$C8,INDEX('計算（触らない）'!$AS8:$EP8,MIN(('計算（触らない）'!$V8+1),102)))-INDEX('計算（触らない）'!$AS8:$EP8,MIN(('計算（触らない）'!$V8+1),101)+1))*'計算（触らない）'!$N8,6)+'計算（触らない）'!$B$4)))</f>
        <v/>
      </c>
      <c r="F8" s="52">
        <f>IF('計算（触らない）'!$U8=0,"",IF(('計算（触らない）'!$V8+2)&lt;0,"",INT(ROUND((IF(('計算（触らない）'!$V8+2)=0,'計算（触らない）'!$C8,INDEX('計算（触らない）'!$AS8:$EP8,MIN(('計算（触らない）'!$V8+2),102)))-INDEX('計算（触らない）'!$AS8:$EP8,MIN(('計算（触らない）'!$V8+2),101)+1))*'計算（触らない）'!$N8,6)+'計算（触らない）'!$B$4)))</f>
        <v/>
      </c>
      <c r="G8" s="52">
        <f>IF('計算（触らない）'!$U8=0,"",IF(('計算（触らない）'!$V8+3)&lt;0,"",INT(ROUND((IF(('計算（触らない）'!$V8+3)=0,'計算（触らない）'!$C8,INDEX('計算（触らない）'!$AS8:$EP8,MIN(('計算（触らない）'!$V8+3),102)))-INDEX('計算（触らない）'!$AS8:$EP8,MIN(('計算（触らない）'!$V8+3),101)+1))*'計算（触らない）'!$N8,6)+'計算（触らない）'!$B$4)))</f>
        <v/>
      </c>
      <c r="H8" s="52">
        <f>IF('計算（触らない）'!$U8=0,"",IF(('計算（触らない）'!$V8+4)&lt;0,"",INT(ROUND((IF(('計算（触らない）'!$V8+4)=0,'計算（触らない）'!$C8,INDEX('計算（触らない）'!$AS8:$EP8,MIN(('計算（触らない）'!$V8+4),102)))-INDEX('計算（触らない）'!$AS8:$EP8,MIN(('計算（触らない）'!$V8+4),101)+1))*'計算（触らない）'!$N8,6)+'計算（触らない）'!$B$4)))</f>
        <v/>
      </c>
      <c r="I8" s="52">
        <f>IF('計算（触らない）'!$U8=0,"",IF(('計算（触らない）'!$V8+5)&lt;0,"",INT(ROUND((IF(('計算（触らない）'!$V8+5)=0,'計算（触らない）'!$C8,INDEX('計算（触らない）'!$AS8:$EP8,MIN(('計算（触らない）'!$V8+5),102)))-INDEX('計算（触らない）'!$AS8:$EP8,MIN(('計算（触らない）'!$V8+5),101)+1))*'計算（触らない）'!$N8,6)+'計算（触らない）'!$B$4)))</f>
        <v/>
      </c>
      <c r="J8" s="52">
        <f>IF('計算（触らない）'!$U8=0,"",IF(('計算（触らない）'!$V8+6)&lt;0,"",INT(ROUND((IF(('計算（触らない）'!$V8+6)=0,'計算（触らない）'!$C8,INDEX('計算（触らない）'!$AS8:$EP8,MIN(('計算（触らない）'!$V8+6),102)))-INDEX('計算（触らない）'!$AS8:$EP8,MIN(('計算（触らない）'!$V8+6),101)+1))*'計算（触らない）'!$N8,6)+'計算（触らない）'!$B$4)))</f>
        <v/>
      </c>
      <c r="K8" s="52">
        <f>IF('計算（触らない）'!$U8=0,"",IF(('計算（触らない）'!$V8+7)&lt;0,"",INT(ROUND((IF(('計算（触らない）'!$V8+7)=0,'計算（触らない）'!$C8,INDEX('計算（触らない）'!$AS8:$EP8,MIN(('計算（触らない）'!$V8+7),102)))-INDEX('計算（触らない）'!$AS8:$EP8,MIN(('計算（触らない）'!$V8+7),101)+1))*'計算（触らない）'!$N8,6)+'計算（触らない）'!$B$4)))</f>
        <v/>
      </c>
      <c r="L8" s="52">
        <f>IF('計算（触らない）'!$U8=0,"",IF(('計算（触らない）'!$V8+8)&lt;0,"",INT(ROUND((IF(('計算（触らない）'!$V8+8)=0,'計算（触らない）'!$C8,INDEX('計算（触らない）'!$AS8:$EP8,MIN(('計算（触らない）'!$V8+8),102)))-INDEX('計算（触らない）'!$AS8:$EP8,MIN(('計算（触らない）'!$V8+8),101)+1))*'計算（触らない）'!$N8,6)+'計算（触らない）'!$B$4)))</f>
        <v/>
      </c>
      <c r="M8" s="52">
        <f>IF('計算（触らない）'!$U8=0,"",IF(('計算（触らない）'!$V8+9)&lt;0,"",INT(ROUND((IF(('計算（触らない）'!$V8+9)=0,'計算（触らない）'!$C8,INDEX('計算（触らない）'!$AS8:$EP8,MIN(('計算（触らない）'!$V8+9),102)))-INDEX('計算（触らない）'!$AS8:$EP8,MIN(('計算（触らない）'!$V8+9),101)+1))*'計算（触らない）'!$N8,6)+'計算（触らない）'!$B$4)))</f>
        <v/>
      </c>
      <c r="N8" s="68" t="n"/>
      <c r="O8" s="52">
        <f>IF('計算（触らない）'!$U8=0,"",IF(('計算（触らない）'!$V8+0)&lt;0,"",IF(AND('計算（触らない）'!$F8&lt;=2,('計算（触らない）'!$V8+0)&gt;'計算（触らない）'!$R8),0,INDEX('計算（触らない）'!$AS8:$EP8,MIN(('計算（触らない）'!$V8+0),101)+1))))</f>
        <v/>
      </c>
      <c r="P8" s="52">
        <f>IF('計算（触らない）'!$U8=0,"",IF(('計算（触らない）'!$V8+1)&lt;0,"",IF(AND('計算（触らない）'!$F8&lt;=2,('計算（触らない）'!$V8+1)&gt;'計算（触らない）'!$R8),0,INDEX('計算（触らない）'!$AS8:$EP8,MIN(('計算（触らない）'!$V8+1),101)+1))))</f>
        <v/>
      </c>
      <c r="Q8" s="52">
        <f>IF('計算（触らない）'!$U8=0,"",IF(('計算（触らない）'!$V8+2)&lt;0,"",IF(AND('計算（触らない）'!$F8&lt;=2,('計算（触らない）'!$V8+2)&gt;'計算（触らない）'!$R8),0,INDEX('計算（触らない）'!$AS8:$EP8,MIN(('計算（触らない）'!$V8+2),101)+1))))</f>
        <v/>
      </c>
      <c r="R8" s="52">
        <f>IF('計算（触らない）'!$U8=0,"",IF(('計算（触らない）'!$V8+3)&lt;0,"",IF(AND('計算（触らない）'!$F8&lt;=2,('計算（触らない）'!$V8+3)&gt;'計算（触らない）'!$R8),0,INDEX('計算（触らない）'!$AS8:$EP8,MIN(('計算（触らない）'!$V8+3),101)+1))))</f>
        <v/>
      </c>
      <c r="S8" s="52">
        <f>IF('計算（触らない）'!$U8=0,"",IF(('計算（触らない）'!$V8+4)&lt;0,"",IF(AND('計算（触らない）'!$F8&lt;=2,('計算（触らない）'!$V8+4)&gt;'計算（触らない）'!$R8),0,INDEX('計算（触らない）'!$AS8:$EP8,MIN(('計算（触らない）'!$V8+4),101)+1))))</f>
        <v/>
      </c>
      <c r="T8" s="52">
        <f>IF('計算（触らない）'!$U8=0,"",IF(('計算（触らない）'!$V8+5)&lt;0,"",IF(AND('計算（触らない）'!$F8&lt;=2,('計算（触らない）'!$V8+5)&gt;'計算（触らない）'!$R8),0,INDEX('計算（触らない）'!$AS8:$EP8,MIN(('計算（触らない）'!$V8+5),101)+1))))</f>
        <v/>
      </c>
      <c r="U8" s="52">
        <f>IF('計算（触らない）'!$U8=0,"",IF(('計算（触らない）'!$V8+6)&lt;0,"",IF(AND('計算（触らない）'!$F8&lt;=2,('計算（触らない）'!$V8+6)&gt;'計算（触らない）'!$R8),0,INDEX('計算（触らない）'!$AS8:$EP8,MIN(('計算（触らない）'!$V8+6),101)+1))))</f>
        <v/>
      </c>
      <c r="V8" s="52">
        <f>IF('計算（触らない）'!$U8=0,"",IF(('計算（触らない）'!$V8+7)&lt;0,"",IF(AND('計算（触らない）'!$F8&lt;=2,('計算（触らない）'!$V8+7)&gt;'計算（触らない）'!$R8),0,INDEX('計算（触らない）'!$AS8:$EP8,MIN(('計算（触らない）'!$V8+7),101)+1))))</f>
        <v/>
      </c>
      <c r="W8" s="52">
        <f>IF('計算（触らない）'!$U8=0,"",IF(('計算（触らない）'!$V8+8)&lt;0,"",IF(AND('計算（触らない）'!$F8&lt;=2,('計算（触らない）'!$V8+8)&gt;'計算（触らない）'!$R8),0,INDEX('計算（触らない）'!$AS8:$EP8,MIN(('計算（触らない）'!$V8+8),101)+1))))</f>
        <v/>
      </c>
      <c r="X8" s="52">
        <f>IF('計算（触らない）'!$U8=0,"",IF(('計算（触らない）'!$V8+9)&lt;0,"",IF(AND('計算（触らない）'!$F8&lt;=2,('計算（触らない）'!$V8+9)&gt;'計算（触らない）'!$R8),0,INDEX('計算（触らない）'!$AS8:$EP8,MIN(('計算（触らない）'!$V8+9),101)+1))))</f>
        <v/>
      </c>
    </row>
    <row r="9" ht="17" customHeight="1">
      <c r="A9" s="21" t="n">
        <v>4</v>
      </c>
      <c r="B9" s="38">
        <f>IF('計算（触らない）'!$B9=0,"",'固定資産台帳'!$B9&amp;"")</f>
        <v/>
      </c>
      <c r="C9" s="38">
        <f>IF('計算（触らない）'!$B9=0,"",'固定資産台帳'!$H9&amp;"")</f>
        <v/>
      </c>
      <c r="D9" s="52">
        <f>IF('計算（触らない）'!$U9=0,"",IF(('計算（触らない）'!$V9+0)&lt;0,"",INT(ROUND((IF(('計算（触らない）'!$V9+0)=0,'計算（触らない）'!$C9,INDEX('計算（触らない）'!$AS9:$EP9,MIN(('計算（触らない）'!$V9+0),102)))-INDEX('計算（触らない）'!$AS9:$EP9,MIN(('計算（触らない）'!$V9+0),101)+1))*'計算（触らない）'!$N9,6)+'計算（触らない）'!$B$4)))</f>
        <v/>
      </c>
      <c r="E9" s="52">
        <f>IF('計算（触らない）'!$U9=0,"",IF(('計算（触らない）'!$V9+1)&lt;0,"",INT(ROUND((IF(('計算（触らない）'!$V9+1)=0,'計算（触らない）'!$C9,INDEX('計算（触らない）'!$AS9:$EP9,MIN(('計算（触らない）'!$V9+1),102)))-INDEX('計算（触らない）'!$AS9:$EP9,MIN(('計算（触らない）'!$V9+1),101)+1))*'計算（触らない）'!$N9,6)+'計算（触らない）'!$B$4)))</f>
        <v/>
      </c>
      <c r="F9" s="52">
        <f>IF('計算（触らない）'!$U9=0,"",IF(('計算（触らない）'!$V9+2)&lt;0,"",INT(ROUND((IF(('計算（触らない）'!$V9+2)=0,'計算（触らない）'!$C9,INDEX('計算（触らない）'!$AS9:$EP9,MIN(('計算（触らない）'!$V9+2),102)))-INDEX('計算（触らない）'!$AS9:$EP9,MIN(('計算（触らない）'!$V9+2),101)+1))*'計算（触らない）'!$N9,6)+'計算（触らない）'!$B$4)))</f>
        <v/>
      </c>
      <c r="G9" s="52">
        <f>IF('計算（触らない）'!$U9=0,"",IF(('計算（触らない）'!$V9+3)&lt;0,"",INT(ROUND((IF(('計算（触らない）'!$V9+3)=0,'計算（触らない）'!$C9,INDEX('計算（触らない）'!$AS9:$EP9,MIN(('計算（触らない）'!$V9+3),102)))-INDEX('計算（触らない）'!$AS9:$EP9,MIN(('計算（触らない）'!$V9+3),101)+1))*'計算（触らない）'!$N9,6)+'計算（触らない）'!$B$4)))</f>
        <v/>
      </c>
      <c r="H9" s="52">
        <f>IF('計算（触らない）'!$U9=0,"",IF(('計算（触らない）'!$V9+4)&lt;0,"",INT(ROUND((IF(('計算（触らない）'!$V9+4)=0,'計算（触らない）'!$C9,INDEX('計算（触らない）'!$AS9:$EP9,MIN(('計算（触らない）'!$V9+4),102)))-INDEX('計算（触らない）'!$AS9:$EP9,MIN(('計算（触らない）'!$V9+4),101)+1))*'計算（触らない）'!$N9,6)+'計算（触らない）'!$B$4)))</f>
        <v/>
      </c>
      <c r="I9" s="52">
        <f>IF('計算（触らない）'!$U9=0,"",IF(('計算（触らない）'!$V9+5)&lt;0,"",INT(ROUND((IF(('計算（触らない）'!$V9+5)=0,'計算（触らない）'!$C9,INDEX('計算（触らない）'!$AS9:$EP9,MIN(('計算（触らない）'!$V9+5),102)))-INDEX('計算（触らない）'!$AS9:$EP9,MIN(('計算（触らない）'!$V9+5),101)+1))*'計算（触らない）'!$N9,6)+'計算（触らない）'!$B$4)))</f>
        <v/>
      </c>
      <c r="J9" s="52">
        <f>IF('計算（触らない）'!$U9=0,"",IF(('計算（触らない）'!$V9+6)&lt;0,"",INT(ROUND((IF(('計算（触らない）'!$V9+6)=0,'計算（触らない）'!$C9,INDEX('計算（触らない）'!$AS9:$EP9,MIN(('計算（触らない）'!$V9+6),102)))-INDEX('計算（触らない）'!$AS9:$EP9,MIN(('計算（触らない）'!$V9+6),101)+1))*'計算（触らない）'!$N9,6)+'計算（触らない）'!$B$4)))</f>
        <v/>
      </c>
      <c r="K9" s="52">
        <f>IF('計算（触らない）'!$U9=0,"",IF(('計算（触らない）'!$V9+7)&lt;0,"",INT(ROUND((IF(('計算（触らない）'!$V9+7)=0,'計算（触らない）'!$C9,INDEX('計算（触らない）'!$AS9:$EP9,MIN(('計算（触らない）'!$V9+7),102)))-INDEX('計算（触らない）'!$AS9:$EP9,MIN(('計算（触らない）'!$V9+7),101)+1))*'計算（触らない）'!$N9,6)+'計算（触らない）'!$B$4)))</f>
        <v/>
      </c>
      <c r="L9" s="52">
        <f>IF('計算（触らない）'!$U9=0,"",IF(('計算（触らない）'!$V9+8)&lt;0,"",INT(ROUND((IF(('計算（触らない）'!$V9+8)=0,'計算（触らない）'!$C9,INDEX('計算（触らない）'!$AS9:$EP9,MIN(('計算（触らない）'!$V9+8),102)))-INDEX('計算（触らない）'!$AS9:$EP9,MIN(('計算（触らない）'!$V9+8),101)+1))*'計算（触らない）'!$N9,6)+'計算（触らない）'!$B$4)))</f>
        <v/>
      </c>
      <c r="M9" s="52">
        <f>IF('計算（触らない）'!$U9=0,"",IF(('計算（触らない）'!$V9+9)&lt;0,"",INT(ROUND((IF(('計算（触らない）'!$V9+9)=0,'計算（触らない）'!$C9,INDEX('計算（触らない）'!$AS9:$EP9,MIN(('計算（触らない）'!$V9+9),102)))-INDEX('計算（触らない）'!$AS9:$EP9,MIN(('計算（触らない）'!$V9+9),101)+1))*'計算（触らない）'!$N9,6)+'計算（触らない）'!$B$4)))</f>
        <v/>
      </c>
      <c r="N9" s="68" t="n"/>
      <c r="O9" s="52">
        <f>IF('計算（触らない）'!$U9=0,"",IF(('計算（触らない）'!$V9+0)&lt;0,"",IF(AND('計算（触らない）'!$F9&lt;=2,('計算（触らない）'!$V9+0)&gt;'計算（触らない）'!$R9),0,INDEX('計算（触らない）'!$AS9:$EP9,MIN(('計算（触らない）'!$V9+0),101)+1))))</f>
        <v/>
      </c>
      <c r="P9" s="52">
        <f>IF('計算（触らない）'!$U9=0,"",IF(('計算（触らない）'!$V9+1)&lt;0,"",IF(AND('計算（触らない）'!$F9&lt;=2,('計算（触らない）'!$V9+1)&gt;'計算（触らない）'!$R9),0,INDEX('計算（触らない）'!$AS9:$EP9,MIN(('計算（触らない）'!$V9+1),101)+1))))</f>
        <v/>
      </c>
      <c r="Q9" s="52">
        <f>IF('計算（触らない）'!$U9=0,"",IF(('計算（触らない）'!$V9+2)&lt;0,"",IF(AND('計算（触らない）'!$F9&lt;=2,('計算（触らない）'!$V9+2)&gt;'計算（触らない）'!$R9),0,INDEX('計算（触らない）'!$AS9:$EP9,MIN(('計算（触らない）'!$V9+2),101)+1))))</f>
        <v/>
      </c>
      <c r="R9" s="52">
        <f>IF('計算（触らない）'!$U9=0,"",IF(('計算（触らない）'!$V9+3)&lt;0,"",IF(AND('計算（触らない）'!$F9&lt;=2,('計算（触らない）'!$V9+3)&gt;'計算（触らない）'!$R9),0,INDEX('計算（触らない）'!$AS9:$EP9,MIN(('計算（触らない）'!$V9+3),101)+1))))</f>
        <v/>
      </c>
      <c r="S9" s="52">
        <f>IF('計算（触らない）'!$U9=0,"",IF(('計算（触らない）'!$V9+4)&lt;0,"",IF(AND('計算（触らない）'!$F9&lt;=2,('計算（触らない）'!$V9+4)&gt;'計算（触らない）'!$R9),0,INDEX('計算（触らない）'!$AS9:$EP9,MIN(('計算（触らない）'!$V9+4),101)+1))))</f>
        <v/>
      </c>
      <c r="T9" s="52">
        <f>IF('計算（触らない）'!$U9=0,"",IF(('計算（触らない）'!$V9+5)&lt;0,"",IF(AND('計算（触らない）'!$F9&lt;=2,('計算（触らない）'!$V9+5)&gt;'計算（触らない）'!$R9),0,INDEX('計算（触らない）'!$AS9:$EP9,MIN(('計算（触らない）'!$V9+5),101)+1))))</f>
        <v/>
      </c>
      <c r="U9" s="52">
        <f>IF('計算（触らない）'!$U9=0,"",IF(('計算（触らない）'!$V9+6)&lt;0,"",IF(AND('計算（触らない）'!$F9&lt;=2,('計算（触らない）'!$V9+6)&gt;'計算（触らない）'!$R9),0,INDEX('計算（触らない）'!$AS9:$EP9,MIN(('計算（触らない）'!$V9+6),101)+1))))</f>
        <v/>
      </c>
      <c r="V9" s="52">
        <f>IF('計算（触らない）'!$U9=0,"",IF(('計算（触らない）'!$V9+7)&lt;0,"",IF(AND('計算（触らない）'!$F9&lt;=2,('計算（触らない）'!$V9+7)&gt;'計算（触らない）'!$R9),0,INDEX('計算（触らない）'!$AS9:$EP9,MIN(('計算（触らない）'!$V9+7),101)+1))))</f>
        <v/>
      </c>
      <c r="W9" s="52">
        <f>IF('計算（触らない）'!$U9=0,"",IF(('計算（触らない）'!$V9+8)&lt;0,"",IF(AND('計算（触らない）'!$F9&lt;=2,('計算（触らない）'!$V9+8)&gt;'計算（触らない）'!$R9),0,INDEX('計算（触らない）'!$AS9:$EP9,MIN(('計算（触らない）'!$V9+8),101)+1))))</f>
        <v/>
      </c>
      <c r="X9" s="52">
        <f>IF('計算（触らない）'!$U9=0,"",IF(('計算（触らない）'!$V9+9)&lt;0,"",IF(AND('計算（触らない）'!$F9&lt;=2,('計算（触らない）'!$V9+9)&gt;'計算（触らない）'!$R9),0,INDEX('計算（触らない）'!$AS9:$EP9,MIN(('計算（触らない）'!$V9+9),101)+1))))</f>
        <v/>
      </c>
    </row>
    <row r="10" ht="17" customHeight="1">
      <c r="A10" s="21" t="n">
        <v>5</v>
      </c>
      <c r="B10" s="38">
        <f>IF('計算（触らない）'!$B10=0,"",'固定資産台帳'!$B10&amp;"")</f>
        <v/>
      </c>
      <c r="C10" s="38">
        <f>IF('計算（触らない）'!$B10=0,"",'固定資産台帳'!$H10&amp;"")</f>
        <v/>
      </c>
      <c r="D10" s="52">
        <f>IF('計算（触らない）'!$U10=0,"",IF(('計算（触らない）'!$V10+0)&lt;0,"",INT(ROUND((IF(('計算（触らない）'!$V10+0)=0,'計算（触らない）'!$C10,INDEX('計算（触らない）'!$AS10:$EP10,MIN(('計算（触らない）'!$V10+0),102)))-INDEX('計算（触らない）'!$AS10:$EP10,MIN(('計算（触らない）'!$V10+0),101)+1))*'計算（触らない）'!$N10,6)+'計算（触らない）'!$B$4)))</f>
        <v/>
      </c>
      <c r="E10" s="52">
        <f>IF('計算（触らない）'!$U10=0,"",IF(('計算（触らない）'!$V10+1)&lt;0,"",INT(ROUND((IF(('計算（触らない）'!$V10+1)=0,'計算（触らない）'!$C10,INDEX('計算（触らない）'!$AS10:$EP10,MIN(('計算（触らない）'!$V10+1),102)))-INDEX('計算（触らない）'!$AS10:$EP10,MIN(('計算（触らない）'!$V10+1),101)+1))*'計算（触らない）'!$N10,6)+'計算（触らない）'!$B$4)))</f>
        <v/>
      </c>
      <c r="F10" s="52">
        <f>IF('計算（触らない）'!$U10=0,"",IF(('計算（触らない）'!$V10+2)&lt;0,"",INT(ROUND((IF(('計算（触らない）'!$V10+2)=0,'計算（触らない）'!$C10,INDEX('計算（触らない）'!$AS10:$EP10,MIN(('計算（触らない）'!$V10+2),102)))-INDEX('計算（触らない）'!$AS10:$EP10,MIN(('計算（触らない）'!$V10+2),101)+1))*'計算（触らない）'!$N10,6)+'計算（触らない）'!$B$4)))</f>
        <v/>
      </c>
      <c r="G10" s="52">
        <f>IF('計算（触らない）'!$U10=0,"",IF(('計算（触らない）'!$V10+3)&lt;0,"",INT(ROUND((IF(('計算（触らない）'!$V10+3)=0,'計算（触らない）'!$C10,INDEX('計算（触らない）'!$AS10:$EP10,MIN(('計算（触らない）'!$V10+3),102)))-INDEX('計算（触らない）'!$AS10:$EP10,MIN(('計算（触らない）'!$V10+3),101)+1))*'計算（触らない）'!$N10,6)+'計算（触らない）'!$B$4)))</f>
        <v/>
      </c>
      <c r="H10" s="52">
        <f>IF('計算（触らない）'!$U10=0,"",IF(('計算（触らない）'!$V10+4)&lt;0,"",INT(ROUND((IF(('計算（触らない）'!$V10+4)=0,'計算（触らない）'!$C10,INDEX('計算（触らない）'!$AS10:$EP10,MIN(('計算（触らない）'!$V10+4),102)))-INDEX('計算（触らない）'!$AS10:$EP10,MIN(('計算（触らない）'!$V10+4),101)+1))*'計算（触らない）'!$N10,6)+'計算（触らない）'!$B$4)))</f>
        <v/>
      </c>
      <c r="I10" s="52">
        <f>IF('計算（触らない）'!$U10=0,"",IF(('計算（触らない）'!$V10+5)&lt;0,"",INT(ROUND((IF(('計算（触らない）'!$V10+5)=0,'計算（触らない）'!$C10,INDEX('計算（触らない）'!$AS10:$EP10,MIN(('計算（触らない）'!$V10+5),102)))-INDEX('計算（触らない）'!$AS10:$EP10,MIN(('計算（触らない）'!$V10+5),101)+1))*'計算（触らない）'!$N10,6)+'計算（触らない）'!$B$4)))</f>
        <v/>
      </c>
      <c r="J10" s="52">
        <f>IF('計算（触らない）'!$U10=0,"",IF(('計算（触らない）'!$V10+6)&lt;0,"",INT(ROUND((IF(('計算（触らない）'!$V10+6)=0,'計算（触らない）'!$C10,INDEX('計算（触らない）'!$AS10:$EP10,MIN(('計算（触らない）'!$V10+6),102)))-INDEX('計算（触らない）'!$AS10:$EP10,MIN(('計算（触らない）'!$V10+6),101)+1))*'計算（触らない）'!$N10,6)+'計算（触らない）'!$B$4)))</f>
        <v/>
      </c>
      <c r="K10" s="52">
        <f>IF('計算（触らない）'!$U10=0,"",IF(('計算（触らない）'!$V10+7)&lt;0,"",INT(ROUND((IF(('計算（触らない）'!$V10+7)=0,'計算（触らない）'!$C10,INDEX('計算（触らない）'!$AS10:$EP10,MIN(('計算（触らない）'!$V10+7),102)))-INDEX('計算（触らない）'!$AS10:$EP10,MIN(('計算（触らない）'!$V10+7),101)+1))*'計算（触らない）'!$N10,6)+'計算（触らない）'!$B$4)))</f>
        <v/>
      </c>
      <c r="L10" s="52">
        <f>IF('計算（触らない）'!$U10=0,"",IF(('計算（触らない）'!$V10+8)&lt;0,"",INT(ROUND((IF(('計算（触らない）'!$V10+8)=0,'計算（触らない）'!$C10,INDEX('計算（触らない）'!$AS10:$EP10,MIN(('計算（触らない）'!$V10+8),102)))-INDEX('計算（触らない）'!$AS10:$EP10,MIN(('計算（触らない）'!$V10+8),101)+1))*'計算（触らない）'!$N10,6)+'計算（触らない）'!$B$4)))</f>
        <v/>
      </c>
      <c r="M10" s="52">
        <f>IF('計算（触らない）'!$U10=0,"",IF(('計算（触らない）'!$V10+9)&lt;0,"",INT(ROUND((IF(('計算（触らない）'!$V10+9)=0,'計算（触らない）'!$C10,INDEX('計算（触らない）'!$AS10:$EP10,MIN(('計算（触らない）'!$V10+9),102)))-INDEX('計算（触らない）'!$AS10:$EP10,MIN(('計算（触らない）'!$V10+9),101)+1))*'計算（触らない）'!$N10,6)+'計算（触らない）'!$B$4)))</f>
        <v/>
      </c>
      <c r="N10" s="68" t="n"/>
      <c r="O10" s="52">
        <f>IF('計算（触らない）'!$U10=0,"",IF(('計算（触らない）'!$V10+0)&lt;0,"",IF(AND('計算（触らない）'!$F10&lt;=2,('計算（触らない）'!$V10+0)&gt;'計算（触らない）'!$R10),0,INDEX('計算（触らない）'!$AS10:$EP10,MIN(('計算（触らない）'!$V10+0),101)+1))))</f>
        <v/>
      </c>
      <c r="P10" s="52">
        <f>IF('計算（触らない）'!$U10=0,"",IF(('計算（触らない）'!$V10+1)&lt;0,"",IF(AND('計算（触らない）'!$F10&lt;=2,('計算（触らない）'!$V10+1)&gt;'計算（触らない）'!$R10),0,INDEX('計算（触らない）'!$AS10:$EP10,MIN(('計算（触らない）'!$V10+1),101)+1))))</f>
        <v/>
      </c>
      <c r="Q10" s="52">
        <f>IF('計算（触らない）'!$U10=0,"",IF(('計算（触らない）'!$V10+2)&lt;0,"",IF(AND('計算（触らない）'!$F10&lt;=2,('計算（触らない）'!$V10+2)&gt;'計算（触らない）'!$R10),0,INDEX('計算（触らない）'!$AS10:$EP10,MIN(('計算（触らない）'!$V10+2),101)+1))))</f>
        <v/>
      </c>
      <c r="R10" s="52">
        <f>IF('計算（触らない）'!$U10=0,"",IF(('計算（触らない）'!$V10+3)&lt;0,"",IF(AND('計算（触らない）'!$F10&lt;=2,('計算（触らない）'!$V10+3)&gt;'計算（触らない）'!$R10),0,INDEX('計算（触らない）'!$AS10:$EP10,MIN(('計算（触らない）'!$V10+3),101)+1))))</f>
        <v/>
      </c>
      <c r="S10" s="52">
        <f>IF('計算（触らない）'!$U10=0,"",IF(('計算（触らない）'!$V10+4)&lt;0,"",IF(AND('計算（触らない）'!$F10&lt;=2,('計算（触らない）'!$V10+4)&gt;'計算（触らない）'!$R10),0,INDEX('計算（触らない）'!$AS10:$EP10,MIN(('計算（触らない）'!$V10+4),101)+1))))</f>
        <v/>
      </c>
      <c r="T10" s="52">
        <f>IF('計算（触らない）'!$U10=0,"",IF(('計算（触らない）'!$V10+5)&lt;0,"",IF(AND('計算（触らない）'!$F10&lt;=2,('計算（触らない）'!$V10+5)&gt;'計算（触らない）'!$R10),0,INDEX('計算（触らない）'!$AS10:$EP10,MIN(('計算（触らない）'!$V10+5),101)+1))))</f>
        <v/>
      </c>
      <c r="U10" s="52">
        <f>IF('計算（触らない）'!$U10=0,"",IF(('計算（触らない）'!$V10+6)&lt;0,"",IF(AND('計算（触らない）'!$F10&lt;=2,('計算（触らない）'!$V10+6)&gt;'計算（触らない）'!$R10),0,INDEX('計算（触らない）'!$AS10:$EP10,MIN(('計算（触らない）'!$V10+6),101)+1))))</f>
        <v/>
      </c>
      <c r="V10" s="52">
        <f>IF('計算（触らない）'!$U10=0,"",IF(('計算（触らない）'!$V10+7)&lt;0,"",IF(AND('計算（触らない）'!$F10&lt;=2,('計算（触らない）'!$V10+7)&gt;'計算（触らない）'!$R10),0,INDEX('計算（触らない）'!$AS10:$EP10,MIN(('計算（触らない）'!$V10+7),101)+1))))</f>
        <v/>
      </c>
      <c r="W10" s="52">
        <f>IF('計算（触らない）'!$U10=0,"",IF(('計算（触らない）'!$V10+8)&lt;0,"",IF(AND('計算（触らない）'!$F10&lt;=2,('計算（触らない）'!$V10+8)&gt;'計算（触らない）'!$R10),0,INDEX('計算（触らない）'!$AS10:$EP10,MIN(('計算（触らない）'!$V10+8),101)+1))))</f>
        <v/>
      </c>
      <c r="X10" s="52">
        <f>IF('計算（触らない）'!$U10=0,"",IF(('計算（触らない）'!$V10+9)&lt;0,"",IF(AND('計算（触らない）'!$F10&lt;=2,('計算（触らない）'!$V10+9)&gt;'計算（触らない）'!$R10),0,INDEX('計算（触らない）'!$AS10:$EP10,MIN(('計算（触らない）'!$V10+9),101)+1))))</f>
        <v/>
      </c>
    </row>
    <row r="11" ht="17" customHeight="1">
      <c r="A11" s="21" t="n">
        <v>6</v>
      </c>
      <c r="B11" s="38">
        <f>IF('計算（触らない）'!$B11=0,"",'固定資産台帳'!$B11&amp;"")</f>
        <v/>
      </c>
      <c r="C11" s="38">
        <f>IF('計算（触らない）'!$B11=0,"",'固定資産台帳'!$H11&amp;"")</f>
        <v/>
      </c>
      <c r="D11" s="52">
        <f>IF('計算（触らない）'!$U11=0,"",IF(('計算（触らない）'!$V11+0)&lt;0,"",INT(ROUND((IF(('計算（触らない）'!$V11+0)=0,'計算（触らない）'!$C11,INDEX('計算（触らない）'!$AS11:$EP11,MIN(('計算（触らない）'!$V11+0),102)))-INDEX('計算（触らない）'!$AS11:$EP11,MIN(('計算（触らない）'!$V11+0),101)+1))*'計算（触らない）'!$N11,6)+'計算（触らない）'!$B$4)))</f>
        <v/>
      </c>
      <c r="E11" s="52">
        <f>IF('計算（触らない）'!$U11=0,"",IF(('計算（触らない）'!$V11+1)&lt;0,"",INT(ROUND((IF(('計算（触らない）'!$V11+1)=0,'計算（触らない）'!$C11,INDEX('計算（触らない）'!$AS11:$EP11,MIN(('計算（触らない）'!$V11+1),102)))-INDEX('計算（触らない）'!$AS11:$EP11,MIN(('計算（触らない）'!$V11+1),101)+1))*'計算（触らない）'!$N11,6)+'計算（触らない）'!$B$4)))</f>
        <v/>
      </c>
      <c r="F11" s="52">
        <f>IF('計算（触らない）'!$U11=0,"",IF(('計算（触らない）'!$V11+2)&lt;0,"",INT(ROUND((IF(('計算（触らない）'!$V11+2)=0,'計算（触らない）'!$C11,INDEX('計算（触らない）'!$AS11:$EP11,MIN(('計算（触らない）'!$V11+2),102)))-INDEX('計算（触らない）'!$AS11:$EP11,MIN(('計算（触らない）'!$V11+2),101)+1))*'計算（触らない）'!$N11,6)+'計算（触らない）'!$B$4)))</f>
        <v/>
      </c>
      <c r="G11" s="52">
        <f>IF('計算（触らない）'!$U11=0,"",IF(('計算（触らない）'!$V11+3)&lt;0,"",INT(ROUND((IF(('計算（触らない）'!$V11+3)=0,'計算（触らない）'!$C11,INDEX('計算（触らない）'!$AS11:$EP11,MIN(('計算（触らない）'!$V11+3),102)))-INDEX('計算（触らない）'!$AS11:$EP11,MIN(('計算（触らない）'!$V11+3),101)+1))*'計算（触らない）'!$N11,6)+'計算（触らない）'!$B$4)))</f>
        <v/>
      </c>
      <c r="H11" s="52">
        <f>IF('計算（触らない）'!$U11=0,"",IF(('計算（触らない）'!$V11+4)&lt;0,"",INT(ROUND((IF(('計算（触らない）'!$V11+4)=0,'計算（触らない）'!$C11,INDEX('計算（触らない）'!$AS11:$EP11,MIN(('計算（触らない）'!$V11+4),102)))-INDEX('計算（触らない）'!$AS11:$EP11,MIN(('計算（触らない）'!$V11+4),101)+1))*'計算（触らない）'!$N11,6)+'計算（触らない）'!$B$4)))</f>
        <v/>
      </c>
      <c r="I11" s="52">
        <f>IF('計算（触らない）'!$U11=0,"",IF(('計算（触らない）'!$V11+5)&lt;0,"",INT(ROUND((IF(('計算（触らない）'!$V11+5)=0,'計算（触らない）'!$C11,INDEX('計算（触らない）'!$AS11:$EP11,MIN(('計算（触らない）'!$V11+5),102)))-INDEX('計算（触らない）'!$AS11:$EP11,MIN(('計算（触らない）'!$V11+5),101)+1))*'計算（触らない）'!$N11,6)+'計算（触らない）'!$B$4)))</f>
        <v/>
      </c>
      <c r="J11" s="52">
        <f>IF('計算（触らない）'!$U11=0,"",IF(('計算（触らない）'!$V11+6)&lt;0,"",INT(ROUND((IF(('計算（触らない）'!$V11+6)=0,'計算（触らない）'!$C11,INDEX('計算（触らない）'!$AS11:$EP11,MIN(('計算（触らない）'!$V11+6),102)))-INDEX('計算（触らない）'!$AS11:$EP11,MIN(('計算（触らない）'!$V11+6),101)+1))*'計算（触らない）'!$N11,6)+'計算（触らない）'!$B$4)))</f>
        <v/>
      </c>
      <c r="K11" s="52">
        <f>IF('計算（触らない）'!$U11=0,"",IF(('計算（触らない）'!$V11+7)&lt;0,"",INT(ROUND((IF(('計算（触らない）'!$V11+7)=0,'計算（触らない）'!$C11,INDEX('計算（触らない）'!$AS11:$EP11,MIN(('計算（触らない）'!$V11+7),102)))-INDEX('計算（触らない）'!$AS11:$EP11,MIN(('計算（触らない）'!$V11+7),101)+1))*'計算（触らない）'!$N11,6)+'計算（触らない）'!$B$4)))</f>
        <v/>
      </c>
      <c r="L11" s="52">
        <f>IF('計算（触らない）'!$U11=0,"",IF(('計算（触らない）'!$V11+8)&lt;0,"",INT(ROUND((IF(('計算（触らない）'!$V11+8)=0,'計算（触らない）'!$C11,INDEX('計算（触らない）'!$AS11:$EP11,MIN(('計算（触らない）'!$V11+8),102)))-INDEX('計算（触らない）'!$AS11:$EP11,MIN(('計算（触らない）'!$V11+8),101)+1))*'計算（触らない）'!$N11,6)+'計算（触らない）'!$B$4)))</f>
        <v/>
      </c>
      <c r="M11" s="52">
        <f>IF('計算（触らない）'!$U11=0,"",IF(('計算（触らない）'!$V11+9)&lt;0,"",INT(ROUND((IF(('計算（触らない）'!$V11+9)=0,'計算（触らない）'!$C11,INDEX('計算（触らない）'!$AS11:$EP11,MIN(('計算（触らない）'!$V11+9),102)))-INDEX('計算（触らない）'!$AS11:$EP11,MIN(('計算（触らない）'!$V11+9),101)+1))*'計算（触らない）'!$N11,6)+'計算（触らない）'!$B$4)))</f>
        <v/>
      </c>
      <c r="N11" s="68" t="n"/>
      <c r="O11" s="52">
        <f>IF('計算（触らない）'!$U11=0,"",IF(('計算（触らない）'!$V11+0)&lt;0,"",IF(AND('計算（触らない）'!$F11&lt;=2,('計算（触らない）'!$V11+0)&gt;'計算（触らない）'!$R11),0,INDEX('計算（触らない）'!$AS11:$EP11,MIN(('計算（触らない）'!$V11+0),101)+1))))</f>
        <v/>
      </c>
      <c r="P11" s="52">
        <f>IF('計算（触らない）'!$U11=0,"",IF(('計算（触らない）'!$V11+1)&lt;0,"",IF(AND('計算（触らない）'!$F11&lt;=2,('計算（触らない）'!$V11+1)&gt;'計算（触らない）'!$R11),0,INDEX('計算（触らない）'!$AS11:$EP11,MIN(('計算（触らない）'!$V11+1),101)+1))))</f>
        <v/>
      </c>
      <c r="Q11" s="52">
        <f>IF('計算（触らない）'!$U11=0,"",IF(('計算（触らない）'!$V11+2)&lt;0,"",IF(AND('計算（触らない）'!$F11&lt;=2,('計算（触らない）'!$V11+2)&gt;'計算（触らない）'!$R11),0,INDEX('計算（触らない）'!$AS11:$EP11,MIN(('計算（触らない）'!$V11+2),101)+1))))</f>
        <v/>
      </c>
      <c r="R11" s="52">
        <f>IF('計算（触らない）'!$U11=0,"",IF(('計算（触らない）'!$V11+3)&lt;0,"",IF(AND('計算（触らない）'!$F11&lt;=2,('計算（触らない）'!$V11+3)&gt;'計算（触らない）'!$R11),0,INDEX('計算（触らない）'!$AS11:$EP11,MIN(('計算（触らない）'!$V11+3),101)+1))))</f>
        <v/>
      </c>
      <c r="S11" s="52">
        <f>IF('計算（触らない）'!$U11=0,"",IF(('計算（触らない）'!$V11+4)&lt;0,"",IF(AND('計算（触らない）'!$F11&lt;=2,('計算（触らない）'!$V11+4)&gt;'計算（触らない）'!$R11),0,INDEX('計算（触らない）'!$AS11:$EP11,MIN(('計算（触らない）'!$V11+4),101)+1))))</f>
        <v/>
      </c>
      <c r="T11" s="52">
        <f>IF('計算（触らない）'!$U11=0,"",IF(('計算（触らない）'!$V11+5)&lt;0,"",IF(AND('計算（触らない）'!$F11&lt;=2,('計算（触らない）'!$V11+5)&gt;'計算（触らない）'!$R11),0,INDEX('計算（触らない）'!$AS11:$EP11,MIN(('計算（触らない）'!$V11+5),101)+1))))</f>
        <v/>
      </c>
      <c r="U11" s="52">
        <f>IF('計算（触らない）'!$U11=0,"",IF(('計算（触らない）'!$V11+6)&lt;0,"",IF(AND('計算（触らない）'!$F11&lt;=2,('計算（触らない）'!$V11+6)&gt;'計算（触らない）'!$R11),0,INDEX('計算（触らない）'!$AS11:$EP11,MIN(('計算（触らない）'!$V11+6),101)+1))))</f>
        <v/>
      </c>
      <c r="V11" s="52">
        <f>IF('計算（触らない）'!$U11=0,"",IF(('計算（触らない）'!$V11+7)&lt;0,"",IF(AND('計算（触らない）'!$F11&lt;=2,('計算（触らない）'!$V11+7)&gt;'計算（触らない）'!$R11),0,INDEX('計算（触らない）'!$AS11:$EP11,MIN(('計算（触らない）'!$V11+7),101)+1))))</f>
        <v/>
      </c>
      <c r="W11" s="52">
        <f>IF('計算（触らない）'!$U11=0,"",IF(('計算（触らない）'!$V11+8)&lt;0,"",IF(AND('計算（触らない）'!$F11&lt;=2,('計算（触らない）'!$V11+8)&gt;'計算（触らない）'!$R11),0,INDEX('計算（触らない）'!$AS11:$EP11,MIN(('計算（触らない）'!$V11+8),101)+1))))</f>
        <v/>
      </c>
      <c r="X11" s="52">
        <f>IF('計算（触らない）'!$U11=0,"",IF(('計算（触らない）'!$V11+9)&lt;0,"",IF(AND('計算（触らない）'!$F11&lt;=2,('計算（触らない）'!$V11+9)&gt;'計算（触らない）'!$R11),0,INDEX('計算（触らない）'!$AS11:$EP11,MIN(('計算（触らない）'!$V11+9),101)+1))))</f>
        <v/>
      </c>
    </row>
    <row r="12" ht="17" customHeight="1">
      <c r="A12" s="21" t="n">
        <v>7</v>
      </c>
      <c r="B12" s="38">
        <f>IF('計算（触らない）'!$B12=0,"",'固定資産台帳'!$B12&amp;"")</f>
        <v/>
      </c>
      <c r="C12" s="38">
        <f>IF('計算（触らない）'!$B12=0,"",'固定資産台帳'!$H12&amp;"")</f>
        <v/>
      </c>
      <c r="D12" s="52">
        <f>IF('計算（触らない）'!$U12=0,"",IF(('計算（触らない）'!$V12+0)&lt;0,"",INT(ROUND((IF(('計算（触らない）'!$V12+0)=0,'計算（触らない）'!$C12,INDEX('計算（触らない）'!$AS12:$EP12,MIN(('計算（触らない）'!$V12+0),102)))-INDEX('計算（触らない）'!$AS12:$EP12,MIN(('計算（触らない）'!$V12+0),101)+1))*'計算（触らない）'!$N12,6)+'計算（触らない）'!$B$4)))</f>
        <v/>
      </c>
      <c r="E12" s="52">
        <f>IF('計算（触らない）'!$U12=0,"",IF(('計算（触らない）'!$V12+1)&lt;0,"",INT(ROUND((IF(('計算（触らない）'!$V12+1)=0,'計算（触らない）'!$C12,INDEX('計算（触らない）'!$AS12:$EP12,MIN(('計算（触らない）'!$V12+1),102)))-INDEX('計算（触らない）'!$AS12:$EP12,MIN(('計算（触らない）'!$V12+1),101)+1))*'計算（触らない）'!$N12,6)+'計算（触らない）'!$B$4)))</f>
        <v/>
      </c>
      <c r="F12" s="52">
        <f>IF('計算（触らない）'!$U12=0,"",IF(('計算（触らない）'!$V12+2)&lt;0,"",INT(ROUND((IF(('計算（触らない）'!$V12+2)=0,'計算（触らない）'!$C12,INDEX('計算（触らない）'!$AS12:$EP12,MIN(('計算（触らない）'!$V12+2),102)))-INDEX('計算（触らない）'!$AS12:$EP12,MIN(('計算（触らない）'!$V12+2),101)+1))*'計算（触らない）'!$N12,6)+'計算（触らない）'!$B$4)))</f>
        <v/>
      </c>
      <c r="G12" s="52">
        <f>IF('計算（触らない）'!$U12=0,"",IF(('計算（触らない）'!$V12+3)&lt;0,"",INT(ROUND((IF(('計算（触らない）'!$V12+3)=0,'計算（触らない）'!$C12,INDEX('計算（触らない）'!$AS12:$EP12,MIN(('計算（触らない）'!$V12+3),102)))-INDEX('計算（触らない）'!$AS12:$EP12,MIN(('計算（触らない）'!$V12+3),101)+1))*'計算（触らない）'!$N12,6)+'計算（触らない）'!$B$4)))</f>
        <v/>
      </c>
      <c r="H12" s="52">
        <f>IF('計算（触らない）'!$U12=0,"",IF(('計算（触らない）'!$V12+4)&lt;0,"",INT(ROUND((IF(('計算（触らない）'!$V12+4)=0,'計算（触らない）'!$C12,INDEX('計算（触らない）'!$AS12:$EP12,MIN(('計算（触らない）'!$V12+4),102)))-INDEX('計算（触らない）'!$AS12:$EP12,MIN(('計算（触らない）'!$V12+4),101)+1))*'計算（触らない）'!$N12,6)+'計算（触らない）'!$B$4)))</f>
        <v/>
      </c>
      <c r="I12" s="52">
        <f>IF('計算（触らない）'!$U12=0,"",IF(('計算（触らない）'!$V12+5)&lt;0,"",INT(ROUND((IF(('計算（触らない）'!$V12+5)=0,'計算（触らない）'!$C12,INDEX('計算（触らない）'!$AS12:$EP12,MIN(('計算（触らない）'!$V12+5),102)))-INDEX('計算（触らない）'!$AS12:$EP12,MIN(('計算（触らない）'!$V12+5),101)+1))*'計算（触らない）'!$N12,6)+'計算（触らない）'!$B$4)))</f>
        <v/>
      </c>
      <c r="J12" s="52">
        <f>IF('計算（触らない）'!$U12=0,"",IF(('計算（触らない）'!$V12+6)&lt;0,"",INT(ROUND((IF(('計算（触らない）'!$V12+6)=0,'計算（触らない）'!$C12,INDEX('計算（触らない）'!$AS12:$EP12,MIN(('計算（触らない）'!$V12+6),102)))-INDEX('計算（触らない）'!$AS12:$EP12,MIN(('計算（触らない）'!$V12+6),101)+1))*'計算（触らない）'!$N12,6)+'計算（触らない）'!$B$4)))</f>
        <v/>
      </c>
      <c r="K12" s="52">
        <f>IF('計算（触らない）'!$U12=0,"",IF(('計算（触らない）'!$V12+7)&lt;0,"",INT(ROUND((IF(('計算（触らない）'!$V12+7)=0,'計算（触らない）'!$C12,INDEX('計算（触らない）'!$AS12:$EP12,MIN(('計算（触らない）'!$V12+7),102)))-INDEX('計算（触らない）'!$AS12:$EP12,MIN(('計算（触らない）'!$V12+7),101)+1))*'計算（触らない）'!$N12,6)+'計算（触らない）'!$B$4)))</f>
        <v/>
      </c>
      <c r="L12" s="52">
        <f>IF('計算（触らない）'!$U12=0,"",IF(('計算（触らない）'!$V12+8)&lt;0,"",INT(ROUND((IF(('計算（触らない）'!$V12+8)=0,'計算（触らない）'!$C12,INDEX('計算（触らない）'!$AS12:$EP12,MIN(('計算（触らない）'!$V12+8),102)))-INDEX('計算（触らない）'!$AS12:$EP12,MIN(('計算（触らない）'!$V12+8),101)+1))*'計算（触らない）'!$N12,6)+'計算（触らない）'!$B$4)))</f>
        <v/>
      </c>
      <c r="M12" s="52">
        <f>IF('計算（触らない）'!$U12=0,"",IF(('計算（触らない）'!$V12+9)&lt;0,"",INT(ROUND((IF(('計算（触らない）'!$V12+9)=0,'計算（触らない）'!$C12,INDEX('計算（触らない）'!$AS12:$EP12,MIN(('計算（触らない）'!$V12+9),102)))-INDEX('計算（触らない）'!$AS12:$EP12,MIN(('計算（触らない）'!$V12+9),101)+1))*'計算（触らない）'!$N12,6)+'計算（触らない）'!$B$4)))</f>
        <v/>
      </c>
      <c r="N12" s="68" t="n"/>
      <c r="O12" s="52">
        <f>IF('計算（触らない）'!$U12=0,"",IF(('計算（触らない）'!$V12+0)&lt;0,"",IF(AND('計算（触らない）'!$F12&lt;=2,('計算（触らない）'!$V12+0)&gt;'計算（触らない）'!$R12),0,INDEX('計算（触らない）'!$AS12:$EP12,MIN(('計算（触らない）'!$V12+0),101)+1))))</f>
        <v/>
      </c>
      <c r="P12" s="52">
        <f>IF('計算（触らない）'!$U12=0,"",IF(('計算（触らない）'!$V12+1)&lt;0,"",IF(AND('計算（触らない）'!$F12&lt;=2,('計算（触らない）'!$V12+1)&gt;'計算（触らない）'!$R12),0,INDEX('計算（触らない）'!$AS12:$EP12,MIN(('計算（触らない）'!$V12+1),101)+1))))</f>
        <v/>
      </c>
      <c r="Q12" s="52">
        <f>IF('計算（触らない）'!$U12=0,"",IF(('計算（触らない）'!$V12+2)&lt;0,"",IF(AND('計算（触らない）'!$F12&lt;=2,('計算（触らない）'!$V12+2)&gt;'計算（触らない）'!$R12),0,INDEX('計算（触らない）'!$AS12:$EP12,MIN(('計算（触らない）'!$V12+2),101)+1))))</f>
        <v/>
      </c>
      <c r="R12" s="52">
        <f>IF('計算（触らない）'!$U12=0,"",IF(('計算（触らない）'!$V12+3)&lt;0,"",IF(AND('計算（触らない）'!$F12&lt;=2,('計算（触らない）'!$V12+3)&gt;'計算（触らない）'!$R12),0,INDEX('計算（触らない）'!$AS12:$EP12,MIN(('計算（触らない）'!$V12+3),101)+1))))</f>
        <v/>
      </c>
      <c r="S12" s="52">
        <f>IF('計算（触らない）'!$U12=0,"",IF(('計算（触らない）'!$V12+4)&lt;0,"",IF(AND('計算（触らない）'!$F12&lt;=2,('計算（触らない）'!$V12+4)&gt;'計算（触らない）'!$R12),0,INDEX('計算（触らない）'!$AS12:$EP12,MIN(('計算（触らない）'!$V12+4),101)+1))))</f>
        <v/>
      </c>
      <c r="T12" s="52">
        <f>IF('計算（触らない）'!$U12=0,"",IF(('計算（触らない）'!$V12+5)&lt;0,"",IF(AND('計算（触らない）'!$F12&lt;=2,('計算（触らない）'!$V12+5)&gt;'計算（触らない）'!$R12),0,INDEX('計算（触らない）'!$AS12:$EP12,MIN(('計算（触らない）'!$V12+5),101)+1))))</f>
        <v/>
      </c>
      <c r="U12" s="52">
        <f>IF('計算（触らない）'!$U12=0,"",IF(('計算（触らない）'!$V12+6)&lt;0,"",IF(AND('計算（触らない）'!$F12&lt;=2,('計算（触らない）'!$V12+6)&gt;'計算（触らない）'!$R12),0,INDEX('計算（触らない）'!$AS12:$EP12,MIN(('計算（触らない）'!$V12+6),101)+1))))</f>
        <v/>
      </c>
      <c r="V12" s="52">
        <f>IF('計算（触らない）'!$U12=0,"",IF(('計算（触らない）'!$V12+7)&lt;0,"",IF(AND('計算（触らない）'!$F12&lt;=2,('計算（触らない）'!$V12+7)&gt;'計算（触らない）'!$R12),0,INDEX('計算（触らない）'!$AS12:$EP12,MIN(('計算（触らない）'!$V12+7),101)+1))))</f>
        <v/>
      </c>
      <c r="W12" s="52">
        <f>IF('計算（触らない）'!$U12=0,"",IF(('計算（触らない）'!$V12+8)&lt;0,"",IF(AND('計算（触らない）'!$F12&lt;=2,('計算（触らない）'!$V12+8)&gt;'計算（触らない）'!$R12),0,INDEX('計算（触らない）'!$AS12:$EP12,MIN(('計算（触らない）'!$V12+8),101)+1))))</f>
        <v/>
      </c>
      <c r="X12" s="52">
        <f>IF('計算（触らない）'!$U12=0,"",IF(('計算（触らない）'!$V12+9)&lt;0,"",IF(AND('計算（触らない）'!$F12&lt;=2,('計算（触らない）'!$V12+9)&gt;'計算（触らない）'!$R12),0,INDEX('計算（触らない）'!$AS12:$EP12,MIN(('計算（触らない）'!$V12+9),101)+1))))</f>
        <v/>
      </c>
    </row>
    <row r="13" ht="17" customHeight="1">
      <c r="A13" s="21" t="n">
        <v>8</v>
      </c>
      <c r="B13" s="38">
        <f>IF('計算（触らない）'!$B13=0,"",'固定資産台帳'!$B13&amp;"")</f>
        <v/>
      </c>
      <c r="C13" s="38">
        <f>IF('計算（触らない）'!$B13=0,"",'固定資産台帳'!$H13&amp;"")</f>
        <v/>
      </c>
      <c r="D13" s="52">
        <f>IF('計算（触らない）'!$U13=0,"",IF(('計算（触らない）'!$V13+0)&lt;0,"",INT(ROUND((IF(('計算（触らない）'!$V13+0)=0,'計算（触らない）'!$C13,INDEX('計算（触らない）'!$AS13:$EP13,MIN(('計算（触らない）'!$V13+0),102)))-INDEX('計算（触らない）'!$AS13:$EP13,MIN(('計算（触らない）'!$V13+0),101)+1))*'計算（触らない）'!$N13,6)+'計算（触らない）'!$B$4)))</f>
        <v/>
      </c>
      <c r="E13" s="52">
        <f>IF('計算（触らない）'!$U13=0,"",IF(('計算（触らない）'!$V13+1)&lt;0,"",INT(ROUND((IF(('計算（触らない）'!$V13+1)=0,'計算（触らない）'!$C13,INDEX('計算（触らない）'!$AS13:$EP13,MIN(('計算（触らない）'!$V13+1),102)))-INDEX('計算（触らない）'!$AS13:$EP13,MIN(('計算（触らない）'!$V13+1),101)+1))*'計算（触らない）'!$N13,6)+'計算（触らない）'!$B$4)))</f>
        <v/>
      </c>
      <c r="F13" s="52">
        <f>IF('計算（触らない）'!$U13=0,"",IF(('計算（触らない）'!$V13+2)&lt;0,"",INT(ROUND((IF(('計算（触らない）'!$V13+2)=0,'計算（触らない）'!$C13,INDEX('計算（触らない）'!$AS13:$EP13,MIN(('計算（触らない）'!$V13+2),102)))-INDEX('計算（触らない）'!$AS13:$EP13,MIN(('計算（触らない）'!$V13+2),101)+1))*'計算（触らない）'!$N13,6)+'計算（触らない）'!$B$4)))</f>
        <v/>
      </c>
      <c r="G13" s="52">
        <f>IF('計算（触らない）'!$U13=0,"",IF(('計算（触らない）'!$V13+3)&lt;0,"",INT(ROUND((IF(('計算（触らない）'!$V13+3)=0,'計算（触らない）'!$C13,INDEX('計算（触らない）'!$AS13:$EP13,MIN(('計算（触らない）'!$V13+3),102)))-INDEX('計算（触らない）'!$AS13:$EP13,MIN(('計算（触らない）'!$V13+3),101)+1))*'計算（触らない）'!$N13,6)+'計算（触らない）'!$B$4)))</f>
        <v/>
      </c>
      <c r="H13" s="52">
        <f>IF('計算（触らない）'!$U13=0,"",IF(('計算（触らない）'!$V13+4)&lt;0,"",INT(ROUND((IF(('計算（触らない）'!$V13+4)=0,'計算（触らない）'!$C13,INDEX('計算（触らない）'!$AS13:$EP13,MIN(('計算（触らない）'!$V13+4),102)))-INDEX('計算（触らない）'!$AS13:$EP13,MIN(('計算（触らない）'!$V13+4),101)+1))*'計算（触らない）'!$N13,6)+'計算（触らない）'!$B$4)))</f>
        <v/>
      </c>
      <c r="I13" s="52">
        <f>IF('計算（触らない）'!$U13=0,"",IF(('計算（触らない）'!$V13+5)&lt;0,"",INT(ROUND((IF(('計算（触らない）'!$V13+5)=0,'計算（触らない）'!$C13,INDEX('計算（触らない）'!$AS13:$EP13,MIN(('計算（触らない）'!$V13+5),102)))-INDEX('計算（触らない）'!$AS13:$EP13,MIN(('計算（触らない）'!$V13+5),101)+1))*'計算（触らない）'!$N13,6)+'計算（触らない）'!$B$4)))</f>
        <v/>
      </c>
      <c r="J13" s="52">
        <f>IF('計算（触らない）'!$U13=0,"",IF(('計算（触らない）'!$V13+6)&lt;0,"",INT(ROUND((IF(('計算（触らない）'!$V13+6)=0,'計算（触らない）'!$C13,INDEX('計算（触らない）'!$AS13:$EP13,MIN(('計算（触らない）'!$V13+6),102)))-INDEX('計算（触らない）'!$AS13:$EP13,MIN(('計算（触らない）'!$V13+6),101)+1))*'計算（触らない）'!$N13,6)+'計算（触らない）'!$B$4)))</f>
        <v/>
      </c>
      <c r="K13" s="52">
        <f>IF('計算（触らない）'!$U13=0,"",IF(('計算（触らない）'!$V13+7)&lt;0,"",INT(ROUND((IF(('計算（触らない）'!$V13+7)=0,'計算（触らない）'!$C13,INDEX('計算（触らない）'!$AS13:$EP13,MIN(('計算（触らない）'!$V13+7),102)))-INDEX('計算（触らない）'!$AS13:$EP13,MIN(('計算（触らない）'!$V13+7),101)+1))*'計算（触らない）'!$N13,6)+'計算（触らない）'!$B$4)))</f>
        <v/>
      </c>
      <c r="L13" s="52">
        <f>IF('計算（触らない）'!$U13=0,"",IF(('計算（触らない）'!$V13+8)&lt;0,"",INT(ROUND((IF(('計算（触らない）'!$V13+8)=0,'計算（触らない）'!$C13,INDEX('計算（触らない）'!$AS13:$EP13,MIN(('計算（触らない）'!$V13+8),102)))-INDEX('計算（触らない）'!$AS13:$EP13,MIN(('計算（触らない）'!$V13+8),101)+1))*'計算（触らない）'!$N13,6)+'計算（触らない）'!$B$4)))</f>
        <v/>
      </c>
      <c r="M13" s="52">
        <f>IF('計算（触らない）'!$U13=0,"",IF(('計算（触らない）'!$V13+9)&lt;0,"",INT(ROUND((IF(('計算（触らない）'!$V13+9)=0,'計算（触らない）'!$C13,INDEX('計算（触らない）'!$AS13:$EP13,MIN(('計算（触らない）'!$V13+9),102)))-INDEX('計算（触らない）'!$AS13:$EP13,MIN(('計算（触らない）'!$V13+9),101)+1))*'計算（触らない）'!$N13,6)+'計算（触らない）'!$B$4)))</f>
        <v/>
      </c>
      <c r="N13" s="68" t="n"/>
      <c r="O13" s="52">
        <f>IF('計算（触らない）'!$U13=0,"",IF(('計算（触らない）'!$V13+0)&lt;0,"",IF(AND('計算（触らない）'!$F13&lt;=2,('計算（触らない）'!$V13+0)&gt;'計算（触らない）'!$R13),0,INDEX('計算（触らない）'!$AS13:$EP13,MIN(('計算（触らない）'!$V13+0),101)+1))))</f>
        <v/>
      </c>
      <c r="P13" s="52">
        <f>IF('計算（触らない）'!$U13=0,"",IF(('計算（触らない）'!$V13+1)&lt;0,"",IF(AND('計算（触らない）'!$F13&lt;=2,('計算（触らない）'!$V13+1)&gt;'計算（触らない）'!$R13),0,INDEX('計算（触らない）'!$AS13:$EP13,MIN(('計算（触らない）'!$V13+1),101)+1))))</f>
        <v/>
      </c>
      <c r="Q13" s="52">
        <f>IF('計算（触らない）'!$U13=0,"",IF(('計算（触らない）'!$V13+2)&lt;0,"",IF(AND('計算（触らない）'!$F13&lt;=2,('計算（触らない）'!$V13+2)&gt;'計算（触らない）'!$R13),0,INDEX('計算（触らない）'!$AS13:$EP13,MIN(('計算（触らない）'!$V13+2),101)+1))))</f>
        <v/>
      </c>
      <c r="R13" s="52">
        <f>IF('計算（触らない）'!$U13=0,"",IF(('計算（触らない）'!$V13+3)&lt;0,"",IF(AND('計算（触らない）'!$F13&lt;=2,('計算（触らない）'!$V13+3)&gt;'計算（触らない）'!$R13),0,INDEX('計算（触らない）'!$AS13:$EP13,MIN(('計算（触らない）'!$V13+3),101)+1))))</f>
        <v/>
      </c>
      <c r="S13" s="52">
        <f>IF('計算（触らない）'!$U13=0,"",IF(('計算（触らない）'!$V13+4)&lt;0,"",IF(AND('計算（触らない）'!$F13&lt;=2,('計算（触らない）'!$V13+4)&gt;'計算（触らない）'!$R13),0,INDEX('計算（触らない）'!$AS13:$EP13,MIN(('計算（触らない）'!$V13+4),101)+1))))</f>
        <v/>
      </c>
      <c r="T13" s="52">
        <f>IF('計算（触らない）'!$U13=0,"",IF(('計算（触らない）'!$V13+5)&lt;0,"",IF(AND('計算（触らない）'!$F13&lt;=2,('計算（触らない）'!$V13+5)&gt;'計算（触らない）'!$R13),0,INDEX('計算（触らない）'!$AS13:$EP13,MIN(('計算（触らない）'!$V13+5),101)+1))))</f>
        <v/>
      </c>
      <c r="U13" s="52">
        <f>IF('計算（触らない）'!$U13=0,"",IF(('計算（触らない）'!$V13+6)&lt;0,"",IF(AND('計算（触らない）'!$F13&lt;=2,('計算（触らない）'!$V13+6)&gt;'計算（触らない）'!$R13),0,INDEX('計算（触らない）'!$AS13:$EP13,MIN(('計算（触らない）'!$V13+6),101)+1))))</f>
        <v/>
      </c>
      <c r="V13" s="52">
        <f>IF('計算（触らない）'!$U13=0,"",IF(('計算（触らない）'!$V13+7)&lt;0,"",IF(AND('計算（触らない）'!$F13&lt;=2,('計算（触らない）'!$V13+7)&gt;'計算（触らない）'!$R13),0,INDEX('計算（触らない）'!$AS13:$EP13,MIN(('計算（触らない）'!$V13+7),101)+1))))</f>
        <v/>
      </c>
      <c r="W13" s="52">
        <f>IF('計算（触らない）'!$U13=0,"",IF(('計算（触らない）'!$V13+8)&lt;0,"",IF(AND('計算（触らない）'!$F13&lt;=2,('計算（触らない）'!$V13+8)&gt;'計算（触らない）'!$R13),0,INDEX('計算（触らない）'!$AS13:$EP13,MIN(('計算（触らない）'!$V13+8),101)+1))))</f>
        <v/>
      </c>
      <c r="X13" s="52">
        <f>IF('計算（触らない）'!$U13=0,"",IF(('計算（触らない）'!$V13+9)&lt;0,"",IF(AND('計算（触らない）'!$F13&lt;=2,('計算（触らない）'!$V13+9)&gt;'計算（触らない）'!$R13),0,INDEX('計算（触らない）'!$AS13:$EP13,MIN(('計算（触らない）'!$V13+9),101)+1))))</f>
        <v/>
      </c>
    </row>
    <row r="14" ht="17" customHeight="1">
      <c r="A14" s="21" t="n">
        <v>9</v>
      </c>
      <c r="B14" s="38">
        <f>IF('計算（触らない）'!$B14=0,"",'固定資産台帳'!$B14&amp;"")</f>
        <v/>
      </c>
      <c r="C14" s="38">
        <f>IF('計算（触らない）'!$B14=0,"",'固定資産台帳'!$H14&amp;"")</f>
        <v/>
      </c>
      <c r="D14" s="52">
        <f>IF('計算（触らない）'!$U14=0,"",IF(('計算（触らない）'!$V14+0)&lt;0,"",INT(ROUND((IF(('計算（触らない）'!$V14+0)=0,'計算（触らない）'!$C14,INDEX('計算（触らない）'!$AS14:$EP14,MIN(('計算（触らない）'!$V14+0),102)))-INDEX('計算（触らない）'!$AS14:$EP14,MIN(('計算（触らない）'!$V14+0),101)+1))*'計算（触らない）'!$N14,6)+'計算（触らない）'!$B$4)))</f>
        <v/>
      </c>
      <c r="E14" s="52">
        <f>IF('計算（触らない）'!$U14=0,"",IF(('計算（触らない）'!$V14+1)&lt;0,"",INT(ROUND((IF(('計算（触らない）'!$V14+1)=0,'計算（触らない）'!$C14,INDEX('計算（触らない）'!$AS14:$EP14,MIN(('計算（触らない）'!$V14+1),102)))-INDEX('計算（触らない）'!$AS14:$EP14,MIN(('計算（触らない）'!$V14+1),101)+1))*'計算（触らない）'!$N14,6)+'計算（触らない）'!$B$4)))</f>
        <v/>
      </c>
      <c r="F14" s="52">
        <f>IF('計算（触らない）'!$U14=0,"",IF(('計算（触らない）'!$V14+2)&lt;0,"",INT(ROUND((IF(('計算（触らない）'!$V14+2)=0,'計算（触らない）'!$C14,INDEX('計算（触らない）'!$AS14:$EP14,MIN(('計算（触らない）'!$V14+2),102)))-INDEX('計算（触らない）'!$AS14:$EP14,MIN(('計算（触らない）'!$V14+2),101)+1))*'計算（触らない）'!$N14,6)+'計算（触らない）'!$B$4)))</f>
        <v/>
      </c>
      <c r="G14" s="52">
        <f>IF('計算（触らない）'!$U14=0,"",IF(('計算（触らない）'!$V14+3)&lt;0,"",INT(ROUND((IF(('計算（触らない）'!$V14+3)=0,'計算（触らない）'!$C14,INDEX('計算（触らない）'!$AS14:$EP14,MIN(('計算（触らない）'!$V14+3),102)))-INDEX('計算（触らない）'!$AS14:$EP14,MIN(('計算（触らない）'!$V14+3),101)+1))*'計算（触らない）'!$N14,6)+'計算（触らない）'!$B$4)))</f>
        <v/>
      </c>
      <c r="H14" s="52">
        <f>IF('計算（触らない）'!$U14=0,"",IF(('計算（触らない）'!$V14+4)&lt;0,"",INT(ROUND((IF(('計算（触らない）'!$V14+4)=0,'計算（触らない）'!$C14,INDEX('計算（触らない）'!$AS14:$EP14,MIN(('計算（触らない）'!$V14+4),102)))-INDEX('計算（触らない）'!$AS14:$EP14,MIN(('計算（触らない）'!$V14+4),101)+1))*'計算（触らない）'!$N14,6)+'計算（触らない）'!$B$4)))</f>
        <v/>
      </c>
      <c r="I14" s="52">
        <f>IF('計算（触らない）'!$U14=0,"",IF(('計算（触らない）'!$V14+5)&lt;0,"",INT(ROUND((IF(('計算（触らない）'!$V14+5)=0,'計算（触らない）'!$C14,INDEX('計算（触らない）'!$AS14:$EP14,MIN(('計算（触らない）'!$V14+5),102)))-INDEX('計算（触らない）'!$AS14:$EP14,MIN(('計算（触らない）'!$V14+5),101)+1))*'計算（触らない）'!$N14,6)+'計算（触らない）'!$B$4)))</f>
        <v/>
      </c>
      <c r="J14" s="52">
        <f>IF('計算（触らない）'!$U14=0,"",IF(('計算（触らない）'!$V14+6)&lt;0,"",INT(ROUND((IF(('計算（触らない）'!$V14+6)=0,'計算（触らない）'!$C14,INDEX('計算（触らない）'!$AS14:$EP14,MIN(('計算（触らない）'!$V14+6),102)))-INDEX('計算（触らない）'!$AS14:$EP14,MIN(('計算（触らない）'!$V14+6),101)+1))*'計算（触らない）'!$N14,6)+'計算（触らない）'!$B$4)))</f>
        <v/>
      </c>
      <c r="K14" s="52">
        <f>IF('計算（触らない）'!$U14=0,"",IF(('計算（触らない）'!$V14+7)&lt;0,"",INT(ROUND((IF(('計算（触らない）'!$V14+7)=0,'計算（触らない）'!$C14,INDEX('計算（触らない）'!$AS14:$EP14,MIN(('計算（触らない）'!$V14+7),102)))-INDEX('計算（触らない）'!$AS14:$EP14,MIN(('計算（触らない）'!$V14+7),101)+1))*'計算（触らない）'!$N14,6)+'計算（触らない）'!$B$4)))</f>
        <v/>
      </c>
      <c r="L14" s="52">
        <f>IF('計算（触らない）'!$U14=0,"",IF(('計算（触らない）'!$V14+8)&lt;0,"",INT(ROUND((IF(('計算（触らない）'!$V14+8)=0,'計算（触らない）'!$C14,INDEX('計算（触らない）'!$AS14:$EP14,MIN(('計算（触らない）'!$V14+8),102)))-INDEX('計算（触らない）'!$AS14:$EP14,MIN(('計算（触らない）'!$V14+8),101)+1))*'計算（触らない）'!$N14,6)+'計算（触らない）'!$B$4)))</f>
        <v/>
      </c>
      <c r="M14" s="52">
        <f>IF('計算（触らない）'!$U14=0,"",IF(('計算（触らない）'!$V14+9)&lt;0,"",INT(ROUND((IF(('計算（触らない）'!$V14+9)=0,'計算（触らない）'!$C14,INDEX('計算（触らない）'!$AS14:$EP14,MIN(('計算（触らない）'!$V14+9),102)))-INDEX('計算（触らない）'!$AS14:$EP14,MIN(('計算（触らない）'!$V14+9),101)+1))*'計算（触らない）'!$N14,6)+'計算（触らない）'!$B$4)))</f>
        <v/>
      </c>
      <c r="N14" s="68" t="n"/>
      <c r="O14" s="52">
        <f>IF('計算（触らない）'!$U14=0,"",IF(('計算（触らない）'!$V14+0)&lt;0,"",IF(AND('計算（触らない）'!$F14&lt;=2,('計算（触らない）'!$V14+0)&gt;'計算（触らない）'!$R14),0,INDEX('計算（触らない）'!$AS14:$EP14,MIN(('計算（触らない）'!$V14+0),101)+1))))</f>
        <v/>
      </c>
      <c r="P14" s="52">
        <f>IF('計算（触らない）'!$U14=0,"",IF(('計算（触らない）'!$V14+1)&lt;0,"",IF(AND('計算（触らない）'!$F14&lt;=2,('計算（触らない）'!$V14+1)&gt;'計算（触らない）'!$R14),0,INDEX('計算（触らない）'!$AS14:$EP14,MIN(('計算（触らない）'!$V14+1),101)+1))))</f>
        <v/>
      </c>
      <c r="Q14" s="52">
        <f>IF('計算（触らない）'!$U14=0,"",IF(('計算（触らない）'!$V14+2)&lt;0,"",IF(AND('計算（触らない）'!$F14&lt;=2,('計算（触らない）'!$V14+2)&gt;'計算（触らない）'!$R14),0,INDEX('計算（触らない）'!$AS14:$EP14,MIN(('計算（触らない）'!$V14+2),101)+1))))</f>
        <v/>
      </c>
      <c r="R14" s="52">
        <f>IF('計算（触らない）'!$U14=0,"",IF(('計算（触らない）'!$V14+3)&lt;0,"",IF(AND('計算（触らない）'!$F14&lt;=2,('計算（触らない）'!$V14+3)&gt;'計算（触らない）'!$R14),0,INDEX('計算（触らない）'!$AS14:$EP14,MIN(('計算（触らない）'!$V14+3),101)+1))))</f>
        <v/>
      </c>
      <c r="S14" s="52">
        <f>IF('計算（触らない）'!$U14=0,"",IF(('計算（触らない）'!$V14+4)&lt;0,"",IF(AND('計算（触らない）'!$F14&lt;=2,('計算（触らない）'!$V14+4)&gt;'計算（触らない）'!$R14),0,INDEX('計算（触らない）'!$AS14:$EP14,MIN(('計算（触らない）'!$V14+4),101)+1))))</f>
        <v/>
      </c>
      <c r="T14" s="52">
        <f>IF('計算（触らない）'!$U14=0,"",IF(('計算（触らない）'!$V14+5)&lt;0,"",IF(AND('計算（触らない）'!$F14&lt;=2,('計算（触らない）'!$V14+5)&gt;'計算（触らない）'!$R14),0,INDEX('計算（触らない）'!$AS14:$EP14,MIN(('計算（触らない）'!$V14+5),101)+1))))</f>
        <v/>
      </c>
      <c r="U14" s="52">
        <f>IF('計算（触らない）'!$U14=0,"",IF(('計算（触らない）'!$V14+6)&lt;0,"",IF(AND('計算（触らない）'!$F14&lt;=2,('計算（触らない）'!$V14+6)&gt;'計算（触らない）'!$R14),0,INDEX('計算（触らない）'!$AS14:$EP14,MIN(('計算（触らない）'!$V14+6),101)+1))))</f>
        <v/>
      </c>
      <c r="V14" s="52">
        <f>IF('計算（触らない）'!$U14=0,"",IF(('計算（触らない）'!$V14+7)&lt;0,"",IF(AND('計算（触らない）'!$F14&lt;=2,('計算（触らない）'!$V14+7)&gt;'計算（触らない）'!$R14),0,INDEX('計算（触らない）'!$AS14:$EP14,MIN(('計算（触らない）'!$V14+7),101)+1))))</f>
        <v/>
      </c>
      <c r="W14" s="52">
        <f>IF('計算（触らない）'!$U14=0,"",IF(('計算（触らない）'!$V14+8)&lt;0,"",IF(AND('計算（触らない）'!$F14&lt;=2,('計算（触らない）'!$V14+8)&gt;'計算（触らない）'!$R14),0,INDEX('計算（触らない）'!$AS14:$EP14,MIN(('計算（触らない）'!$V14+8),101)+1))))</f>
        <v/>
      </c>
      <c r="X14" s="52">
        <f>IF('計算（触らない）'!$U14=0,"",IF(('計算（触らない）'!$V14+9)&lt;0,"",IF(AND('計算（触らない）'!$F14&lt;=2,('計算（触らない）'!$V14+9)&gt;'計算（触らない）'!$R14),0,INDEX('計算（触らない）'!$AS14:$EP14,MIN(('計算（触らない）'!$V14+9),101)+1))))</f>
        <v/>
      </c>
    </row>
    <row r="15" ht="17" customHeight="1">
      <c r="A15" s="21" t="n">
        <v>10</v>
      </c>
      <c r="B15" s="38">
        <f>IF('計算（触らない）'!$B15=0,"",'固定資産台帳'!$B15&amp;"")</f>
        <v/>
      </c>
      <c r="C15" s="38">
        <f>IF('計算（触らない）'!$B15=0,"",'固定資産台帳'!$H15&amp;"")</f>
        <v/>
      </c>
      <c r="D15" s="52">
        <f>IF('計算（触らない）'!$U15=0,"",IF(('計算（触らない）'!$V15+0)&lt;0,"",INT(ROUND((IF(('計算（触らない）'!$V15+0)=0,'計算（触らない）'!$C15,INDEX('計算（触らない）'!$AS15:$EP15,MIN(('計算（触らない）'!$V15+0),102)))-INDEX('計算（触らない）'!$AS15:$EP15,MIN(('計算（触らない）'!$V15+0),101)+1))*'計算（触らない）'!$N15,6)+'計算（触らない）'!$B$4)))</f>
        <v/>
      </c>
      <c r="E15" s="52">
        <f>IF('計算（触らない）'!$U15=0,"",IF(('計算（触らない）'!$V15+1)&lt;0,"",INT(ROUND((IF(('計算（触らない）'!$V15+1)=0,'計算（触らない）'!$C15,INDEX('計算（触らない）'!$AS15:$EP15,MIN(('計算（触らない）'!$V15+1),102)))-INDEX('計算（触らない）'!$AS15:$EP15,MIN(('計算（触らない）'!$V15+1),101)+1))*'計算（触らない）'!$N15,6)+'計算（触らない）'!$B$4)))</f>
        <v/>
      </c>
      <c r="F15" s="52">
        <f>IF('計算（触らない）'!$U15=0,"",IF(('計算（触らない）'!$V15+2)&lt;0,"",INT(ROUND((IF(('計算（触らない）'!$V15+2)=0,'計算（触らない）'!$C15,INDEX('計算（触らない）'!$AS15:$EP15,MIN(('計算（触らない）'!$V15+2),102)))-INDEX('計算（触らない）'!$AS15:$EP15,MIN(('計算（触らない）'!$V15+2),101)+1))*'計算（触らない）'!$N15,6)+'計算（触らない）'!$B$4)))</f>
        <v/>
      </c>
      <c r="G15" s="52">
        <f>IF('計算（触らない）'!$U15=0,"",IF(('計算（触らない）'!$V15+3)&lt;0,"",INT(ROUND((IF(('計算（触らない）'!$V15+3)=0,'計算（触らない）'!$C15,INDEX('計算（触らない）'!$AS15:$EP15,MIN(('計算（触らない）'!$V15+3),102)))-INDEX('計算（触らない）'!$AS15:$EP15,MIN(('計算（触らない）'!$V15+3),101)+1))*'計算（触らない）'!$N15,6)+'計算（触らない）'!$B$4)))</f>
        <v/>
      </c>
      <c r="H15" s="52">
        <f>IF('計算（触らない）'!$U15=0,"",IF(('計算（触らない）'!$V15+4)&lt;0,"",INT(ROUND((IF(('計算（触らない）'!$V15+4)=0,'計算（触らない）'!$C15,INDEX('計算（触らない）'!$AS15:$EP15,MIN(('計算（触らない）'!$V15+4),102)))-INDEX('計算（触らない）'!$AS15:$EP15,MIN(('計算（触らない）'!$V15+4),101)+1))*'計算（触らない）'!$N15,6)+'計算（触らない）'!$B$4)))</f>
        <v/>
      </c>
      <c r="I15" s="52">
        <f>IF('計算（触らない）'!$U15=0,"",IF(('計算（触らない）'!$V15+5)&lt;0,"",INT(ROUND((IF(('計算（触らない）'!$V15+5)=0,'計算（触らない）'!$C15,INDEX('計算（触らない）'!$AS15:$EP15,MIN(('計算（触らない）'!$V15+5),102)))-INDEX('計算（触らない）'!$AS15:$EP15,MIN(('計算（触らない）'!$V15+5),101)+1))*'計算（触らない）'!$N15,6)+'計算（触らない）'!$B$4)))</f>
        <v/>
      </c>
      <c r="J15" s="52">
        <f>IF('計算（触らない）'!$U15=0,"",IF(('計算（触らない）'!$V15+6)&lt;0,"",INT(ROUND((IF(('計算（触らない）'!$V15+6)=0,'計算（触らない）'!$C15,INDEX('計算（触らない）'!$AS15:$EP15,MIN(('計算（触らない）'!$V15+6),102)))-INDEX('計算（触らない）'!$AS15:$EP15,MIN(('計算（触らない）'!$V15+6),101)+1))*'計算（触らない）'!$N15,6)+'計算（触らない）'!$B$4)))</f>
        <v/>
      </c>
      <c r="K15" s="52">
        <f>IF('計算（触らない）'!$U15=0,"",IF(('計算（触らない）'!$V15+7)&lt;0,"",INT(ROUND((IF(('計算（触らない）'!$V15+7)=0,'計算（触らない）'!$C15,INDEX('計算（触らない）'!$AS15:$EP15,MIN(('計算（触らない）'!$V15+7),102)))-INDEX('計算（触らない）'!$AS15:$EP15,MIN(('計算（触らない）'!$V15+7),101)+1))*'計算（触らない）'!$N15,6)+'計算（触らない）'!$B$4)))</f>
        <v/>
      </c>
      <c r="L15" s="52">
        <f>IF('計算（触らない）'!$U15=0,"",IF(('計算（触らない）'!$V15+8)&lt;0,"",INT(ROUND((IF(('計算（触らない）'!$V15+8)=0,'計算（触らない）'!$C15,INDEX('計算（触らない）'!$AS15:$EP15,MIN(('計算（触らない）'!$V15+8),102)))-INDEX('計算（触らない）'!$AS15:$EP15,MIN(('計算（触らない）'!$V15+8),101)+1))*'計算（触らない）'!$N15,6)+'計算（触らない）'!$B$4)))</f>
        <v/>
      </c>
      <c r="M15" s="52">
        <f>IF('計算（触らない）'!$U15=0,"",IF(('計算（触らない）'!$V15+9)&lt;0,"",INT(ROUND((IF(('計算（触らない）'!$V15+9)=0,'計算（触らない）'!$C15,INDEX('計算（触らない）'!$AS15:$EP15,MIN(('計算（触らない）'!$V15+9),102)))-INDEX('計算（触らない）'!$AS15:$EP15,MIN(('計算（触らない）'!$V15+9),101)+1))*'計算（触らない）'!$N15,6)+'計算（触らない）'!$B$4)))</f>
        <v/>
      </c>
      <c r="N15" s="68" t="n"/>
      <c r="O15" s="52">
        <f>IF('計算（触らない）'!$U15=0,"",IF(('計算（触らない）'!$V15+0)&lt;0,"",IF(AND('計算（触らない）'!$F15&lt;=2,('計算（触らない）'!$V15+0)&gt;'計算（触らない）'!$R15),0,INDEX('計算（触らない）'!$AS15:$EP15,MIN(('計算（触らない）'!$V15+0),101)+1))))</f>
        <v/>
      </c>
      <c r="P15" s="52">
        <f>IF('計算（触らない）'!$U15=0,"",IF(('計算（触らない）'!$V15+1)&lt;0,"",IF(AND('計算（触らない）'!$F15&lt;=2,('計算（触らない）'!$V15+1)&gt;'計算（触らない）'!$R15),0,INDEX('計算（触らない）'!$AS15:$EP15,MIN(('計算（触らない）'!$V15+1),101)+1))))</f>
        <v/>
      </c>
      <c r="Q15" s="52">
        <f>IF('計算（触らない）'!$U15=0,"",IF(('計算（触らない）'!$V15+2)&lt;0,"",IF(AND('計算（触らない）'!$F15&lt;=2,('計算（触らない）'!$V15+2)&gt;'計算（触らない）'!$R15),0,INDEX('計算（触らない）'!$AS15:$EP15,MIN(('計算（触らない）'!$V15+2),101)+1))))</f>
        <v/>
      </c>
      <c r="R15" s="52">
        <f>IF('計算（触らない）'!$U15=0,"",IF(('計算（触らない）'!$V15+3)&lt;0,"",IF(AND('計算（触らない）'!$F15&lt;=2,('計算（触らない）'!$V15+3)&gt;'計算（触らない）'!$R15),0,INDEX('計算（触らない）'!$AS15:$EP15,MIN(('計算（触らない）'!$V15+3),101)+1))))</f>
        <v/>
      </c>
      <c r="S15" s="52">
        <f>IF('計算（触らない）'!$U15=0,"",IF(('計算（触らない）'!$V15+4)&lt;0,"",IF(AND('計算（触らない）'!$F15&lt;=2,('計算（触らない）'!$V15+4)&gt;'計算（触らない）'!$R15),0,INDEX('計算（触らない）'!$AS15:$EP15,MIN(('計算（触らない）'!$V15+4),101)+1))))</f>
        <v/>
      </c>
      <c r="T15" s="52">
        <f>IF('計算（触らない）'!$U15=0,"",IF(('計算（触らない）'!$V15+5)&lt;0,"",IF(AND('計算（触らない）'!$F15&lt;=2,('計算（触らない）'!$V15+5)&gt;'計算（触らない）'!$R15),0,INDEX('計算（触らない）'!$AS15:$EP15,MIN(('計算（触らない）'!$V15+5),101)+1))))</f>
        <v/>
      </c>
      <c r="U15" s="52">
        <f>IF('計算（触らない）'!$U15=0,"",IF(('計算（触らない）'!$V15+6)&lt;0,"",IF(AND('計算（触らない）'!$F15&lt;=2,('計算（触らない）'!$V15+6)&gt;'計算（触らない）'!$R15),0,INDEX('計算（触らない）'!$AS15:$EP15,MIN(('計算（触らない）'!$V15+6),101)+1))))</f>
        <v/>
      </c>
      <c r="V15" s="52">
        <f>IF('計算（触らない）'!$U15=0,"",IF(('計算（触らない）'!$V15+7)&lt;0,"",IF(AND('計算（触らない）'!$F15&lt;=2,('計算（触らない）'!$V15+7)&gt;'計算（触らない）'!$R15),0,INDEX('計算（触らない）'!$AS15:$EP15,MIN(('計算（触らない）'!$V15+7),101)+1))))</f>
        <v/>
      </c>
      <c r="W15" s="52">
        <f>IF('計算（触らない）'!$U15=0,"",IF(('計算（触らない）'!$V15+8)&lt;0,"",IF(AND('計算（触らない）'!$F15&lt;=2,('計算（触らない）'!$V15+8)&gt;'計算（触らない）'!$R15),0,INDEX('計算（触らない）'!$AS15:$EP15,MIN(('計算（触らない）'!$V15+8),101)+1))))</f>
        <v/>
      </c>
      <c r="X15" s="52">
        <f>IF('計算（触らない）'!$U15=0,"",IF(('計算（触らない）'!$V15+9)&lt;0,"",IF(AND('計算（触らない）'!$F15&lt;=2,('計算（触らない）'!$V15+9)&gt;'計算（触らない）'!$R15),0,INDEX('計算（触らない）'!$AS15:$EP15,MIN(('計算（触らない）'!$V15+9),101)+1))))</f>
        <v/>
      </c>
    </row>
    <row r="16" ht="17" customHeight="1">
      <c r="A16" s="21" t="n">
        <v>11</v>
      </c>
      <c r="B16" s="38">
        <f>IF('計算（触らない）'!$B16=0,"",'固定資産台帳'!$B16&amp;"")</f>
        <v/>
      </c>
      <c r="C16" s="38">
        <f>IF('計算（触らない）'!$B16=0,"",'固定資産台帳'!$H16&amp;"")</f>
        <v/>
      </c>
      <c r="D16" s="52">
        <f>IF('計算（触らない）'!$U16=0,"",IF(('計算（触らない）'!$V16+0)&lt;0,"",INT(ROUND((IF(('計算（触らない）'!$V16+0)=0,'計算（触らない）'!$C16,INDEX('計算（触らない）'!$AS16:$EP16,MIN(('計算（触らない）'!$V16+0),102)))-INDEX('計算（触らない）'!$AS16:$EP16,MIN(('計算（触らない）'!$V16+0),101)+1))*'計算（触らない）'!$N16,6)+'計算（触らない）'!$B$4)))</f>
        <v/>
      </c>
      <c r="E16" s="52">
        <f>IF('計算（触らない）'!$U16=0,"",IF(('計算（触らない）'!$V16+1)&lt;0,"",INT(ROUND((IF(('計算（触らない）'!$V16+1)=0,'計算（触らない）'!$C16,INDEX('計算（触らない）'!$AS16:$EP16,MIN(('計算（触らない）'!$V16+1),102)))-INDEX('計算（触らない）'!$AS16:$EP16,MIN(('計算（触らない）'!$V16+1),101)+1))*'計算（触らない）'!$N16,6)+'計算（触らない）'!$B$4)))</f>
        <v/>
      </c>
      <c r="F16" s="52">
        <f>IF('計算（触らない）'!$U16=0,"",IF(('計算（触らない）'!$V16+2)&lt;0,"",INT(ROUND((IF(('計算（触らない）'!$V16+2)=0,'計算（触らない）'!$C16,INDEX('計算（触らない）'!$AS16:$EP16,MIN(('計算（触らない）'!$V16+2),102)))-INDEX('計算（触らない）'!$AS16:$EP16,MIN(('計算（触らない）'!$V16+2),101)+1))*'計算（触らない）'!$N16,6)+'計算（触らない）'!$B$4)))</f>
        <v/>
      </c>
      <c r="G16" s="52">
        <f>IF('計算（触らない）'!$U16=0,"",IF(('計算（触らない）'!$V16+3)&lt;0,"",INT(ROUND((IF(('計算（触らない）'!$V16+3)=0,'計算（触らない）'!$C16,INDEX('計算（触らない）'!$AS16:$EP16,MIN(('計算（触らない）'!$V16+3),102)))-INDEX('計算（触らない）'!$AS16:$EP16,MIN(('計算（触らない）'!$V16+3),101)+1))*'計算（触らない）'!$N16,6)+'計算（触らない）'!$B$4)))</f>
        <v/>
      </c>
      <c r="H16" s="52">
        <f>IF('計算（触らない）'!$U16=0,"",IF(('計算（触らない）'!$V16+4)&lt;0,"",INT(ROUND((IF(('計算（触らない）'!$V16+4)=0,'計算（触らない）'!$C16,INDEX('計算（触らない）'!$AS16:$EP16,MIN(('計算（触らない）'!$V16+4),102)))-INDEX('計算（触らない）'!$AS16:$EP16,MIN(('計算（触らない）'!$V16+4),101)+1))*'計算（触らない）'!$N16,6)+'計算（触らない）'!$B$4)))</f>
        <v/>
      </c>
      <c r="I16" s="52">
        <f>IF('計算（触らない）'!$U16=0,"",IF(('計算（触らない）'!$V16+5)&lt;0,"",INT(ROUND((IF(('計算（触らない）'!$V16+5)=0,'計算（触らない）'!$C16,INDEX('計算（触らない）'!$AS16:$EP16,MIN(('計算（触らない）'!$V16+5),102)))-INDEX('計算（触らない）'!$AS16:$EP16,MIN(('計算（触らない）'!$V16+5),101)+1))*'計算（触らない）'!$N16,6)+'計算（触らない）'!$B$4)))</f>
        <v/>
      </c>
      <c r="J16" s="52">
        <f>IF('計算（触らない）'!$U16=0,"",IF(('計算（触らない）'!$V16+6)&lt;0,"",INT(ROUND((IF(('計算（触らない）'!$V16+6)=0,'計算（触らない）'!$C16,INDEX('計算（触らない）'!$AS16:$EP16,MIN(('計算（触らない）'!$V16+6),102)))-INDEX('計算（触らない）'!$AS16:$EP16,MIN(('計算（触らない）'!$V16+6),101)+1))*'計算（触らない）'!$N16,6)+'計算（触らない）'!$B$4)))</f>
        <v/>
      </c>
      <c r="K16" s="52">
        <f>IF('計算（触らない）'!$U16=0,"",IF(('計算（触らない）'!$V16+7)&lt;0,"",INT(ROUND((IF(('計算（触らない）'!$V16+7)=0,'計算（触らない）'!$C16,INDEX('計算（触らない）'!$AS16:$EP16,MIN(('計算（触らない）'!$V16+7),102)))-INDEX('計算（触らない）'!$AS16:$EP16,MIN(('計算（触らない）'!$V16+7),101)+1))*'計算（触らない）'!$N16,6)+'計算（触らない）'!$B$4)))</f>
        <v/>
      </c>
      <c r="L16" s="52">
        <f>IF('計算（触らない）'!$U16=0,"",IF(('計算（触らない）'!$V16+8)&lt;0,"",INT(ROUND((IF(('計算（触らない）'!$V16+8)=0,'計算（触らない）'!$C16,INDEX('計算（触らない）'!$AS16:$EP16,MIN(('計算（触らない）'!$V16+8),102)))-INDEX('計算（触らない）'!$AS16:$EP16,MIN(('計算（触らない）'!$V16+8),101)+1))*'計算（触らない）'!$N16,6)+'計算（触らない）'!$B$4)))</f>
        <v/>
      </c>
      <c r="M16" s="52">
        <f>IF('計算（触らない）'!$U16=0,"",IF(('計算（触らない）'!$V16+9)&lt;0,"",INT(ROUND((IF(('計算（触らない）'!$V16+9)=0,'計算（触らない）'!$C16,INDEX('計算（触らない）'!$AS16:$EP16,MIN(('計算（触らない）'!$V16+9),102)))-INDEX('計算（触らない）'!$AS16:$EP16,MIN(('計算（触らない）'!$V16+9),101)+1))*'計算（触らない）'!$N16,6)+'計算（触らない）'!$B$4)))</f>
        <v/>
      </c>
      <c r="N16" s="68" t="n"/>
      <c r="O16" s="52">
        <f>IF('計算（触らない）'!$U16=0,"",IF(('計算（触らない）'!$V16+0)&lt;0,"",IF(AND('計算（触らない）'!$F16&lt;=2,('計算（触らない）'!$V16+0)&gt;'計算（触らない）'!$R16),0,INDEX('計算（触らない）'!$AS16:$EP16,MIN(('計算（触らない）'!$V16+0),101)+1))))</f>
        <v/>
      </c>
      <c r="P16" s="52">
        <f>IF('計算（触らない）'!$U16=0,"",IF(('計算（触らない）'!$V16+1)&lt;0,"",IF(AND('計算（触らない）'!$F16&lt;=2,('計算（触らない）'!$V16+1)&gt;'計算（触らない）'!$R16),0,INDEX('計算（触らない）'!$AS16:$EP16,MIN(('計算（触らない）'!$V16+1),101)+1))))</f>
        <v/>
      </c>
      <c r="Q16" s="52">
        <f>IF('計算（触らない）'!$U16=0,"",IF(('計算（触らない）'!$V16+2)&lt;0,"",IF(AND('計算（触らない）'!$F16&lt;=2,('計算（触らない）'!$V16+2)&gt;'計算（触らない）'!$R16),0,INDEX('計算（触らない）'!$AS16:$EP16,MIN(('計算（触らない）'!$V16+2),101)+1))))</f>
        <v/>
      </c>
      <c r="R16" s="52">
        <f>IF('計算（触らない）'!$U16=0,"",IF(('計算（触らない）'!$V16+3)&lt;0,"",IF(AND('計算（触らない）'!$F16&lt;=2,('計算（触らない）'!$V16+3)&gt;'計算（触らない）'!$R16),0,INDEX('計算（触らない）'!$AS16:$EP16,MIN(('計算（触らない）'!$V16+3),101)+1))))</f>
        <v/>
      </c>
      <c r="S16" s="52">
        <f>IF('計算（触らない）'!$U16=0,"",IF(('計算（触らない）'!$V16+4)&lt;0,"",IF(AND('計算（触らない）'!$F16&lt;=2,('計算（触らない）'!$V16+4)&gt;'計算（触らない）'!$R16),0,INDEX('計算（触らない）'!$AS16:$EP16,MIN(('計算（触らない）'!$V16+4),101)+1))))</f>
        <v/>
      </c>
      <c r="T16" s="52">
        <f>IF('計算（触らない）'!$U16=0,"",IF(('計算（触らない）'!$V16+5)&lt;0,"",IF(AND('計算（触らない）'!$F16&lt;=2,('計算（触らない）'!$V16+5)&gt;'計算（触らない）'!$R16),0,INDEX('計算（触らない）'!$AS16:$EP16,MIN(('計算（触らない）'!$V16+5),101)+1))))</f>
        <v/>
      </c>
      <c r="U16" s="52">
        <f>IF('計算（触らない）'!$U16=0,"",IF(('計算（触らない）'!$V16+6)&lt;0,"",IF(AND('計算（触らない）'!$F16&lt;=2,('計算（触らない）'!$V16+6)&gt;'計算（触らない）'!$R16),0,INDEX('計算（触らない）'!$AS16:$EP16,MIN(('計算（触らない）'!$V16+6),101)+1))))</f>
        <v/>
      </c>
      <c r="V16" s="52">
        <f>IF('計算（触らない）'!$U16=0,"",IF(('計算（触らない）'!$V16+7)&lt;0,"",IF(AND('計算（触らない）'!$F16&lt;=2,('計算（触らない）'!$V16+7)&gt;'計算（触らない）'!$R16),0,INDEX('計算（触らない）'!$AS16:$EP16,MIN(('計算（触らない）'!$V16+7),101)+1))))</f>
        <v/>
      </c>
      <c r="W16" s="52">
        <f>IF('計算（触らない）'!$U16=0,"",IF(('計算（触らない）'!$V16+8)&lt;0,"",IF(AND('計算（触らない）'!$F16&lt;=2,('計算（触らない）'!$V16+8)&gt;'計算（触らない）'!$R16),0,INDEX('計算（触らない）'!$AS16:$EP16,MIN(('計算（触らない）'!$V16+8),101)+1))))</f>
        <v/>
      </c>
      <c r="X16" s="52">
        <f>IF('計算（触らない）'!$U16=0,"",IF(('計算（触らない）'!$V16+9)&lt;0,"",IF(AND('計算（触らない）'!$F16&lt;=2,('計算（触らない）'!$V16+9)&gt;'計算（触らない）'!$R16),0,INDEX('計算（触らない）'!$AS16:$EP16,MIN(('計算（触らない）'!$V16+9),101)+1))))</f>
        <v/>
      </c>
    </row>
    <row r="17" ht="17" customHeight="1">
      <c r="A17" s="21" t="n">
        <v>12</v>
      </c>
      <c r="B17" s="38">
        <f>IF('計算（触らない）'!$B17=0,"",'固定資産台帳'!$B17&amp;"")</f>
        <v/>
      </c>
      <c r="C17" s="38">
        <f>IF('計算（触らない）'!$B17=0,"",'固定資産台帳'!$H17&amp;"")</f>
        <v/>
      </c>
      <c r="D17" s="52">
        <f>IF('計算（触らない）'!$U17=0,"",IF(('計算（触らない）'!$V17+0)&lt;0,"",INT(ROUND((IF(('計算（触らない）'!$V17+0)=0,'計算（触らない）'!$C17,INDEX('計算（触らない）'!$AS17:$EP17,MIN(('計算（触らない）'!$V17+0),102)))-INDEX('計算（触らない）'!$AS17:$EP17,MIN(('計算（触らない）'!$V17+0),101)+1))*'計算（触らない）'!$N17,6)+'計算（触らない）'!$B$4)))</f>
        <v/>
      </c>
      <c r="E17" s="52">
        <f>IF('計算（触らない）'!$U17=0,"",IF(('計算（触らない）'!$V17+1)&lt;0,"",INT(ROUND((IF(('計算（触らない）'!$V17+1)=0,'計算（触らない）'!$C17,INDEX('計算（触らない）'!$AS17:$EP17,MIN(('計算（触らない）'!$V17+1),102)))-INDEX('計算（触らない）'!$AS17:$EP17,MIN(('計算（触らない）'!$V17+1),101)+1))*'計算（触らない）'!$N17,6)+'計算（触らない）'!$B$4)))</f>
        <v/>
      </c>
      <c r="F17" s="52">
        <f>IF('計算（触らない）'!$U17=0,"",IF(('計算（触らない）'!$V17+2)&lt;0,"",INT(ROUND((IF(('計算（触らない）'!$V17+2)=0,'計算（触らない）'!$C17,INDEX('計算（触らない）'!$AS17:$EP17,MIN(('計算（触らない）'!$V17+2),102)))-INDEX('計算（触らない）'!$AS17:$EP17,MIN(('計算（触らない）'!$V17+2),101)+1))*'計算（触らない）'!$N17,6)+'計算（触らない）'!$B$4)))</f>
        <v/>
      </c>
      <c r="G17" s="52">
        <f>IF('計算（触らない）'!$U17=0,"",IF(('計算（触らない）'!$V17+3)&lt;0,"",INT(ROUND((IF(('計算（触らない）'!$V17+3)=0,'計算（触らない）'!$C17,INDEX('計算（触らない）'!$AS17:$EP17,MIN(('計算（触らない）'!$V17+3),102)))-INDEX('計算（触らない）'!$AS17:$EP17,MIN(('計算（触らない）'!$V17+3),101)+1))*'計算（触らない）'!$N17,6)+'計算（触らない）'!$B$4)))</f>
        <v/>
      </c>
      <c r="H17" s="52">
        <f>IF('計算（触らない）'!$U17=0,"",IF(('計算（触らない）'!$V17+4)&lt;0,"",INT(ROUND((IF(('計算（触らない）'!$V17+4)=0,'計算（触らない）'!$C17,INDEX('計算（触らない）'!$AS17:$EP17,MIN(('計算（触らない）'!$V17+4),102)))-INDEX('計算（触らない）'!$AS17:$EP17,MIN(('計算（触らない）'!$V17+4),101)+1))*'計算（触らない）'!$N17,6)+'計算（触らない）'!$B$4)))</f>
        <v/>
      </c>
      <c r="I17" s="52">
        <f>IF('計算（触らない）'!$U17=0,"",IF(('計算（触らない）'!$V17+5)&lt;0,"",INT(ROUND((IF(('計算（触らない）'!$V17+5)=0,'計算（触らない）'!$C17,INDEX('計算（触らない）'!$AS17:$EP17,MIN(('計算（触らない）'!$V17+5),102)))-INDEX('計算（触らない）'!$AS17:$EP17,MIN(('計算（触らない）'!$V17+5),101)+1))*'計算（触らない）'!$N17,6)+'計算（触らない）'!$B$4)))</f>
        <v/>
      </c>
      <c r="J17" s="52">
        <f>IF('計算（触らない）'!$U17=0,"",IF(('計算（触らない）'!$V17+6)&lt;0,"",INT(ROUND((IF(('計算（触らない）'!$V17+6)=0,'計算（触らない）'!$C17,INDEX('計算（触らない）'!$AS17:$EP17,MIN(('計算（触らない）'!$V17+6),102)))-INDEX('計算（触らない）'!$AS17:$EP17,MIN(('計算（触らない）'!$V17+6),101)+1))*'計算（触らない）'!$N17,6)+'計算（触らない）'!$B$4)))</f>
        <v/>
      </c>
      <c r="K17" s="52">
        <f>IF('計算（触らない）'!$U17=0,"",IF(('計算（触らない）'!$V17+7)&lt;0,"",INT(ROUND((IF(('計算（触らない）'!$V17+7)=0,'計算（触らない）'!$C17,INDEX('計算（触らない）'!$AS17:$EP17,MIN(('計算（触らない）'!$V17+7),102)))-INDEX('計算（触らない）'!$AS17:$EP17,MIN(('計算（触らない）'!$V17+7),101)+1))*'計算（触らない）'!$N17,6)+'計算（触らない）'!$B$4)))</f>
        <v/>
      </c>
      <c r="L17" s="52">
        <f>IF('計算（触らない）'!$U17=0,"",IF(('計算（触らない）'!$V17+8)&lt;0,"",INT(ROUND((IF(('計算（触らない）'!$V17+8)=0,'計算（触らない）'!$C17,INDEX('計算（触らない）'!$AS17:$EP17,MIN(('計算（触らない）'!$V17+8),102)))-INDEX('計算（触らない）'!$AS17:$EP17,MIN(('計算（触らない）'!$V17+8),101)+1))*'計算（触らない）'!$N17,6)+'計算（触らない）'!$B$4)))</f>
        <v/>
      </c>
      <c r="M17" s="52">
        <f>IF('計算（触らない）'!$U17=0,"",IF(('計算（触らない）'!$V17+9)&lt;0,"",INT(ROUND((IF(('計算（触らない）'!$V17+9)=0,'計算（触らない）'!$C17,INDEX('計算（触らない）'!$AS17:$EP17,MIN(('計算（触らない）'!$V17+9),102)))-INDEX('計算（触らない）'!$AS17:$EP17,MIN(('計算（触らない）'!$V17+9),101)+1))*'計算（触らない）'!$N17,6)+'計算（触らない）'!$B$4)))</f>
        <v/>
      </c>
      <c r="N17" s="68" t="n"/>
      <c r="O17" s="52">
        <f>IF('計算（触らない）'!$U17=0,"",IF(('計算（触らない）'!$V17+0)&lt;0,"",IF(AND('計算（触らない）'!$F17&lt;=2,('計算（触らない）'!$V17+0)&gt;'計算（触らない）'!$R17),0,INDEX('計算（触らない）'!$AS17:$EP17,MIN(('計算（触らない）'!$V17+0),101)+1))))</f>
        <v/>
      </c>
      <c r="P17" s="52">
        <f>IF('計算（触らない）'!$U17=0,"",IF(('計算（触らない）'!$V17+1)&lt;0,"",IF(AND('計算（触らない）'!$F17&lt;=2,('計算（触らない）'!$V17+1)&gt;'計算（触らない）'!$R17),0,INDEX('計算（触らない）'!$AS17:$EP17,MIN(('計算（触らない）'!$V17+1),101)+1))))</f>
        <v/>
      </c>
      <c r="Q17" s="52">
        <f>IF('計算（触らない）'!$U17=0,"",IF(('計算（触らない）'!$V17+2)&lt;0,"",IF(AND('計算（触らない）'!$F17&lt;=2,('計算（触らない）'!$V17+2)&gt;'計算（触らない）'!$R17),0,INDEX('計算（触らない）'!$AS17:$EP17,MIN(('計算（触らない）'!$V17+2),101)+1))))</f>
        <v/>
      </c>
      <c r="R17" s="52">
        <f>IF('計算（触らない）'!$U17=0,"",IF(('計算（触らない）'!$V17+3)&lt;0,"",IF(AND('計算（触らない）'!$F17&lt;=2,('計算（触らない）'!$V17+3)&gt;'計算（触らない）'!$R17),0,INDEX('計算（触らない）'!$AS17:$EP17,MIN(('計算（触らない）'!$V17+3),101)+1))))</f>
        <v/>
      </c>
      <c r="S17" s="52">
        <f>IF('計算（触らない）'!$U17=0,"",IF(('計算（触らない）'!$V17+4)&lt;0,"",IF(AND('計算（触らない）'!$F17&lt;=2,('計算（触らない）'!$V17+4)&gt;'計算（触らない）'!$R17),0,INDEX('計算（触らない）'!$AS17:$EP17,MIN(('計算（触らない）'!$V17+4),101)+1))))</f>
        <v/>
      </c>
      <c r="T17" s="52">
        <f>IF('計算（触らない）'!$U17=0,"",IF(('計算（触らない）'!$V17+5)&lt;0,"",IF(AND('計算（触らない）'!$F17&lt;=2,('計算（触らない）'!$V17+5)&gt;'計算（触らない）'!$R17),0,INDEX('計算（触らない）'!$AS17:$EP17,MIN(('計算（触らない）'!$V17+5),101)+1))))</f>
        <v/>
      </c>
      <c r="U17" s="52">
        <f>IF('計算（触らない）'!$U17=0,"",IF(('計算（触らない）'!$V17+6)&lt;0,"",IF(AND('計算（触らない）'!$F17&lt;=2,('計算（触らない）'!$V17+6)&gt;'計算（触らない）'!$R17),0,INDEX('計算（触らない）'!$AS17:$EP17,MIN(('計算（触らない）'!$V17+6),101)+1))))</f>
        <v/>
      </c>
      <c r="V17" s="52">
        <f>IF('計算（触らない）'!$U17=0,"",IF(('計算（触らない）'!$V17+7)&lt;0,"",IF(AND('計算（触らない）'!$F17&lt;=2,('計算（触らない）'!$V17+7)&gt;'計算（触らない）'!$R17),0,INDEX('計算（触らない）'!$AS17:$EP17,MIN(('計算（触らない）'!$V17+7),101)+1))))</f>
        <v/>
      </c>
      <c r="W17" s="52">
        <f>IF('計算（触らない）'!$U17=0,"",IF(('計算（触らない）'!$V17+8)&lt;0,"",IF(AND('計算（触らない）'!$F17&lt;=2,('計算（触らない）'!$V17+8)&gt;'計算（触らない）'!$R17),0,INDEX('計算（触らない）'!$AS17:$EP17,MIN(('計算（触らない）'!$V17+8),101)+1))))</f>
        <v/>
      </c>
      <c r="X17" s="52">
        <f>IF('計算（触らない）'!$U17=0,"",IF(('計算（触らない）'!$V17+9)&lt;0,"",IF(AND('計算（触らない）'!$F17&lt;=2,('計算（触らない）'!$V17+9)&gt;'計算（触らない）'!$R17),0,INDEX('計算（触らない）'!$AS17:$EP17,MIN(('計算（触らない）'!$V17+9),101)+1))))</f>
        <v/>
      </c>
    </row>
    <row r="18" ht="17" customHeight="1">
      <c r="A18" s="21" t="n">
        <v>13</v>
      </c>
      <c r="B18" s="38">
        <f>IF('計算（触らない）'!$B18=0,"",'固定資産台帳'!$B18&amp;"")</f>
        <v/>
      </c>
      <c r="C18" s="38">
        <f>IF('計算（触らない）'!$B18=0,"",'固定資産台帳'!$H18&amp;"")</f>
        <v/>
      </c>
      <c r="D18" s="52">
        <f>IF('計算（触らない）'!$U18=0,"",IF(('計算（触らない）'!$V18+0)&lt;0,"",INT(ROUND((IF(('計算（触らない）'!$V18+0)=0,'計算（触らない）'!$C18,INDEX('計算（触らない）'!$AS18:$EP18,MIN(('計算（触らない）'!$V18+0),102)))-INDEX('計算（触らない）'!$AS18:$EP18,MIN(('計算（触らない）'!$V18+0),101)+1))*'計算（触らない）'!$N18,6)+'計算（触らない）'!$B$4)))</f>
        <v/>
      </c>
      <c r="E18" s="52">
        <f>IF('計算（触らない）'!$U18=0,"",IF(('計算（触らない）'!$V18+1)&lt;0,"",INT(ROUND((IF(('計算（触らない）'!$V18+1)=0,'計算（触らない）'!$C18,INDEX('計算（触らない）'!$AS18:$EP18,MIN(('計算（触らない）'!$V18+1),102)))-INDEX('計算（触らない）'!$AS18:$EP18,MIN(('計算（触らない）'!$V18+1),101)+1))*'計算（触らない）'!$N18,6)+'計算（触らない）'!$B$4)))</f>
        <v/>
      </c>
      <c r="F18" s="52">
        <f>IF('計算（触らない）'!$U18=0,"",IF(('計算（触らない）'!$V18+2)&lt;0,"",INT(ROUND((IF(('計算（触らない）'!$V18+2)=0,'計算（触らない）'!$C18,INDEX('計算（触らない）'!$AS18:$EP18,MIN(('計算（触らない）'!$V18+2),102)))-INDEX('計算（触らない）'!$AS18:$EP18,MIN(('計算（触らない）'!$V18+2),101)+1))*'計算（触らない）'!$N18,6)+'計算（触らない）'!$B$4)))</f>
        <v/>
      </c>
      <c r="G18" s="52">
        <f>IF('計算（触らない）'!$U18=0,"",IF(('計算（触らない）'!$V18+3)&lt;0,"",INT(ROUND((IF(('計算（触らない）'!$V18+3)=0,'計算（触らない）'!$C18,INDEX('計算（触らない）'!$AS18:$EP18,MIN(('計算（触らない）'!$V18+3),102)))-INDEX('計算（触らない）'!$AS18:$EP18,MIN(('計算（触らない）'!$V18+3),101)+1))*'計算（触らない）'!$N18,6)+'計算（触らない）'!$B$4)))</f>
        <v/>
      </c>
      <c r="H18" s="52">
        <f>IF('計算（触らない）'!$U18=0,"",IF(('計算（触らない）'!$V18+4)&lt;0,"",INT(ROUND((IF(('計算（触らない）'!$V18+4)=0,'計算（触らない）'!$C18,INDEX('計算（触らない）'!$AS18:$EP18,MIN(('計算（触らない）'!$V18+4),102)))-INDEX('計算（触らない）'!$AS18:$EP18,MIN(('計算（触らない）'!$V18+4),101)+1))*'計算（触らない）'!$N18,6)+'計算（触らない）'!$B$4)))</f>
        <v/>
      </c>
      <c r="I18" s="52">
        <f>IF('計算（触らない）'!$U18=0,"",IF(('計算（触らない）'!$V18+5)&lt;0,"",INT(ROUND((IF(('計算（触らない）'!$V18+5)=0,'計算（触らない）'!$C18,INDEX('計算（触らない）'!$AS18:$EP18,MIN(('計算（触らない）'!$V18+5),102)))-INDEX('計算（触らない）'!$AS18:$EP18,MIN(('計算（触らない）'!$V18+5),101)+1))*'計算（触らない）'!$N18,6)+'計算（触らない）'!$B$4)))</f>
        <v/>
      </c>
      <c r="J18" s="52">
        <f>IF('計算（触らない）'!$U18=0,"",IF(('計算（触らない）'!$V18+6)&lt;0,"",INT(ROUND((IF(('計算（触らない）'!$V18+6)=0,'計算（触らない）'!$C18,INDEX('計算（触らない）'!$AS18:$EP18,MIN(('計算（触らない）'!$V18+6),102)))-INDEX('計算（触らない）'!$AS18:$EP18,MIN(('計算（触らない）'!$V18+6),101)+1))*'計算（触らない）'!$N18,6)+'計算（触らない）'!$B$4)))</f>
        <v/>
      </c>
      <c r="K18" s="52">
        <f>IF('計算（触らない）'!$U18=0,"",IF(('計算（触らない）'!$V18+7)&lt;0,"",INT(ROUND((IF(('計算（触らない）'!$V18+7)=0,'計算（触らない）'!$C18,INDEX('計算（触らない）'!$AS18:$EP18,MIN(('計算（触らない）'!$V18+7),102)))-INDEX('計算（触らない）'!$AS18:$EP18,MIN(('計算（触らない）'!$V18+7),101)+1))*'計算（触らない）'!$N18,6)+'計算（触らない）'!$B$4)))</f>
        <v/>
      </c>
      <c r="L18" s="52">
        <f>IF('計算（触らない）'!$U18=0,"",IF(('計算（触らない）'!$V18+8)&lt;0,"",INT(ROUND((IF(('計算（触らない）'!$V18+8)=0,'計算（触らない）'!$C18,INDEX('計算（触らない）'!$AS18:$EP18,MIN(('計算（触らない）'!$V18+8),102)))-INDEX('計算（触らない）'!$AS18:$EP18,MIN(('計算（触らない）'!$V18+8),101)+1))*'計算（触らない）'!$N18,6)+'計算（触らない）'!$B$4)))</f>
        <v/>
      </c>
      <c r="M18" s="52">
        <f>IF('計算（触らない）'!$U18=0,"",IF(('計算（触らない）'!$V18+9)&lt;0,"",INT(ROUND((IF(('計算（触らない）'!$V18+9)=0,'計算（触らない）'!$C18,INDEX('計算（触らない）'!$AS18:$EP18,MIN(('計算（触らない）'!$V18+9),102)))-INDEX('計算（触らない）'!$AS18:$EP18,MIN(('計算（触らない）'!$V18+9),101)+1))*'計算（触らない）'!$N18,6)+'計算（触らない）'!$B$4)))</f>
        <v/>
      </c>
      <c r="N18" s="68" t="n"/>
      <c r="O18" s="52">
        <f>IF('計算（触らない）'!$U18=0,"",IF(('計算（触らない）'!$V18+0)&lt;0,"",IF(AND('計算（触らない）'!$F18&lt;=2,('計算（触らない）'!$V18+0)&gt;'計算（触らない）'!$R18),0,INDEX('計算（触らない）'!$AS18:$EP18,MIN(('計算（触らない）'!$V18+0),101)+1))))</f>
        <v/>
      </c>
      <c r="P18" s="52">
        <f>IF('計算（触らない）'!$U18=0,"",IF(('計算（触らない）'!$V18+1)&lt;0,"",IF(AND('計算（触らない）'!$F18&lt;=2,('計算（触らない）'!$V18+1)&gt;'計算（触らない）'!$R18),0,INDEX('計算（触らない）'!$AS18:$EP18,MIN(('計算（触らない）'!$V18+1),101)+1))))</f>
        <v/>
      </c>
      <c r="Q18" s="52">
        <f>IF('計算（触らない）'!$U18=0,"",IF(('計算（触らない）'!$V18+2)&lt;0,"",IF(AND('計算（触らない）'!$F18&lt;=2,('計算（触らない）'!$V18+2)&gt;'計算（触らない）'!$R18),0,INDEX('計算（触らない）'!$AS18:$EP18,MIN(('計算（触らない）'!$V18+2),101)+1))))</f>
        <v/>
      </c>
      <c r="R18" s="52">
        <f>IF('計算（触らない）'!$U18=0,"",IF(('計算（触らない）'!$V18+3)&lt;0,"",IF(AND('計算（触らない）'!$F18&lt;=2,('計算（触らない）'!$V18+3)&gt;'計算（触らない）'!$R18),0,INDEX('計算（触らない）'!$AS18:$EP18,MIN(('計算（触らない）'!$V18+3),101)+1))))</f>
        <v/>
      </c>
      <c r="S18" s="52">
        <f>IF('計算（触らない）'!$U18=0,"",IF(('計算（触らない）'!$V18+4)&lt;0,"",IF(AND('計算（触らない）'!$F18&lt;=2,('計算（触らない）'!$V18+4)&gt;'計算（触らない）'!$R18),0,INDEX('計算（触らない）'!$AS18:$EP18,MIN(('計算（触らない）'!$V18+4),101)+1))))</f>
        <v/>
      </c>
      <c r="T18" s="52">
        <f>IF('計算（触らない）'!$U18=0,"",IF(('計算（触らない）'!$V18+5)&lt;0,"",IF(AND('計算（触らない）'!$F18&lt;=2,('計算（触らない）'!$V18+5)&gt;'計算（触らない）'!$R18),0,INDEX('計算（触らない）'!$AS18:$EP18,MIN(('計算（触らない）'!$V18+5),101)+1))))</f>
        <v/>
      </c>
      <c r="U18" s="52">
        <f>IF('計算（触らない）'!$U18=0,"",IF(('計算（触らない）'!$V18+6)&lt;0,"",IF(AND('計算（触らない）'!$F18&lt;=2,('計算（触らない）'!$V18+6)&gt;'計算（触らない）'!$R18),0,INDEX('計算（触らない）'!$AS18:$EP18,MIN(('計算（触らない）'!$V18+6),101)+1))))</f>
        <v/>
      </c>
      <c r="V18" s="52">
        <f>IF('計算（触らない）'!$U18=0,"",IF(('計算（触らない）'!$V18+7)&lt;0,"",IF(AND('計算（触らない）'!$F18&lt;=2,('計算（触らない）'!$V18+7)&gt;'計算（触らない）'!$R18),0,INDEX('計算（触らない）'!$AS18:$EP18,MIN(('計算（触らない）'!$V18+7),101)+1))))</f>
        <v/>
      </c>
      <c r="W18" s="52">
        <f>IF('計算（触らない）'!$U18=0,"",IF(('計算（触らない）'!$V18+8)&lt;0,"",IF(AND('計算（触らない）'!$F18&lt;=2,('計算（触らない）'!$V18+8)&gt;'計算（触らない）'!$R18),0,INDEX('計算（触らない）'!$AS18:$EP18,MIN(('計算（触らない）'!$V18+8),101)+1))))</f>
        <v/>
      </c>
      <c r="X18" s="52">
        <f>IF('計算（触らない）'!$U18=0,"",IF(('計算（触らない）'!$V18+9)&lt;0,"",IF(AND('計算（触らない）'!$F18&lt;=2,('計算（触らない）'!$V18+9)&gt;'計算（触らない）'!$R18),0,INDEX('計算（触らない）'!$AS18:$EP18,MIN(('計算（触らない）'!$V18+9),101)+1))))</f>
        <v/>
      </c>
    </row>
    <row r="19" ht="17" customHeight="1">
      <c r="A19" s="21" t="n">
        <v>14</v>
      </c>
      <c r="B19" s="38">
        <f>IF('計算（触らない）'!$B19=0,"",'固定資産台帳'!$B19&amp;"")</f>
        <v/>
      </c>
      <c r="C19" s="38">
        <f>IF('計算（触らない）'!$B19=0,"",'固定資産台帳'!$H19&amp;"")</f>
        <v/>
      </c>
      <c r="D19" s="52">
        <f>IF('計算（触らない）'!$U19=0,"",IF(('計算（触らない）'!$V19+0)&lt;0,"",INT(ROUND((IF(('計算（触らない）'!$V19+0)=0,'計算（触らない）'!$C19,INDEX('計算（触らない）'!$AS19:$EP19,MIN(('計算（触らない）'!$V19+0),102)))-INDEX('計算（触らない）'!$AS19:$EP19,MIN(('計算（触らない）'!$V19+0),101)+1))*'計算（触らない）'!$N19,6)+'計算（触らない）'!$B$4)))</f>
        <v/>
      </c>
      <c r="E19" s="52">
        <f>IF('計算（触らない）'!$U19=0,"",IF(('計算（触らない）'!$V19+1)&lt;0,"",INT(ROUND((IF(('計算（触らない）'!$V19+1)=0,'計算（触らない）'!$C19,INDEX('計算（触らない）'!$AS19:$EP19,MIN(('計算（触らない）'!$V19+1),102)))-INDEX('計算（触らない）'!$AS19:$EP19,MIN(('計算（触らない）'!$V19+1),101)+1))*'計算（触らない）'!$N19,6)+'計算（触らない）'!$B$4)))</f>
        <v/>
      </c>
      <c r="F19" s="52">
        <f>IF('計算（触らない）'!$U19=0,"",IF(('計算（触らない）'!$V19+2)&lt;0,"",INT(ROUND((IF(('計算（触らない）'!$V19+2)=0,'計算（触らない）'!$C19,INDEX('計算（触らない）'!$AS19:$EP19,MIN(('計算（触らない）'!$V19+2),102)))-INDEX('計算（触らない）'!$AS19:$EP19,MIN(('計算（触らない）'!$V19+2),101)+1))*'計算（触らない）'!$N19,6)+'計算（触らない）'!$B$4)))</f>
        <v/>
      </c>
      <c r="G19" s="52">
        <f>IF('計算（触らない）'!$U19=0,"",IF(('計算（触らない）'!$V19+3)&lt;0,"",INT(ROUND((IF(('計算（触らない）'!$V19+3)=0,'計算（触らない）'!$C19,INDEX('計算（触らない）'!$AS19:$EP19,MIN(('計算（触らない）'!$V19+3),102)))-INDEX('計算（触らない）'!$AS19:$EP19,MIN(('計算（触らない）'!$V19+3),101)+1))*'計算（触らない）'!$N19,6)+'計算（触らない）'!$B$4)))</f>
        <v/>
      </c>
      <c r="H19" s="52">
        <f>IF('計算（触らない）'!$U19=0,"",IF(('計算（触らない）'!$V19+4)&lt;0,"",INT(ROUND((IF(('計算（触らない）'!$V19+4)=0,'計算（触らない）'!$C19,INDEX('計算（触らない）'!$AS19:$EP19,MIN(('計算（触らない）'!$V19+4),102)))-INDEX('計算（触らない）'!$AS19:$EP19,MIN(('計算（触らない）'!$V19+4),101)+1))*'計算（触らない）'!$N19,6)+'計算（触らない）'!$B$4)))</f>
        <v/>
      </c>
      <c r="I19" s="52">
        <f>IF('計算（触らない）'!$U19=0,"",IF(('計算（触らない）'!$V19+5)&lt;0,"",INT(ROUND((IF(('計算（触らない）'!$V19+5)=0,'計算（触らない）'!$C19,INDEX('計算（触らない）'!$AS19:$EP19,MIN(('計算（触らない）'!$V19+5),102)))-INDEX('計算（触らない）'!$AS19:$EP19,MIN(('計算（触らない）'!$V19+5),101)+1))*'計算（触らない）'!$N19,6)+'計算（触らない）'!$B$4)))</f>
        <v/>
      </c>
      <c r="J19" s="52">
        <f>IF('計算（触らない）'!$U19=0,"",IF(('計算（触らない）'!$V19+6)&lt;0,"",INT(ROUND((IF(('計算（触らない）'!$V19+6)=0,'計算（触らない）'!$C19,INDEX('計算（触らない）'!$AS19:$EP19,MIN(('計算（触らない）'!$V19+6),102)))-INDEX('計算（触らない）'!$AS19:$EP19,MIN(('計算（触らない）'!$V19+6),101)+1))*'計算（触らない）'!$N19,6)+'計算（触らない）'!$B$4)))</f>
        <v/>
      </c>
      <c r="K19" s="52">
        <f>IF('計算（触らない）'!$U19=0,"",IF(('計算（触らない）'!$V19+7)&lt;0,"",INT(ROUND((IF(('計算（触らない）'!$V19+7)=0,'計算（触らない）'!$C19,INDEX('計算（触らない）'!$AS19:$EP19,MIN(('計算（触らない）'!$V19+7),102)))-INDEX('計算（触らない）'!$AS19:$EP19,MIN(('計算（触らない）'!$V19+7),101)+1))*'計算（触らない）'!$N19,6)+'計算（触らない）'!$B$4)))</f>
        <v/>
      </c>
      <c r="L19" s="52">
        <f>IF('計算（触らない）'!$U19=0,"",IF(('計算（触らない）'!$V19+8)&lt;0,"",INT(ROUND((IF(('計算（触らない）'!$V19+8)=0,'計算（触らない）'!$C19,INDEX('計算（触らない）'!$AS19:$EP19,MIN(('計算（触らない）'!$V19+8),102)))-INDEX('計算（触らない）'!$AS19:$EP19,MIN(('計算（触らない）'!$V19+8),101)+1))*'計算（触らない）'!$N19,6)+'計算（触らない）'!$B$4)))</f>
        <v/>
      </c>
      <c r="M19" s="52">
        <f>IF('計算（触らない）'!$U19=0,"",IF(('計算（触らない）'!$V19+9)&lt;0,"",INT(ROUND((IF(('計算（触らない）'!$V19+9)=0,'計算（触らない）'!$C19,INDEX('計算（触らない）'!$AS19:$EP19,MIN(('計算（触らない）'!$V19+9),102)))-INDEX('計算（触らない）'!$AS19:$EP19,MIN(('計算（触らない）'!$V19+9),101)+1))*'計算（触らない）'!$N19,6)+'計算（触らない）'!$B$4)))</f>
        <v/>
      </c>
      <c r="N19" s="68" t="n"/>
      <c r="O19" s="52">
        <f>IF('計算（触らない）'!$U19=0,"",IF(('計算（触らない）'!$V19+0)&lt;0,"",IF(AND('計算（触らない）'!$F19&lt;=2,('計算（触らない）'!$V19+0)&gt;'計算（触らない）'!$R19),0,INDEX('計算（触らない）'!$AS19:$EP19,MIN(('計算（触らない）'!$V19+0),101)+1))))</f>
        <v/>
      </c>
      <c r="P19" s="52">
        <f>IF('計算（触らない）'!$U19=0,"",IF(('計算（触らない）'!$V19+1)&lt;0,"",IF(AND('計算（触らない）'!$F19&lt;=2,('計算（触らない）'!$V19+1)&gt;'計算（触らない）'!$R19),0,INDEX('計算（触らない）'!$AS19:$EP19,MIN(('計算（触らない）'!$V19+1),101)+1))))</f>
        <v/>
      </c>
      <c r="Q19" s="52">
        <f>IF('計算（触らない）'!$U19=0,"",IF(('計算（触らない）'!$V19+2)&lt;0,"",IF(AND('計算（触らない）'!$F19&lt;=2,('計算（触らない）'!$V19+2)&gt;'計算（触らない）'!$R19),0,INDEX('計算（触らない）'!$AS19:$EP19,MIN(('計算（触らない）'!$V19+2),101)+1))))</f>
        <v/>
      </c>
      <c r="R19" s="52">
        <f>IF('計算（触らない）'!$U19=0,"",IF(('計算（触らない）'!$V19+3)&lt;0,"",IF(AND('計算（触らない）'!$F19&lt;=2,('計算（触らない）'!$V19+3)&gt;'計算（触らない）'!$R19),0,INDEX('計算（触らない）'!$AS19:$EP19,MIN(('計算（触らない）'!$V19+3),101)+1))))</f>
        <v/>
      </c>
      <c r="S19" s="52">
        <f>IF('計算（触らない）'!$U19=0,"",IF(('計算（触らない）'!$V19+4)&lt;0,"",IF(AND('計算（触らない）'!$F19&lt;=2,('計算（触らない）'!$V19+4)&gt;'計算（触らない）'!$R19),0,INDEX('計算（触らない）'!$AS19:$EP19,MIN(('計算（触らない）'!$V19+4),101)+1))))</f>
        <v/>
      </c>
      <c r="T19" s="52">
        <f>IF('計算（触らない）'!$U19=0,"",IF(('計算（触らない）'!$V19+5)&lt;0,"",IF(AND('計算（触らない）'!$F19&lt;=2,('計算（触らない）'!$V19+5)&gt;'計算（触らない）'!$R19),0,INDEX('計算（触らない）'!$AS19:$EP19,MIN(('計算（触らない）'!$V19+5),101)+1))))</f>
        <v/>
      </c>
      <c r="U19" s="52">
        <f>IF('計算（触らない）'!$U19=0,"",IF(('計算（触らない）'!$V19+6)&lt;0,"",IF(AND('計算（触らない）'!$F19&lt;=2,('計算（触らない）'!$V19+6)&gt;'計算（触らない）'!$R19),0,INDEX('計算（触らない）'!$AS19:$EP19,MIN(('計算（触らない）'!$V19+6),101)+1))))</f>
        <v/>
      </c>
      <c r="V19" s="52">
        <f>IF('計算（触らない）'!$U19=0,"",IF(('計算（触らない）'!$V19+7)&lt;0,"",IF(AND('計算（触らない）'!$F19&lt;=2,('計算（触らない）'!$V19+7)&gt;'計算（触らない）'!$R19),0,INDEX('計算（触らない）'!$AS19:$EP19,MIN(('計算（触らない）'!$V19+7),101)+1))))</f>
        <v/>
      </c>
      <c r="W19" s="52">
        <f>IF('計算（触らない）'!$U19=0,"",IF(('計算（触らない）'!$V19+8)&lt;0,"",IF(AND('計算（触らない）'!$F19&lt;=2,('計算（触らない）'!$V19+8)&gt;'計算（触らない）'!$R19),0,INDEX('計算（触らない）'!$AS19:$EP19,MIN(('計算（触らない）'!$V19+8),101)+1))))</f>
        <v/>
      </c>
      <c r="X19" s="52">
        <f>IF('計算（触らない）'!$U19=0,"",IF(('計算（触らない）'!$V19+9)&lt;0,"",IF(AND('計算（触らない）'!$F19&lt;=2,('計算（触らない）'!$V19+9)&gt;'計算（触らない）'!$R19),0,INDEX('計算（触らない）'!$AS19:$EP19,MIN(('計算（触らない）'!$V19+9),101)+1))))</f>
        <v/>
      </c>
    </row>
    <row r="20" ht="17" customHeight="1">
      <c r="A20" s="21" t="n">
        <v>15</v>
      </c>
      <c r="B20" s="38">
        <f>IF('計算（触らない）'!$B20=0,"",'固定資産台帳'!$B20&amp;"")</f>
        <v/>
      </c>
      <c r="C20" s="38">
        <f>IF('計算（触らない）'!$B20=0,"",'固定資産台帳'!$H20&amp;"")</f>
        <v/>
      </c>
      <c r="D20" s="52">
        <f>IF('計算（触らない）'!$U20=0,"",IF(('計算（触らない）'!$V20+0)&lt;0,"",INT(ROUND((IF(('計算（触らない）'!$V20+0)=0,'計算（触らない）'!$C20,INDEX('計算（触らない）'!$AS20:$EP20,MIN(('計算（触らない）'!$V20+0),102)))-INDEX('計算（触らない）'!$AS20:$EP20,MIN(('計算（触らない）'!$V20+0),101)+1))*'計算（触らない）'!$N20,6)+'計算（触らない）'!$B$4)))</f>
        <v/>
      </c>
      <c r="E20" s="52">
        <f>IF('計算（触らない）'!$U20=0,"",IF(('計算（触らない）'!$V20+1)&lt;0,"",INT(ROUND((IF(('計算（触らない）'!$V20+1)=0,'計算（触らない）'!$C20,INDEX('計算（触らない）'!$AS20:$EP20,MIN(('計算（触らない）'!$V20+1),102)))-INDEX('計算（触らない）'!$AS20:$EP20,MIN(('計算（触らない）'!$V20+1),101)+1))*'計算（触らない）'!$N20,6)+'計算（触らない）'!$B$4)))</f>
        <v/>
      </c>
      <c r="F20" s="52">
        <f>IF('計算（触らない）'!$U20=0,"",IF(('計算（触らない）'!$V20+2)&lt;0,"",INT(ROUND((IF(('計算（触らない）'!$V20+2)=0,'計算（触らない）'!$C20,INDEX('計算（触らない）'!$AS20:$EP20,MIN(('計算（触らない）'!$V20+2),102)))-INDEX('計算（触らない）'!$AS20:$EP20,MIN(('計算（触らない）'!$V20+2),101)+1))*'計算（触らない）'!$N20,6)+'計算（触らない）'!$B$4)))</f>
        <v/>
      </c>
      <c r="G20" s="52">
        <f>IF('計算（触らない）'!$U20=0,"",IF(('計算（触らない）'!$V20+3)&lt;0,"",INT(ROUND((IF(('計算（触らない）'!$V20+3)=0,'計算（触らない）'!$C20,INDEX('計算（触らない）'!$AS20:$EP20,MIN(('計算（触らない）'!$V20+3),102)))-INDEX('計算（触らない）'!$AS20:$EP20,MIN(('計算（触らない）'!$V20+3),101)+1))*'計算（触らない）'!$N20,6)+'計算（触らない）'!$B$4)))</f>
        <v/>
      </c>
      <c r="H20" s="52">
        <f>IF('計算（触らない）'!$U20=0,"",IF(('計算（触らない）'!$V20+4)&lt;0,"",INT(ROUND((IF(('計算（触らない）'!$V20+4)=0,'計算（触らない）'!$C20,INDEX('計算（触らない）'!$AS20:$EP20,MIN(('計算（触らない）'!$V20+4),102)))-INDEX('計算（触らない）'!$AS20:$EP20,MIN(('計算（触らない）'!$V20+4),101)+1))*'計算（触らない）'!$N20,6)+'計算（触らない）'!$B$4)))</f>
        <v/>
      </c>
      <c r="I20" s="52">
        <f>IF('計算（触らない）'!$U20=0,"",IF(('計算（触らない）'!$V20+5)&lt;0,"",INT(ROUND((IF(('計算（触らない）'!$V20+5)=0,'計算（触らない）'!$C20,INDEX('計算（触らない）'!$AS20:$EP20,MIN(('計算（触らない）'!$V20+5),102)))-INDEX('計算（触らない）'!$AS20:$EP20,MIN(('計算（触らない）'!$V20+5),101)+1))*'計算（触らない）'!$N20,6)+'計算（触らない）'!$B$4)))</f>
        <v/>
      </c>
      <c r="J20" s="52">
        <f>IF('計算（触らない）'!$U20=0,"",IF(('計算（触らない）'!$V20+6)&lt;0,"",INT(ROUND((IF(('計算（触らない）'!$V20+6)=0,'計算（触らない）'!$C20,INDEX('計算（触らない）'!$AS20:$EP20,MIN(('計算（触らない）'!$V20+6),102)))-INDEX('計算（触らない）'!$AS20:$EP20,MIN(('計算（触らない）'!$V20+6),101)+1))*'計算（触らない）'!$N20,6)+'計算（触らない）'!$B$4)))</f>
        <v/>
      </c>
      <c r="K20" s="52">
        <f>IF('計算（触らない）'!$U20=0,"",IF(('計算（触らない）'!$V20+7)&lt;0,"",INT(ROUND((IF(('計算（触らない）'!$V20+7)=0,'計算（触らない）'!$C20,INDEX('計算（触らない）'!$AS20:$EP20,MIN(('計算（触らない）'!$V20+7),102)))-INDEX('計算（触らない）'!$AS20:$EP20,MIN(('計算（触らない）'!$V20+7),101)+1))*'計算（触らない）'!$N20,6)+'計算（触らない）'!$B$4)))</f>
        <v/>
      </c>
      <c r="L20" s="52">
        <f>IF('計算（触らない）'!$U20=0,"",IF(('計算（触らない）'!$V20+8)&lt;0,"",INT(ROUND((IF(('計算（触らない）'!$V20+8)=0,'計算（触らない）'!$C20,INDEX('計算（触らない）'!$AS20:$EP20,MIN(('計算（触らない）'!$V20+8),102)))-INDEX('計算（触らない）'!$AS20:$EP20,MIN(('計算（触らない）'!$V20+8),101)+1))*'計算（触らない）'!$N20,6)+'計算（触らない）'!$B$4)))</f>
        <v/>
      </c>
      <c r="M20" s="52">
        <f>IF('計算（触らない）'!$U20=0,"",IF(('計算（触らない）'!$V20+9)&lt;0,"",INT(ROUND((IF(('計算（触らない）'!$V20+9)=0,'計算（触らない）'!$C20,INDEX('計算（触らない）'!$AS20:$EP20,MIN(('計算（触らない）'!$V20+9),102)))-INDEX('計算（触らない）'!$AS20:$EP20,MIN(('計算（触らない）'!$V20+9),101)+1))*'計算（触らない）'!$N20,6)+'計算（触らない）'!$B$4)))</f>
        <v/>
      </c>
      <c r="N20" s="68" t="n"/>
      <c r="O20" s="52">
        <f>IF('計算（触らない）'!$U20=0,"",IF(('計算（触らない）'!$V20+0)&lt;0,"",IF(AND('計算（触らない）'!$F20&lt;=2,('計算（触らない）'!$V20+0)&gt;'計算（触らない）'!$R20),0,INDEX('計算（触らない）'!$AS20:$EP20,MIN(('計算（触らない）'!$V20+0),101)+1))))</f>
        <v/>
      </c>
      <c r="P20" s="52">
        <f>IF('計算（触らない）'!$U20=0,"",IF(('計算（触らない）'!$V20+1)&lt;0,"",IF(AND('計算（触らない）'!$F20&lt;=2,('計算（触らない）'!$V20+1)&gt;'計算（触らない）'!$R20),0,INDEX('計算（触らない）'!$AS20:$EP20,MIN(('計算（触らない）'!$V20+1),101)+1))))</f>
        <v/>
      </c>
      <c r="Q20" s="52">
        <f>IF('計算（触らない）'!$U20=0,"",IF(('計算（触らない）'!$V20+2)&lt;0,"",IF(AND('計算（触らない）'!$F20&lt;=2,('計算（触らない）'!$V20+2)&gt;'計算（触らない）'!$R20),0,INDEX('計算（触らない）'!$AS20:$EP20,MIN(('計算（触らない）'!$V20+2),101)+1))))</f>
        <v/>
      </c>
      <c r="R20" s="52">
        <f>IF('計算（触らない）'!$U20=0,"",IF(('計算（触らない）'!$V20+3)&lt;0,"",IF(AND('計算（触らない）'!$F20&lt;=2,('計算（触らない）'!$V20+3)&gt;'計算（触らない）'!$R20),0,INDEX('計算（触らない）'!$AS20:$EP20,MIN(('計算（触らない）'!$V20+3),101)+1))))</f>
        <v/>
      </c>
      <c r="S20" s="52">
        <f>IF('計算（触らない）'!$U20=0,"",IF(('計算（触らない）'!$V20+4)&lt;0,"",IF(AND('計算（触らない）'!$F20&lt;=2,('計算（触らない）'!$V20+4)&gt;'計算（触らない）'!$R20),0,INDEX('計算（触らない）'!$AS20:$EP20,MIN(('計算（触らない）'!$V20+4),101)+1))))</f>
        <v/>
      </c>
      <c r="T20" s="52">
        <f>IF('計算（触らない）'!$U20=0,"",IF(('計算（触らない）'!$V20+5)&lt;0,"",IF(AND('計算（触らない）'!$F20&lt;=2,('計算（触らない）'!$V20+5)&gt;'計算（触らない）'!$R20),0,INDEX('計算（触らない）'!$AS20:$EP20,MIN(('計算（触らない）'!$V20+5),101)+1))))</f>
        <v/>
      </c>
      <c r="U20" s="52">
        <f>IF('計算（触らない）'!$U20=0,"",IF(('計算（触らない）'!$V20+6)&lt;0,"",IF(AND('計算（触らない）'!$F20&lt;=2,('計算（触らない）'!$V20+6)&gt;'計算（触らない）'!$R20),0,INDEX('計算（触らない）'!$AS20:$EP20,MIN(('計算（触らない）'!$V20+6),101)+1))))</f>
        <v/>
      </c>
      <c r="V20" s="52">
        <f>IF('計算（触らない）'!$U20=0,"",IF(('計算（触らない）'!$V20+7)&lt;0,"",IF(AND('計算（触らない）'!$F20&lt;=2,('計算（触らない）'!$V20+7)&gt;'計算（触らない）'!$R20),0,INDEX('計算（触らない）'!$AS20:$EP20,MIN(('計算（触らない）'!$V20+7),101)+1))))</f>
        <v/>
      </c>
      <c r="W20" s="52">
        <f>IF('計算（触らない）'!$U20=0,"",IF(('計算（触らない）'!$V20+8)&lt;0,"",IF(AND('計算（触らない）'!$F20&lt;=2,('計算（触らない）'!$V20+8)&gt;'計算（触らない）'!$R20),0,INDEX('計算（触らない）'!$AS20:$EP20,MIN(('計算（触らない）'!$V20+8),101)+1))))</f>
        <v/>
      </c>
      <c r="X20" s="52">
        <f>IF('計算（触らない）'!$U20=0,"",IF(('計算（触らない）'!$V20+9)&lt;0,"",IF(AND('計算（触らない）'!$F20&lt;=2,('計算（触らない）'!$V20+9)&gt;'計算（触らない）'!$R20),0,INDEX('計算（触らない）'!$AS20:$EP20,MIN(('計算（触らない）'!$V20+9),101)+1))))</f>
        <v/>
      </c>
    </row>
    <row r="21" ht="17" customHeight="1">
      <c r="A21" s="21" t="n">
        <v>16</v>
      </c>
      <c r="B21" s="38">
        <f>IF('計算（触らない）'!$B21=0,"",'固定資産台帳'!$B21&amp;"")</f>
        <v/>
      </c>
      <c r="C21" s="38">
        <f>IF('計算（触らない）'!$B21=0,"",'固定資産台帳'!$H21&amp;"")</f>
        <v/>
      </c>
      <c r="D21" s="52">
        <f>IF('計算（触らない）'!$U21=0,"",IF(('計算（触らない）'!$V21+0)&lt;0,"",INT(ROUND((IF(('計算（触らない）'!$V21+0)=0,'計算（触らない）'!$C21,INDEX('計算（触らない）'!$AS21:$EP21,MIN(('計算（触らない）'!$V21+0),102)))-INDEX('計算（触らない）'!$AS21:$EP21,MIN(('計算（触らない）'!$V21+0),101)+1))*'計算（触らない）'!$N21,6)+'計算（触らない）'!$B$4)))</f>
        <v/>
      </c>
      <c r="E21" s="52">
        <f>IF('計算（触らない）'!$U21=0,"",IF(('計算（触らない）'!$V21+1)&lt;0,"",INT(ROUND((IF(('計算（触らない）'!$V21+1)=0,'計算（触らない）'!$C21,INDEX('計算（触らない）'!$AS21:$EP21,MIN(('計算（触らない）'!$V21+1),102)))-INDEX('計算（触らない）'!$AS21:$EP21,MIN(('計算（触らない）'!$V21+1),101)+1))*'計算（触らない）'!$N21,6)+'計算（触らない）'!$B$4)))</f>
        <v/>
      </c>
      <c r="F21" s="52">
        <f>IF('計算（触らない）'!$U21=0,"",IF(('計算（触らない）'!$V21+2)&lt;0,"",INT(ROUND((IF(('計算（触らない）'!$V21+2)=0,'計算（触らない）'!$C21,INDEX('計算（触らない）'!$AS21:$EP21,MIN(('計算（触らない）'!$V21+2),102)))-INDEX('計算（触らない）'!$AS21:$EP21,MIN(('計算（触らない）'!$V21+2),101)+1))*'計算（触らない）'!$N21,6)+'計算（触らない）'!$B$4)))</f>
        <v/>
      </c>
      <c r="G21" s="52">
        <f>IF('計算（触らない）'!$U21=0,"",IF(('計算（触らない）'!$V21+3)&lt;0,"",INT(ROUND((IF(('計算（触らない）'!$V21+3)=0,'計算（触らない）'!$C21,INDEX('計算（触らない）'!$AS21:$EP21,MIN(('計算（触らない）'!$V21+3),102)))-INDEX('計算（触らない）'!$AS21:$EP21,MIN(('計算（触らない）'!$V21+3),101)+1))*'計算（触らない）'!$N21,6)+'計算（触らない）'!$B$4)))</f>
        <v/>
      </c>
      <c r="H21" s="52">
        <f>IF('計算（触らない）'!$U21=0,"",IF(('計算（触らない）'!$V21+4)&lt;0,"",INT(ROUND((IF(('計算（触らない）'!$V21+4)=0,'計算（触らない）'!$C21,INDEX('計算（触らない）'!$AS21:$EP21,MIN(('計算（触らない）'!$V21+4),102)))-INDEX('計算（触らない）'!$AS21:$EP21,MIN(('計算（触らない）'!$V21+4),101)+1))*'計算（触らない）'!$N21,6)+'計算（触らない）'!$B$4)))</f>
        <v/>
      </c>
      <c r="I21" s="52">
        <f>IF('計算（触らない）'!$U21=0,"",IF(('計算（触らない）'!$V21+5)&lt;0,"",INT(ROUND((IF(('計算（触らない）'!$V21+5)=0,'計算（触らない）'!$C21,INDEX('計算（触らない）'!$AS21:$EP21,MIN(('計算（触らない）'!$V21+5),102)))-INDEX('計算（触らない）'!$AS21:$EP21,MIN(('計算（触らない）'!$V21+5),101)+1))*'計算（触らない）'!$N21,6)+'計算（触らない）'!$B$4)))</f>
        <v/>
      </c>
      <c r="J21" s="52">
        <f>IF('計算（触らない）'!$U21=0,"",IF(('計算（触らない）'!$V21+6)&lt;0,"",INT(ROUND((IF(('計算（触らない）'!$V21+6)=0,'計算（触らない）'!$C21,INDEX('計算（触らない）'!$AS21:$EP21,MIN(('計算（触らない）'!$V21+6),102)))-INDEX('計算（触らない）'!$AS21:$EP21,MIN(('計算（触らない）'!$V21+6),101)+1))*'計算（触らない）'!$N21,6)+'計算（触らない）'!$B$4)))</f>
        <v/>
      </c>
      <c r="K21" s="52">
        <f>IF('計算（触らない）'!$U21=0,"",IF(('計算（触らない）'!$V21+7)&lt;0,"",INT(ROUND((IF(('計算（触らない）'!$V21+7)=0,'計算（触らない）'!$C21,INDEX('計算（触らない）'!$AS21:$EP21,MIN(('計算（触らない）'!$V21+7),102)))-INDEX('計算（触らない）'!$AS21:$EP21,MIN(('計算（触らない）'!$V21+7),101)+1))*'計算（触らない）'!$N21,6)+'計算（触らない）'!$B$4)))</f>
        <v/>
      </c>
      <c r="L21" s="52">
        <f>IF('計算（触らない）'!$U21=0,"",IF(('計算（触らない）'!$V21+8)&lt;0,"",INT(ROUND((IF(('計算（触らない）'!$V21+8)=0,'計算（触らない）'!$C21,INDEX('計算（触らない）'!$AS21:$EP21,MIN(('計算（触らない）'!$V21+8),102)))-INDEX('計算（触らない）'!$AS21:$EP21,MIN(('計算（触らない）'!$V21+8),101)+1))*'計算（触らない）'!$N21,6)+'計算（触らない）'!$B$4)))</f>
        <v/>
      </c>
      <c r="M21" s="52">
        <f>IF('計算（触らない）'!$U21=0,"",IF(('計算（触らない）'!$V21+9)&lt;0,"",INT(ROUND((IF(('計算（触らない）'!$V21+9)=0,'計算（触らない）'!$C21,INDEX('計算（触らない）'!$AS21:$EP21,MIN(('計算（触らない）'!$V21+9),102)))-INDEX('計算（触らない）'!$AS21:$EP21,MIN(('計算（触らない）'!$V21+9),101)+1))*'計算（触らない）'!$N21,6)+'計算（触らない）'!$B$4)))</f>
        <v/>
      </c>
      <c r="N21" s="68" t="n"/>
      <c r="O21" s="52">
        <f>IF('計算（触らない）'!$U21=0,"",IF(('計算（触らない）'!$V21+0)&lt;0,"",IF(AND('計算（触らない）'!$F21&lt;=2,('計算（触らない）'!$V21+0)&gt;'計算（触らない）'!$R21),0,INDEX('計算（触らない）'!$AS21:$EP21,MIN(('計算（触らない）'!$V21+0),101)+1))))</f>
        <v/>
      </c>
      <c r="P21" s="52">
        <f>IF('計算（触らない）'!$U21=0,"",IF(('計算（触らない）'!$V21+1)&lt;0,"",IF(AND('計算（触らない）'!$F21&lt;=2,('計算（触らない）'!$V21+1)&gt;'計算（触らない）'!$R21),0,INDEX('計算（触らない）'!$AS21:$EP21,MIN(('計算（触らない）'!$V21+1),101)+1))))</f>
        <v/>
      </c>
      <c r="Q21" s="52">
        <f>IF('計算（触らない）'!$U21=0,"",IF(('計算（触らない）'!$V21+2)&lt;0,"",IF(AND('計算（触らない）'!$F21&lt;=2,('計算（触らない）'!$V21+2)&gt;'計算（触らない）'!$R21),0,INDEX('計算（触らない）'!$AS21:$EP21,MIN(('計算（触らない）'!$V21+2),101)+1))))</f>
        <v/>
      </c>
      <c r="R21" s="52">
        <f>IF('計算（触らない）'!$U21=0,"",IF(('計算（触らない）'!$V21+3)&lt;0,"",IF(AND('計算（触らない）'!$F21&lt;=2,('計算（触らない）'!$V21+3)&gt;'計算（触らない）'!$R21),0,INDEX('計算（触らない）'!$AS21:$EP21,MIN(('計算（触らない）'!$V21+3),101)+1))))</f>
        <v/>
      </c>
      <c r="S21" s="52">
        <f>IF('計算（触らない）'!$U21=0,"",IF(('計算（触らない）'!$V21+4)&lt;0,"",IF(AND('計算（触らない）'!$F21&lt;=2,('計算（触らない）'!$V21+4)&gt;'計算（触らない）'!$R21),0,INDEX('計算（触らない）'!$AS21:$EP21,MIN(('計算（触らない）'!$V21+4),101)+1))))</f>
        <v/>
      </c>
      <c r="T21" s="52">
        <f>IF('計算（触らない）'!$U21=0,"",IF(('計算（触らない）'!$V21+5)&lt;0,"",IF(AND('計算（触らない）'!$F21&lt;=2,('計算（触らない）'!$V21+5)&gt;'計算（触らない）'!$R21),0,INDEX('計算（触らない）'!$AS21:$EP21,MIN(('計算（触らない）'!$V21+5),101)+1))))</f>
        <v/>
      </c>
      <c r="U21" s="52">
        <f>IF('計算（触らない）'!$U21=0,"",IF(('計算（触らない）'!$V21+6)&lt;0,"",IF(AND('計算（触らない）'!$F21&lt;=2,('計算（触らない）'!$V21+6)&gt;'計算（触らない）'!$R21),0,INDEX('計算（触らない）'!$AS21:$EP21,MIN(('計算（触らない）'!$V21+6),101)+1))))</f>
        <v/>
      </c>
      <c r="V21" s="52">
        <f>IF('計算（触らない）'!$U21=0,"",IF(('計算（触らない）'!$V21+7)&lt;0,"",IF(AND('計算（触らない）'!$F21&lt;=2,('計算（触らない）'!$V21+7)&gt;'計算（触らない）'!$R21),0,INDEX('計算（触らない）'!$AS21:$EP21,MIN(('計算（触らない）'!$V21+7),101)+1))))</f>
        <v/>
      </c>
      <c r="W21" s="52">
        <f>IF('計算（触らない）'!$U21=0,"",IF(('計算（触らない）'!$V21+8)&lt;0,"",IF(AND('計算（触らない）'!$F21&lt;=2,('計算（触らない）'!$V21+8)&gt;'計算（触らない）'!$R21),0,INDEX('計算（触らない）'!$AS21:$EP21,MIN(('計算（触らない）'!$V21+8),101)+1))))</f>
        <v/>
      </c>
      <c r="X21" s="52">
        <f>IF('計算（触らない）'!$U21=0,"",IF(('計算（触らない）'!$V21+9)&lt;0,"",IF(AND('計算（触らない）'!$F21&lt;=2,('計算（触らない）'!$V21+9)&gt;'計算（触らない）'!$R21),0,INDEX('計算（触らない）'!$AS21:$EP21,MIN(('計算（触らない）'!$V21+9),101)+1))))</f>
        <v/>
      </c>
    </row>
    <row r="22" ht="17" customHeight="1">
      <c r="A22" s="21" t="n">
        <v>17</v>
      </c>
      <c r="B22" s="38">
        <f>IF('計算（触らない）'!$B22=0,"",'固定資産台帳'!$B22&amp;"")</f>
        <v/>
      </c>
      <c r="C22" s="38">
        <f>IF('計算（触らない）'!$B22=0,"",'固定資産台帳'!$H22&amp;"")</f>
        <v/>
      </c>
      <c r="D22" s="52">
        <f>IF('計算（触らない）'!$U22=0,"",IF(('計算（触らない）'!$V22+0)&lt;0,"",INT(ROUND((IF(('計算（触らない）'!$V22+0)=0,'計算（触らない）'!$C22,INDEX('計算（触らない）'!$AS22:$EP22,MIN(('計算（触らない）'!$V22+0),102)))-INDEX('計算（触らない）'!$AS22:$EP22,MIN(('計算（触らない）'!$V22+0),101)+1))*'計算（触らない）'!$N22,6)+'計算（触らない）'!$B$4)))</f>
        <v/>
      </c>
      <c r="E22" s="52">
        <f>IF('計算（触らない）'!$U22=0,"",IF(('計算（触らない）'!$V22+1)&lt;0,"",INT(ROUND((IF(('計算（触らない）'!$V22+1)=0,'計算（触らない）'!$C22,INDEX('計算（触らない）'!$AS22:$EP22,MIN(('計算（触らない）'!$V22+1),102)))-INDEX('計算（触らない）'!$AS22:$EP22,MIN(('計算（触らない）'!$V22+1),101)+1))*'計算（触らない）'!$N22,6)+'計算（触らない）'!$B$4)))</f>
        <v/>
      </c>
      <c r="F22" s="52">
        <f>IF('計算（触らない）'!$U22=0,"",IF(('計算（触らない）'!$V22+2)&lt;0,"",INT(ROUND((IF(('計算（触らない）'!$V22+2)=0,'計算（触らない）'!$C22,INDEX('計算（触らない）'!$AS22:$EP22,MIN(('計算（触らない）'!$V22+2),102)))-INDEX('計算（触らない）'!$AS22:$EP22,MIN(('計算（触らない）'!$V22+2),101)+1))*'計算（触らない）'!$N22,6)+'計算（触らない）'!$B$4)))</f>
        <v/>
      </c>
      <c r="G22" s="52">
        <f>IF('計算（触らない）'!$U22=0,"",IF(('計算（触らない）'!$V22+3)&lt;0,"",INT(ROUND((IF(('計算（触らない）'!$V22+3)=0,'計算（触らない）'!$C22,INDEX('計算（触らない）'!$AS22:$EP22,MIN(('計算（触らない）'!$V22+3),102)))-INDEX('計算（触らない）'!$AS22:$EP22,MIN(('計算（触らない）'!$V22+3),101)+1))*'計算（触らない）'!$N22,6)+'計算（触らない）'!$B$4)))</f>
        <v/>
      </c>
      <c r="H22" s="52">
        <f>IF('計算（触らない）'!$U22=0,"",IF(('計算（触らない）'!$V22+4)&lt;0,"",INT(ROUND((IF(('計算（触らない）'!$V22+4)=0,'計算（触らない）'!$C22,INDEX('計算（触らない）'!$AS22:$EP22,MIN(('計算（触らない）'!$V22+4),102)))-INDEX('計算（触らない）'!$AS22:$EP22,MIN(('計算（触らない）'!$V22+4),101)+1))*'計算（触らない）'!$N22,6)+'計算（触らない）'!$B$4)))</f>
        <v/>
      </c>
      <c r="I22" s="52">
        <f>IF('計算（触らない）'!$U22=0,"",IF(('計算（触らない）'!$V22+5)&lt;0,"",INT(ROUND((IF(('計算（触らない）'!$V22+5)=0,'計算（触らない）'!$C22,INDEX('計算（触らない）'!$AS22:$EP22,MIN(('計算（触らない）'!$V22+5),102)))-INDEX('計算（触らない）'!$AS22:$EP22,MIN(('計算（触らない）'!$V22+5),101)+1))*'計算（触らない）'!$N22,6)+'計算（触らない）'!$B$4)))</f>
        <v/>
      </c>
      <c r="J22" s="52">
        <f>IF('計算（触らない）'!$U22=0,"",IF(('計算（触らない）'!$V22+6)&lt;0,"",INT(ROUND((IF(('計算（触らない）'!$V22+6)=0,'計算（触らない）'!$C22,INDEX('計算（触らない）'!$AS22:$EP22,MIN(('計算（触らない）'!$V22+6),102)))-INDEX('計算（触らない）'!$AS22:$EP22,MIN(('計算（触らない）'!$V22+6),101)+1))*'計算（触らない）'!$N22,6)+'計算（触らない）'!$B$4)))</f>
        <v/>
      </c>
      <c r="K22" s="52">
        <f>IF('計算（触らない）'!$U22=0,"",IF(('計算（触らない）'!$V22+7)&lt;0,"",INT(ROUND((IF(('計算（触らない）'!$V22+7)=0,'計算（触らない）'!$C22,INDEX('計算（触らない）'!$AS22:$EP22,MIN(('計算（触らない）'!$V22+7),102)))-INDEX('計算（触らない）'!$AS22:$EP22,MIN(('計算（触らない）'!$V22+7),101)+1))*'計算（触らない）'!$N22,6)+'計算（触らない）'!$B$4)))</f>
        <v/>
      </c>
      <c r="L22" s="52">
        <f>IF('計算（触らない）'!$U22=0,"",IF(('計算（触らない）'!$V22+8)&lt;0,"",INT(ROUND((IF(('計算（触らない）'!$V22+8)=0,'計算（触らない）'!$C22,INDEX('計算（触らない）'!$AS22:$EP22,MIN(('計算（触らない）'!$V22+8),102)))-INDEX('計算（触らない）'!$AS22:$EP22,MIN(('計算（触らない）'!$V22+8),101)+1))*'計算（触らない）'!$N22,6)+'計算（触らない）'!$B$4)))</f>
        <v/>
      </c>
      <c r="M22" s="52">
        <f>IF('計算（触らない）'!$U22=0,"",IF(('計算（触らない）'!$V22+9)&lt;0,"",INT(ROUND((IF(('計算（触らない）'!$V22+9)=0,'計算（触らない）'!$C22,INDEX('計算（触らない）'!$AS22:$EP22,MIN(('計算（触らない）'!$V22+9),102)))-INDEX('計算（触らない）'!$AS22:$EP22,MIN(('計算（触らない）'!$V22+9),101)+1))*'計算（触らない）'!$N22,6)+'計算（触らない）'!$B$4)))</f>
        <v/>
      </c>
      <c r="N22" s="68" t="n"/>
      <c r="O22" s="52">
        <f>IF('計算（触らない）'!$U22=0,"",IF(('計算（触らない）'!$V22+0)&lt;0,"",IF(AND('計算（触らない）'!$F22&lt;=2,('計算（触らない）'!$V22+0)&gt;'計算（触らない）'!$R22),0,INDEX('計算（触らない）'!$AS22:$EP22,MIN(('計算（触らない）'!$V22+0),101)+1))))</f>
        <v/>
      </c>
      <c r="P22" s="52">
        <f>IF('計算（触らない）'!$U22=0,"",IF(('計算（触らない）'!$V22+1)&lt;0,"",IF(AND('計算（触らない）'!$F22&lt;=2,('計算（触らない）'!$V22+1)&gt;'計算（触らない）'!$R22),0,INDEX('計算（触らない）'!$AS22:$EP22,MIN(('計算（触らない）'!$V22+1),101)+1))))</f>
        <v/>
      </c>
      <c r="Q22" s="52">
        <f>IF('計算（触らない）'!$U22=0,"",IF(('計算（触らない）'!$V22+2)&lt;0,"",IF(AND('計算（触らない）'!$F22&lt;=2,('計算（触らない）'!$V22+2)&gt;'計算（触らない）'!$R22),0,INDEX('計算（触らない）'!$AS22:$EP22,MIN(('計算（触らない）'!$V22+2),101)+1))))</f>
        <v/>
      </c>
      <c r="R22" s="52">
        <f>IF('計算（触らない）'!$U22=0,"",IF(('計算（触らない）'!$V22+3)&lt;0,"",IF(AND('計算（触らない）'!$F22&lt;=2,('計算（触らない）'!$V22+3)&gt;'計算（触らない）'!$R22),0,INDEX('計算（触らない）'!$AS22:$EP22,MIN(('計算（触らない）'!$V22+3),101)+1))))</f>
        <v/>
      </c>
      <c r="S22" s="52">
        <f>IF('計算（触らない）'!$U22=0,"",IF(('計算（触らない）'!$V22+4)&lt;0,"",IF(AND('計算（触らない）'!$F22&lt;=2,('計算（触らない）'!$V22+4)&gt;'計算（触らない）'!$R22),0,INDEX('計算（触らない）'!$AS22:$EP22,MIN(('計算（触らない）'!$V22+4),101)+1))))</f>
        <v/>
      </c>
      <c r="T22" s="52">
        <f>IF('計算（触らない）'!$U22=0,"",IF(('計算（触らない）'!$V22+5)&lt;0,"",IF(AND('計算（触らない）'!$F22&lt;=2,('計算（触らない）'!$V22+5)&gt;'計算（触らない）'!$R22),0,INDEX('計算（触らない）'!$AS22:$EP22,MIN(('計算（触らない）'!$V22+5),101)+1))))</f>
        <v/>
      </c>
      <c r="U22" s="52">
        <f>IF('計算（触らない）'!$U22=0,"",IF(('計算（触らない）'!$V22+6)&lt;0,"",IF(AND('計算（触らない）'!$F22&lt;=2,('計算（触らない）'!$V22+6)&gt;'計算（触らない）'!$R22),0,INDEX('計算（触らない）'!$AS22:$EP22,MIN(('計算（触らない）'!$V22+6),101)+1))))</f>
        <v/>
      </c>
      <c r="V22" s="52">
        <f>IF('計算（触らない）'!$U22=0,"",IF(('計算（触らない）'!$V22+7)&lt;0,"",IF(AND('計算（触らない）'!$F22&lt;=2,('計算（触らない）'!$V22+7)&gt;'計算（触らない）'!$R22),0,INDEX('計算（触らない）'!$AS22:$EP22,MIN(('計算（触らない）'!$V22+7),101)+1))))</f>
        <v/>
      </c>
      <c r="W22" s="52">
        <f>IF('計算（触らない）'!$U22=0,"",IF(('計算（触らない）'!$V22+8)&lt;0,"",IF(AND('計算（触らない）'!$F22&lt;=2,('計算（触らない）'!$V22+8)&gt;'計算（触らない）'!$R22),0,INDEX('計算（触らない）'!$AS22:$EP22,MIN(('計算（触らない）'!$V22+8),101)+1))))</f>
        <v/>
      </c>
      <c r="X22" s="52">
        <f>IF('計算（触らない）'!$U22=0,"",IF(('計算（触らない）'!$V22+9)&lt;0,"",IF(AND('計算（触らない）'!$F22&lt;=2,('計算（触らない）'!$V22+9)&gt;'計算（触らない）'!$R22),0,INDEX('計算（触らない）'!$AS22:$EP22,MIN(('計算（触らない）'!$V22+9),101)+1))))</f>
        <v/>
      </c>
    </row>
    <row r="23" ht="17" customHeight="1">
      <c r="A23" s="21" t="n">
        <v>18</v>
      </c>
      <c r="B23" s="38">
        <f>IF('計算（触らない）'!$B23=0,"",'固定資産台帳'!$B23&amp;"")</f>
        <v/>
      </c>
      <c r="C23" s="38">
        <f>IF('計算（触らない）'!$B23=0,"",'固定資産台帳'!$H23&amp;"")</f>
        <v/>
      </c>
      <c r="D23" s="52">
        <f>IF('計算（触らない）'!$U23=0,"",IF(('計算（触らない）'!$V23+0)&lt;0,"",INT(ROUND((IF(('計算（触らない）'!$V23+0)=0,'計算（触らない）'!$C23,INDEX('計算（触らない）'!$AS23:$EP23,MIN(('計算（触らない）'!$V23+0),102)))-INDEX('計算（触らない）'!$AS23:$EP23,MIN(('計算（触らない）'!$V23+0),101)+1))*'計算（触らない）'!$N23,6)+'計算（触らない）'!$B$4)))</f>
        <v/>
      </c>
      <c r="E23" s="52">
        <f>IF('計算（触らない）'!$U23=0,"",IF(('計算（触らない）'!$V23+1)&lt;0,"",INT(ROUND((IF(('計算（触らない）'!$V23+1)=0,'計算（触らない）'!$C23,INDEX('計算（触らない）'!$AS23:$EP23,MIN(('計算（触らない）'!$V23+1),102)))-INDEX('計算（触らない）'!$AS23:$EP23,MIN(('計算（触らない）'!$V23+1),101)+1))*'計算（触らない）'!$N23,6)+'計算（触らない）'!$B$4)))</f>
        <v/>
      </c>
      <c r="F23" s="52">
        <f>IF('計算（触らない）'!$U23=0,"",IF(('計算（触らない）'!$V23+2)&lt;0,"",INT(ROUND((IF(('計算（触らない）'!$V23+2)=0,'計算（触らない）'!$C23,INDEX('計算（触らない）'!$AS23:$EP23,MIN(('計算（触らない）'!$V23+2),102)))-INDEX('計算（触らない）'!$AS23:$EP23,MIN(('計算（触らない）'!$V23+2),101)+1))*'計算（触らない）'!$N23,6)+'計算（触らない）'!$B$4)))</f>
        <v/>
      </c>
      <c r="G23" s="52">
        <f>IF('計算（触らない）'!$U23=0,"",IF(('計算（触らない）'!$V23+3)&lt;0,"",INT(ROUND((IF(('計算（触らない）'!$V23+3)=0,'計算（触らない）'!$C23,INDEX('計算（触らない）'!$AS23:$EP23,MIN(('計算（触らない）'!$V23+3),102)))-INDEX('計算（触らない）'!$AS23:$EP23,MIN(('計算（触らない）'!$V23+3),101)+1))*'計算（触らない）'!$N23,6)+'計算（触らない）'!$B$4)))</f>
        <v/>
      </c>
      <c r="H23" s="52">
        <f>IF('計算（触らない）'!$U23=0,"",IF(('計算（触らない）'!$V23+4)&lt;0,"",INT(ROUND((IF(('計算（触らない）'!$V23+4)=0,'計算（触らない）'!$C23,INDEX('計算（触らない）'!$AS23:$EP23,MIN(('計算（触らない）'!$V23+4),102)))-INDEX('計算（触らない）'!$AS23:$EP23,MIN(('計算（触らない）'!$V23+4),101)+1))*'計算（触らない）'!$N23,6)+'計算（触らない）'!$B$4)))</f>
        <v/>
      </c>
      <c r="I23" s="52">
        <f>IF('計算（触らない）'!$U23=0,"",IF(('計算（触らない）'!$V23+5)&lt;0,"",INT(ROUND((IF(('計算（触らない）'!$V23+5)=0,'計算（触らない）'!$C23,INDEX('計算（触らない）'!$AS23:$EP23,MIN(('計算（触らない）'!$V23+5),102)))-INDEX('計算（触らない）'!$AS23:$EP23,MIN(('計算（触らない）'!$V23+5),101)+1))*'計算（触らない）'!$N23,6)+'計算（触らない）'!$B$4)))</f>
        <v/>
      </c>
      <c r="J23" s="52">
        <f>IF('計算（触らない）'!$U23=0,"",IF(('計算（触らない）'!$V23+6)&lt;0,"",INT(ROUND((IF(('計算（触らない）'!$V23+6)=0,'計算（触らない）'!$C23,INDEX('計算（触らない）'!$AS23:$EP23,MIN(('計算（触らない）'!$V23+6),102)))-INDEX('計算（触らない）'!$AS23:$EP23,MIN(('計算（触らない）'!$V23+6),101)+1))*'計算（触らない）'!$N23,6)+'計算（触らない）'!$B$4)))</f>
        <v/>
      </c>
      <c r="K23" s="52">
        <f>IF('計算（触らない）'!$U23=0,"",IF(('計算（触らない）'!$V23+7)&lt;0,"",INT(ROUND((IF(('計算（触らない）'!$V23+7)=0,'計算（触らない）'!$C23,INDEX('計算（触らない）'!$AS23:$EP23,MIN(('計算（触らない）'!$V23+7),102)))-INDEX('計算（触らない）'!$AS23:$EP23,MIN(('計算（触らない）'!$V23+7),101)+1))*'計算（触らない）'!$N23,6)+'計算（触らない）'!$B$4)))</f>
        <v/>
      </c>
      <c r="L23" s="52">
        <f>IF('計算（触らない）'!$U23=0,"",IF(('計算（触らない）'!$V23+8)&lt;0,"",INT(ROUND((IF(('計算（触らない）'!$V23+8)=0,'計算（触らない）'!$C23,INDEX('計算（触らない）'!$AS23:$EP23,MIN(('計算（触らない）'!$V23+8),102)))-INDEX('計算（触らない）'!$AS23:$EP23,MIN(('計算（触らない）'!$V23+8),101)+1))*'計算（触らない）'!$N23,6)+'計算（触らない）'!$B$4)))</f>
        <v/>
      </c>
      <c r="M23" s="52">
        <f>IF('計算（触らない）'!$U23=0,"",IF(('計算（触らない）'!$V23+9)&lt;0,"",INT(ROUND((IF(('計算（触らない）'!$V23+9)=0,'計算（触らない）'!$C23,INDEX('計算（触らない）'!$AS23:$EP23,MIN(('計算（触らない）'!$V23+9),102)))-INDEX('計算（触らない）'!$AS23:$EP23,MIN(('計算（触らない）'!$V23+9),101)+1))*'計算（触らない）'!$N23,6)+'計算（触らない）'!$B$4)))</f>
        <v/>
      </c>
      <c r="N23" s="68" t="n"/>
      <c r="O23" s="52">
        <f>IF('計算（触らない）'!$U23=0,"",IF(('計算（触らない）'!$V23+0)&lt;0,"",IF(AND('計算（触らない）'!$F23&lt;=2,('計算（触らない）'!$V23+0)&gt;'計算（触らない）'!$R23),0,INDEX('計算（触らない）'!$AS23:$EP23,MIN(('計算（触らない）'!$V23+0),101)+1))))</f>
        <v/>
      </c>
      <c r="P23" s="52">
        <f>IF('計算（触らない）'!$U23=0,"",IF(('計算（触らない）'!$V23+1)&lt;0,"",IF(AND('計算（触らない）'!$F23&lt;=2,('計算（触らない）'!$V23+1)&gt;'計算（触らない）'!$R23),0,INDEX('計算（触らない）'!$AS23:$EP23,MIN(('計算（触らない）'!$V23+1),101)+1))))</f>
        <v/>
      </c>
      <c r="Q23" s="52">
        <f>IF('計算（触らない）'!$U23=0,"",IF(('計算（触らない）'!$V23+2)&lt;0,"",IF(AND('計算（触らない）'!$F23&lt;=2,('計算（触らない）'!$V23+2)&gt;'計算（触らない）'!$R23),0,INDEX('計算（触らない）'!$AS23:$EP23,MIN(('計算（触らない）'!$V23+2),101)+1))))</f>
        <v/>
      </c>
      <c r="R23" s="52">
        <f>IF('計算（触らない）'!$U23=0,"",IF(('計算（触らない）'!$V23+3)&lt;0,"",IF(AND('計算（触らない）'!$F23&lt;=2,('計算（触らない）'!$V23+3)&gt;'計算（触らない）'!$R23),0,INDEX('計算（触らない）'!$AS23:$EP23,MIN(('計算（触らない）'!$V23+3),101)+1))))</f>
        <v/>
      </c>
      <c r="S23" s="52">
        <f>IF('計算（触らない）'!$U23=0,"",IF(('計算（触らない）'!$V23+4)&lt;0,"",IF(AND('計算（触らない）'!$F23&lt;=2,('計算（触らない）'!$V23+4)&gt;'計算（触らない）'!$R23),0,INDEX('計算（触らない）'!$AS23:$EP23,MIN(('計算（触らない）'!$V23+4),101)+1))))</f>
        <v/>
      </c>
      <c r="T23" s="52">
        <f>IF('計算（触らない）'!$U23=0,"",IF(('計算（触らない）'!$V23+5)&lt;0,"",IF(AND('計算（触らない）'!$F23&lt;=2,('計算（触らない）'!$V23+5)&gt;'計算（触らない）'!$R23),0,INDEX('計算（触らない）'!$AS23:$EP23,MIN(('計算（触らない）'!$V23+5),101)+1))))</f>
        <v/>
      </c>
      <c r="U23" s="52">
        <f>IF('計算（触らない）'!$U23=0,"",IF(('計算（触らない）'!$V23+6)&lt;0,"",IF(AND('計算（触らない）'!$F23&lt;=2,('計算（触らない）'!$V23+6)&gt;'計算（触らない）'!$R23),0,INDEX('計算（触らない）'!$AS23:$EP23,MIN(('計算（触らない）'!$V23+6),101)+1))))</f>
        <v/>
      </c>
      <c r="V23" s="52">
        <f>IF('計算（触らない）'!$U23=0,"",IF(('計算（触らない）'!$V23+7)&lt;0,"",IF(AND('計算（触らない）'!$F23&lt;=2,('計算（触らない）'!$V23+7)&gt;'計算（触らない）'!$R23),0,INDEX('計算（触らない）'!$AS23:$EP23,MIN(('計算（触らない）'!$V23+7),101)+1))))</f>
        <v/>
      </c>
      <c r="W23" s="52">
        <f>IF('計算（触らない）'!$U23=0,"",IF(('計算（触らない）'!$V23+8)&lt;0,"",IF(AND('計算（触らない）'!$F23&lt;=2,('計算（触らない）'!$V23+8)&gt;'計算（触らない）'!$R23),0,INDEX('計算（触らない）'!$AS23:$EP23,MIN(('計算（触らない）'!$V23+8),101)+1))))</f>
        <v/>
      </c>
      <c r="X23" s="52">
        <f>IF('計算（触らない）'!$U23=0,"",IF(('計算（触らない）'!$V23+9)&lt;0,"",IF(AND('計算（触らない）'!$F23&lt;=2,('計算（触らない）'!$V23+9)&gt;'計算（触らない）'!$R23),0,INDEX('計算（触らない）'!$AS23:$EP23,MIN(('計算（触らない）'!$V23+9),101)+1))))</f>
        <v/>
      </c>
    </row>
    <row r="24" ht="17" customHeight="1">
      <c r="A24" s="21" t="n">
        <v>19</v>
      </c>
      <c r="B24" s="38">
        <f>IF('計算（触らない）'!$B24=0,"",'固定資産台帳'!$B24&amp;"")</f>
        <v/>
      </c>
      <c r="C24" s="38">
        <f>IF('計算（触らない）'!$B24=0,"",'固定資産台帳'!$H24&amp;"")</f>
        <v/>
      </c>
      <c r="D24" s="52">
        <f>IF('計算（触らない）'!$U24=0,"",IF(('計算（触らない）'!$V24+0)&lt;0,"",INT(ROUND((IF(('計算（触らない）'!$V24+0)=0,'計算（触らない）'!$C24,INDEX('計算（触らない）'!$AS24:$EP24,MIN(('計算（触らない）'!$V24+0),102)))-INDEX('計算（触らない）'!$AS24:$EP24,MIN(('計算（触らない）'!$V24+0),101)+1))*'計算（触らない）'!$N24,6)+'計算（触らない）'!$B$4)))</f>
        <v/>
      </c>
      <c r="E24" s="52">
        <f>IF('計算（触らない）'!$U24=0,"",IF(('計算（触らない）'!$V24+1)&lt;0,"",INT(ROUND((IF(('計算（触らない）'!$V24+1)=0,'計算（触らない）'!$C24,INDEX('計算（触らない）'!$AS24:$EP24,MIN(('計算（触らない）'!$V24+1),102)))-INDEX('計算（触らない）'!$AS24:$EP24,MIN(('計算（触らない）'!$V24+1),101)+1))*'計算（触らない）'!$N24,6)+'計算（触らない）'!$B$4)))</f>
        <v/>
      </c>
      <c r="F24" s="52">
        <f>IF('計算（触らない）'!$U24=0,"",IF(('計算（触らない）'!$V24+2)&lt;0,"",INT(ROUND((IF(('計算（触らない）'!$V24+2)=0,'計算（触らない）'!$C24,INDEX('計算（触らない）'!$AS24:$EP24,MIN(('計算（触らない）'!$V24+2),102)))-INDEX('計算（触らない）'!$AS24:$EP24,MIN(('計算（触らない）'!$V24+2),101)+1))*'計算（触らない）'!$N24,6)+'計算（触らない）'!$B$4)))</f>
        <v/>
      </c>
      <c r="G24" s="52">
        <f>IF('計算（触らない）'!$U24=0,"",IF(('計算（触らない）'!$V24+3)&lt;0,"",INT(ROUND((IF(('計算（触らない）'!$V24+3)=0,'計算（触らない）'!$C24,INDEX('計算（触らない）'!$AS24:$EP24,MIN(('計算（触らない）'!$V24+3),102)))-INDEX('計算（触らない）'!$AS24:$EP24,MIN(('計算（触らない）'!$V24+3),101)+1))*'計算（触らない）'!$N24,6)+'計算（触らない）'!$B$4)))</f>
        <v/>
      </c>
      <c r="H24" s="52">
        <f>IF('計算（触らない）'!$U24=0,"",IF(('計算（触らない）'!$V24+4)&lt;0,"",INT(ROUND((IF(('計算（触らない）'!$V24+4)=0,'計算（触らない）'!$C24,INDEX('計算（触らない）'!$AS24:$EP24,MIN(('計算（触らない）'!$V24+4),102)))-INDEX('計算（触らない）'!$AS24:$EP24,MIN(('計算（触らない）'!$V24+4),101)+1))*'計算（触らない）'!$N24,6)+'計算（触らない）'!$B$4)))</f>
        <v/>
      </c>
      <c r="I24" s="52">
        <f>IF('計算（触らない）'!$U24=0,"",IF(('計算（触らない）'!$V24+5)&lt;0,"",INT(ROUND((IF(('計算（触らない）'!$V24+5)=0,'計算（触らない）'!$C24,INDEX('計算（触らない）'!$AS24:$EP24,MIN(('計算（触らない）'!$V24+5),102)))-INDEX('計算（触らない）'!$AS24:$EP24,MIN(('計算（触らない）'!$V24+5),101)+1))*'計算（触らない）'!$N24,6)+'計算（触らない）'!$B$4)))</f>
        <v/>
      </c>
      <c r="J24" s="52">
        <f>IF('計算（触らない）'!$U24=0,"",IF(('計算（触らない）'!$V24+6)&lt;0,"",INT(ROUND((IF(('計算（触らない）'!$V24+6)=0,'計算（触らない）'!$C24,INDEX('計算（触らない）'!$AS24:$EP24,MIN(('計算（触らない）'!$V24+6),102)))-INDEX('計算（触らない）'!$AS24:$EP24,MIN(('計算（触らない）'!$V24+6),101)+1))*'計算（触らない）'!$N24,6)+'計算（触らない）'!$B$4)))</f>
        <v/>
      </c>
      <c r="K24" s="52">
        <f>IF('計算（触らない）'!$U24=0,"",IF(('計算（触らない）'!$V24+7)&lt;0,"",INT(ROUND((IF(('計算（触らない）'!$V24+7)=0,'計算（触らない）'!$C24,INDEX('計算（触らない）'!$AS24:$EP24,MIN(('計算（触らない）'!$V24+7),102)))-INDEX('計算（触らない）'!$AS24:$EP24,MIN(('計算（触らない）'!$V24+7),101)+1))*'計算（触らない）'!$N24,6)+'計算（触らない）'!$B$4)))</f>
        <v/>
      </c>
      <c r="L24" s="52">
        <f>IF('計算（触らない）'!$U24=0,"",IF(('計算（触らない）'!$V24+8)&lt;0,"",INT(ROUND((IF(('計算（触らない）'!$V24+8)=0,'計算（触らない）'!$C24,INDEX('計算（触らない）'!$AS24:$EP24,MIN(('計算（触らない）'!$V24+8),102)))-INDEX('計算（触らない）'!$AS24:$EP24,MIN(('計算（触らない）'!$V24+8),101)+1))*'計算（触らない）'!$N24,6)+'計算（触らない）'!$B$4)))</f>
        <v/>
      </c>
      <c r="M24" s="52">
        <f>IF('計算（触らない）'!$U24=0,"",IF(('計算（触らない）'!$V24+9)&lt;0,"",INT(ROUND((IF(('計算（触らない）'!$V24+9)=0,'計算（触らない）'!$C24,INDEX('計算（触らない）'!$AS24:$EP24,MIN(('計算（触らない）'!$V24+9),102)))-INDEX('計算（触らない）'!$AS24:$EP24,MIN(('計算（触らない）'!$V24+9),101)+1))*'計算（触らない）'!$N24,6)+'計算（触らない）'!$B$4)))</f>
        <v/>
      </c>
      <c r="N24" s="68" t="n"/>
      <c r="O24" s="52">
        <f>IF('計算（触らない）'!$U24=0,"",IF(('計算（触らない）'!$V24+0)&lt;0,"",IF(AND('計算（触らない）'!$F24&lt;=2,('計算（触らない）'!$V24+0)&gt;'計算（触らない）'!$R24),0,INDEX('計算（触らない）'!$AS24:$EP24,MIN(('計算（触らない）'!$V24+0),101)+1))))</f>
        <v/>
      </c>
      <c r="P24" s="52">
        <f>IF('計算（触らない）'!$U24=0,"",IF(('計算（触らない）'!$V24+1)&lt;0,"",IF(AND('計算（触らない）'!$F24&lt;=2,('計算（触らない）'!$V24+1)&gt;'計算（触らない）'!$R24),0,INDEX('計算（触らない）'!$AS24:$EP24,MIN(('計算（触らない）'!$V24+1),101)+1))))</f>
        <v/>
      </c>
      <c r="Q24" s="52">
        <f>IF('計算（触らない）'!$U24=0,"",IF(('計算（触らない）'!$V24+2)&lt;0,"",IF(AND('計算（触らない）'!$F24&lt;=2,('計算（触らない）'!$V24+2)&gt;'計算（触らない）'!$R24),0,INDEX('計算（触らない）'!$AS24:$EP24,MIN(('計算（触らない）'!$V24+2),101)+1))))</f>
        <v/>
      </c>
      <c r="R24" s="52">
        <f>IF('計算（触らない）'!$U24=0,"",IF(('計算（触らない）'!$V24+3)&lt;0,"",IF(AND('計算（触らない）'!$F24&lt;=2,('計算（触らない）'!$V24+3)&gt;'計算（触らない）'!$R24),0,INDEX('計算（触らない）'!$AS24:$EP24,MIN(('計算（触らない）'!$V24+3),101)+1))))</f>
        <v/>
      </c>
      <c r="S24" s="52">
        <f>IF('計算（触らない）'!$U24=0,"",IF(('計算（触らない）'!$V24+4)&lt;0,"",IF(AND('計算（触らない）'!$F24&lt;=2,('計算（触らない）'!$V24+4)&gt;'計算（触らない）'!$R24),0,INDEX('計算（触らない）'!$AS24:$EP24,MIN(('計算（触らない）'!$V24+4),101)+1))))</f>
        <v/>
      </c>
      <c r="T24" s="52">
        <f>IF('計算（触らない）'!$U24=0,"",IF(('計算（触らない）'!$V24+5)&lt;0,"",IF(AND('計算（触らない）'!$F24&lt;=2,('計算（触らない）'!$V24+5)&gt;'計算（触らない）'!$R24),0,INDEX('計算（触らない）'!$AS24:$EP24,MIN(('計算（触らない）'!$V24+5),101)+1))))</f>
        <v/>
      </c>
      <c r="U24" s="52">
        <f>IF('計算（触らない）'!$U24=0,"",IF(('計算（触らない）'!$V24+6)&lt;0,"",IF(AND('計算（触らない）'!$F24&lt;=2,('計算（触らない）'!$V24+6)&gt;'計算（触らない）'!$R24),0,INDEX('計算（触らない）'!$AS24:$EP24,MIN(('計算（触らない）'!$V24+6),101)+1))))</f>
        <v/>
      </c>
      <c r="V24" s="52">
        <f>IF('計算（触らない）'!$U24=0,"",IF(('計算（触らない）'!$V24+7)&lt;0,"",IF(AND('計算（触らない）'!$F24&lt;=2,('計算（触らない）'!$V24+7)&gt;'計算（触らない）'!$R24),0,INDEX('計算（触らない）'!$AS24:$EP24,MIN(('計算（触らない）'!$V24+7),101)+1))))</f>
        <v/>
      </c>
      <c r="W24" s="52">
        <f>IF('計算（触らない）'!$U24=0,"",IF(('計算（触らない）'!$V24+8)&lt;0,"",IF(AND('計算（触らない）'!$F24&lt;=2,('計算（触らない）'!$V24+8)&gt;'計算（触らない）'!$R24),0,INDEX('計算（触らない）'!$AS24:$EP24,MIN(('計算（触らない）'!$V24+8),101)+1))))</f>
        <v/>
      </c>
      <c r="X24" s="52">
        <f>IF('計算（触らない）'!$U24=0,"",IF(('計算（触らない）'!$V24+9)&lt;0,"",IF(AND('計算（触らない）'!$F24&lt;=2,('計算（触らない）'!$V24+9)&gt;'計算（触らない）'!$R24),0,INDEX('計算（触らない）'!$AS24:$EP24,MIN(('計算（触らない）'!$V24+9),101)+1))))</f>
        <v/>
      </c>
    </row>
    <row r="25" ht="17" customHeight="1">
      <c r="A25" s="21" t="n">
        <v>20</v>
      </c>
      <c r="B25" s="38">
        <f>IF('計算（触らない）'!$B25=0,"",'固定資産台帳'!$B25&amp;"")</f>
        <v/>
      </c>
      <c r="C25" s="38">
        <f>IF('計算（触らない）'!$B25=0,"",'固定資産台帳'!$H25&amp;"")</f>
        <v/>
      </c>
      <c r="D25" s="52">
        <f>IF('計算（触らない）'!$U25=0,"",IF(('計算（触らない）'!$V25+0)&lt;0,"",INT(ROUND((IF(('計算（触らない）'!$V25+0)=0,'計算（触らない）'!$C25,INDEX('計算（触らない）'!$AS25:$EP25,MIN(('計算（触らない）'!$V25+0),102)))-INDEX('計算（触らない）'!$AS25:$EP25,MIN(('計算（触らない）'!$V25+0),101)+1))*'計算（触らない）'!$N25,6)+'計算（触らない）'!$B$4)))</f>
        <v/>
      </c>
      <c r="E25" s="52">
        <f>IF('計算（触らない）'!$U25=0,"",IF(('計算（触らない）'!$V25+1)&lt;0,"",INT(ROUND((IF(('計算（触らない）'!$V25+1)=0,'計算（触らない）'!$C25,INDEX('計算（触らない）'!$AS25:$EP25,MIN(('計算（触らない）'!$V25+1),102)))-INDEX('計算（触らない）'!$AS25:$EP25,MIN(('計算（触らない）'!$V25+1),101)+1))*'計算（触らない）'!$N25,6)+'計算（触らない）'!$B$4)))</f>
        <v/>
      </c>
      <c r="F25" s="52">
        <f>IF('計算（触らない）'!$U25=0,"",IF(('計算（触らない）'!$V25+2)&lt;0,"",INT(ROUND((IF(('計算（触らない）'!$V25+2)=0,'計算（触らない）'!$C25,INDEX('計算（触らない）'!$AS25:$EP25,MIN(('計算（触らない）'!$V25+2),102)))-INDEX('計算（触らない）'!$AS25:$EP25,MIN(('計算（触らない）'!$V25+2),101)+1))*'計算（触らない）'!$N25,6)+'計算（触らない）'!$B$4)))</f>
        <v/>
      </c>
      <c r="G25" s="52">
        <f>IF('計算（触らない）'!$U25=0,"",IF(('計算（触らない）'!$V25+3)&lt;0,"",INT(ROUND((IF(('計算（触らない）'!$V25+3)=0,'計算（触らない）'!$C25,INDEX('計算（触らない）'!$AS25:$EP25,MIN(('計算（触らない）'!$V25+3),102)))-INDEX('計算（触らない）'!$AS25:$EP25,MIN(('計算（触らない）'!$V25+3),101)+1))*'計算（触らない）'!$N25,6)+'計算（触らない）'!$B$4)))</f>
        <v/>
      </c>
      <c r="H25" s="52">
        <f>IF('計算（触らない）'!$U25=0,"",IF(('計算（触らない）'!$V25+4)&lt;0,"",INT(ROUND((IF(('計算（触らない）'!$V25+4)=0,'計算（触らない）'!$C25,INDEX('計算（触らない）'!$AS25:$EP25,MIN(('計算（触らない）'!$V25+4),102)))-INDEX('計算（触らない）'!$AS25:$EP25,MIN(('計算（触らない）'!$V25+4),101)+1))*'計算（触らない）'!$N25,6)+'計算（触らない）'!$B$4)))</f>
        <v/>
      </c>
      <c r="I25" s="52">
        <f>IF('計算（触らない）'!$U25=0,"",IF(('計算（触らない）'!$V25+5)&lt;0,"",INT(ROUND((IF(('計算（触らない）'!$V25+5)=0,'計算（触らない）'!$C25,INDEX('計算（触らない）'!$AS25:$EP25,MIN(('計算（触らない）'!$V25+5),102)))-INDEX('計算（触らない）'!$AS25:$EP25,MIN(('計算（触らない）'!$V25+5),101)+1))*'計算（触らない）'!$N25,6)+'計算（触らない）'!$B$4)))</f>
        <v/>
      </c>
      <c r="J25" s="52">
        <f>IF('計算（触らない）'!$U25=0,"",IF(('計算（触らない）'!$V25+6)&lt;0,"",INT(ROUND((IF(('計算（触らない）'!$V25+6)=0,'計算（触らない）'!$C25,INDEX('計算（触らない）'!$AS25:$EP25,MIN(('計算（触らない）'!$V25+6),102)))-INDEX('計算（触らない）'!$AS25:$EP25,MIN(('計算（触らない）'!$V25+6),101)+1))*'計算（触らない）'!$N25,6)+'計算（触らない）'!$B$4)))</f>
        <v/>
      </c>
      <c r="K25" s="52">
        <f>IF('計算（触らない）'!$U25=0,"",IF(('計算（触らない）'!$V25+7)&lt;0,"",INT(ROUND((IF(('計算（触らない）'!$V25+7)=0,'計算（触らない）'!$C25,INDEX('計算（触らない）'!$AS25:$EP25,MIN(('計算（触らない）'!$V25+7),102)))-INDEX('計算（触らない）'!$AS25:$EP25,MIN(('計算（触らない）'!$V25+7),101)+1))*'計算（触らない）'!$N25,6)+'計算（触らない）'!$B$4)))</f>
        <v/>
      </c>
      <c r="L25" s="52">
        <f>IF('計算（触らない）'!$U25=0,"",IF(('計算（触らない）'!$V25+8)&lt;0,"",INT(ROUND((IF(('計算（触らない）'!$V25+8)=0,'計算（触らない）'!$C25,INDEX('計算（触らない）'!$AS25:$EP25,MIN(('計算（触らない）'!$V25+8),102)))-INDEX('計算（触らない）'!$AS25:$EP25,MIN(('計算（触らない）'!$V25+8),101)+1))*'計算（触らない）'!$N25,6)+'計算（触らない）'!$B$4)))</f>
        <v/>
      </c>
      <c r="M25" s="52">
        <f>IF('計算（触らない）'!$U25=0,"",IF(('計算（触らない）'!$V25+9)&lt;0,"",INT(ROUND((IF(('計算（触らない）'!$V25+9)=0,'計算（触らない）'!$C25,INDEX('計算（触らない）'!$AS25:$EP25,MIN(('計算（触らない）'!$V25+9),102)))-INDEX('計算（触らない）'!$AS25:$EP25,MIN(('計算（触らない）'!$V25+9),101)+1))*'計算（触らない）'!$N25,6)+'計算（触らない）'!$B$4)))</f>
        <v/>
      </c>
      <c r="N25" s="68" t="n"/>
      <c r="O25" s="52">
        <f>IF('計算（触らない）'!$U25=0,"",IF(('計算（触らない）'!$V25+0)&lt;0,"",IF(AND('計算（触らない）'!$F25&lt;=2,('計算（触らない）'!$V25+0)&gt;'計算（触らない）'!$R25),0,INDEX('計算（触らない）'!$AS25:$EP25,MIN(('計算（触らない）'!$V25+0),101)+1))))</f>
        <v/>
      </c>
      <c r="P25" s="52">
        <f>IF('計算（触らない）'!$U25=0,"",IF(('計算（触らない）'!$V25+1)&lt;0,"",IF(AND('計算（触らない）'!$F25&lt;=2,('計算（触らない）'!$V25+1)&gt;'計算（触らない）'!$R25),0,INDEX('計算（触らない）'!$AS25:$EP25,MIN(('計算（触らない）'!$V25+1),101)+1))))</f>
        <v/>
      </c>
      <c r="Q25" s="52">
        <f>IF('計算（触らない）'!$U25=0,"",IF(('計算（触らない）'!$V25+2)&lt;0,"",IF(AND('計算（触らない）'!$F25&lt;=2,('計算（触らない）'!$V25+2)&gt;'計算（触らない）'!$R25),0,INDEX('計算（触らない）'!$AS25:$EP25,MIN(('計算（触らない）'!$V25+2),101)+1))))</f>
        <v/>
      </c>
      <c r="R25" s="52">
        <f>IF('計算（触らない）'!$U25=0,"",IF(('計算（触らない）'!$V25+3)&lt;0,"",IF(AND('計算（触らない）'!$F25&lt;=2,('計算（触らない）'!$V25+3)&gt;'計算（触らない）'!$R25),0,INDEX('計算（触らない）'!$AS25:$EP25,MIN(('計算（触らない）'!$V25+3),101)+1))))</f>
        <v/>
      </c>
      <c r="S25" s="52">
        <f>IF('計算（触らない）'!$U25=0,"",IF(('計算（触らない）'!$V25+4)&lt;0,"",IF(AND('計算（触らない）'!$F25&lt;=2,('計算（触らない）'!$V25+4)&gt;'計算（触らない）'!$R25),0,INDEX('計算（触らない）'!$AS25:$EP25,MIN(('計算（触らない）'!$V25+4),101)+1))))</f>
        <v/>
      </c>
      <c r="T25" s="52">
        <f>IF('計算（触らない）'!$U25=0,"",IF(('計算（触らない）'!$V25+5)&lt;0,"",IF(AND('計算（触らない）'!$F25&lt;=2,('計算（触らない）'!$V25+5)&gt;'計算（触らない）'!$R25),0,INDEX('計算（触らない）'!$AS25:$EP25,MIN(('計算（触らない）'!$V25+5),101)+1))))</f>
        <v/>
      </c>
      <c r="U25" s="52">
        <f>IF('計算（触らない）'!$U25=0,"",IF(('計算（触らない）'!$V25+6)&lt;0,"",IF(AND('計算（触らない）'!$F25&lt;=2,('計算（触らない）'!$V25+6)&gt;'計算（触らない）'!$R25),0,INDEX('計算（触らない）'!$AS25:$EP25,MIN(('計算（触らない）'!$V25+6),101)+1))))</f>
        <v/>
      </c>
      <c r="V25" s="52">
        <f>IF('計算（触らない）'!$U25=0,"",IF(('計算（触らない）'!$V25+7)&lt;0,"",IF(AND('計算（触らない）'!$F25&lt;=2,('計算（触らない）'!$V25+7)&gt;'計算（触らない）'!$R25),0,INDEX('計算（触らない）'!$AS25:$EP25,MIN(('計算（触らない）'!$V25+7),101)+1))))</f>
        <v/>
      </c>
      <c r="W25" s="52">
        <f>IF('計算（触らない）'!$U25=0,"",IF(('計算（触らない）'!$V25+8)&lt;0,"",IF(AND('計算（触らない）'!$F25&lt;=2,('計算（触らない）'!$V25+8)&gt;'計算（触らない）'!$R25),0,INDEX('計算（触らない）'!$AS25:$EP25,MIN(('計算（触らない）'!$V25+8),101)+1))))</f>
        <v/>
      </c>
      <c r="X25" s="52">
        <f>IF('計算（触らない）'!$U25=0,"",IF(('計算（触らない）'!$V25+9)&lt;0,"",IF(AND('計算（触らない）'!$F25&lt;=2,('計算（触らない）'!$V25+9)&gt;'計算（触らない）'!$R25),0,INDEX('計算（触らない）'!$AS25:$EP25,MIN(('計算（触らない）'!$V25+9),101)+1))))</f>
        <v/>
      </c>
    </row>
    <row r="26" ht="17" customHeight="1">
      <c r="A26" s="21" t="n">
        <v>21</v>
      </c>
      <c r="B26" s="38">
        <f>IF('計算（触らない）'!$B26=0,"",'固定資産台帳'!$B26&amp;"")</f>
        <v/>
      </c>
      <c r="C26" s="38">
        <f>IF('計算（触らない）'!$B26=0,"",'固定資産台帳'!$H26&amp;"")</f>
        <v/>
      </c>
      <c r="D26" s="52">
        <f>IF('計算（触らない）'!$U26=0,"",IF(('計算（触らない）'!$V26+0)&lt;0,"",INT(ROUND((IF(('計算（触らない）'!$V26+0)=0,'計算（触らない）'!$C26,INDEX('計算（触らない）'!$AS26:$EP26,MIN(('計算（触らない）'!$V26+0),102)))-INDEX('計算（触らない）'!$AS26:$EP26,MIN(('計算（触らない）'!$V26+0),101)+1))*'計算（触らない）'!$N26,6)+'計算（触らない）'!$B$4)))</f>
        <v/>
      </c>
      <c r="E26" s="52">
        <f>IF('計算（触らない）'!$U26=0,"",IF(('計算（触らない）'!$V26+1)&lt;0,"",INT(ROUND((IF(('計算（触らない）'!$V26+1)=0,'計算（触らない）'!$C26,INDEX('計算（触らない）'!$AS26:$EP26,MIN(('計算（触らない）'!$V26+1),102)))-INDEX('計算（触らない）'!$AS26:$EP26,MIN(('計算（触らない）'!$V26+1),101)+1))*'計算（触らない）'!$N26,6)+'計算（触らない）'!$B$4)))</f>
        <v/>
      </c>
      <c r="F26" s="52">
        <f>IF('計算（触らない）'!$U26=0,"",IF(('計算（触らない）'!$V26+2)&lt;0,"",INT(ROUND((IF(('計算（触らない）'!$V26+2)=0,'計算（触らない）'!$C26,INDEX('計算（触らない）'!$AS26:$EP26,MIN(('計算（触らない）'!$V26+2),102)))-INDEX('計算（触らない）'!$AS26:$EP26,MIN(('計算（触らない）'!$V26+2),101)+1))*'計算（触らない）'!$N26,6)+'計算（触らない）'!$B$4)))</f>
        <v/>
      </c>
      <c r="G26" s="52">
        <f>IF('計算（触らない）'!$U26=0,"",IF(('計算（触らない）'!$V26+3)&lt;0,"",INT(ROUND((IF(('計算（触らない）'!$V26+3)=0,'計算（触らない）'!$C26,INDEX('計算（触らない）'!$AS26:$EP26,MIN(('計算（触らない）'!$V26+3),102)))-INDEX('計算（触らない）'!$AS26:$EP26,MIN(('計算（触らない）'!$V26+3),101)+1))*'計算（触らない）'!$N26,6)+'計算（触らない）'!$B$4)))</f>
        <v/>
      </c>
      <c r="H26" s="52">
        <f>IF('計算（触らない）'!$U26=0,"",IF(('計算（触らない）'!$V26+4)&lt;0,"",INT(ROUND((IF(('計算（触らない）'!$V26+4)=0,'計算（触らない）'!$C26,INDEX('計算（触らない）'!$AS26:$EP26,MIN(('計算（触らない）'!$V26+4),102)))-INDEX('計算（触らない）'!$AS26:$EP26,MIN(('計算（触らない）'!$V26+4),101)+1))*'計算（触らない）'!$N26,6)+'計算（触らない）'!$B$4)))</f>
        <v/>
      </c>
      <c r="I26" s="52">
        <f>IF('計算（触らない）'!$U26=0,"",IF(('計算（触らない）'!$V26+5)&lt;0,"",INT(ROUND((IF(('計算（触らない）'!$V26+5)=0,'計算（触らない）'!$C26,INDEX('計算（触らない）'!$AS26:$EP26,MIN(('計算（触らない）'!$V26+5),102)))-INDEX('計算（触らない）'!$AS26:$EP26,MIN(('計算（触らない）'!$V26+5),101)+1))*'計算（触らない）'!$N26,6)+'計算（触らない）'!$B$4)))</f>
        <v/>
      </c>
      <c r="J26" s="52">
        <f>IF('計算（触らない）'!$U26=0,"",IF(('計算（触らない）'!$V26+6)&lt;0,"",INT(ROUND((IF(('計算（触らない）'!$V26+6)=0,'計算（触らない）'!$C26,INDEX('計算（触らない）'!$AS26:$EP26,MIN(('計算（触らない）'!$V26+6),102)))-INDEX('計算（触らない）'!$AS26:$EP26,MIN(('計算（触らない）'!$V26+6),101)+1))*'計算（触らない）'!$N26,6)+'計算（触らない）'!$B$4)))</f>
        <v/>
      </c>
      <c r="K26" s="52">
        <f>IF('計算（触らない）'!$U26=0,"",IF(('計算（触らない）'!$V26+7)&lt;0,"",INT(ROUND((IF(('計算（触らない）'!$V26+7)=0,'計算（触らない）'!$C26,INDEX('計算（触らない）'!$AS26:$EP26,MIN(('計算（触らない）'!$V26+7),102)))-INDEX('計算（触らない）'!$AS26:$EP26,MIN(('計算（触らない）'!$V26+7),101)+1))*'計算（触らない）'!$N26,6)+'計算（触らない）'!$B$4)))</f>
        <v/>
      </c>
      <c r="L26" s="52">
        <f>IF('計算（触らない）'!$U26=0,"",IF(('計算（触らない）'!$V26+8)&lt;0,"",INT(ROUND((IF(('計算（触らない）'!$V26+8)=0,'計算（触らない）'!$C26,INDEX('計算（触らない）'!$AS26:$EP26,MIN(('計算（触らない）'!$V26+8),102)))-INDEX('計算（触らない）'!$AS26:$EP26,MIN(('計算（触らない）'!$V26+8),101)+1))*'計算（触らない）'!$N26,6)+'計算（触らない）'!$B$4)))</f>
        <v/>
      </c>
      <c r="M26" s="52">
        <f>IF('計算（触らない）'!$U26=0,"",IF(('計算（触らない）'!$V26+9)&lt;0,"",INT(ROUND((IF(('計算（触らない）'!$V26+9)=0,'計算（触らない）'!$C26,INDEX('計算（触らない）'!$AS26:$EP26,MIN(('計算（触らない）'!$V26+9),102)))-INDEX('計算（触らない）'!$AS26:$EP26,MIN(('計算（触らない）'!$V26+9),101)+1))*'計算（触らない）'!$N26,6)+'計算（触らない）'!$B$4)))</f>
        <v/>
      </c>
      <c r="N26" s="68" t="n"/>
      <c r="O26" s="52">
        <f>IF('計算（触らない）'!$U26=0,"",IF(('計算（触らない）'!$V26+0)&lt;0,"",IF(AND('計算（触らない）'!$F26&lt;=2,('計算（触らない）'!$V26+0)&gt;'計算（触らない）'!$R26),0,INDEX('計算（触らない）'!$AS26:$EP26,MIN(('計算（触らない）'!$V26+0),101)+1))))</f>
        <v/>
      </c>
      <c r="P26" s="52">
        <f>IF('計算（触らない）'!$U26=0,"",IF(('計算（触らない）'!$V26+1)&lt;0,"",IF(AND('計算（触らない）'!$F26&lt;=2,('計算（触らない）'!$V26+1)&gt;'計算（触らない）'!$R26),0,INDEX('計算（触らない）'!$AS26:$EP26,MIN(('計算（触らない）'!$V26+1),101)+1))))</f>
        <v/>
      </c>
      <c r="Q26" s="52">
        <f>IF('計算（触らない）'!$U26=0,"",IF(('計算（触らない）'!$V26+2)&lt;0,"",IF(AND('計算（触らない）'!$F26&lt;=2,('計算（触らない）'!$V26+2)&gt;'計算（触らない）'!$R26),0,INDEX('計算（触らない）'!$AS26:$EP26,MIN(('計算（触らない）'!$V26+2),101)+1))))</f>
        <v/>
      </c>
      <c r="R26" s="52">
        <f>IF('計算（触らない）'!$U26=0,"",IF(('計算（触らない）'!$V26+3)&lt;0,"",IF(AND('計算（触らない）'!$F26&lt;=2,('計算（触らない）'!$V26+3)&gt;'計算（触らない）'!$R26),0,INDEX('計算（触らない）'!$AS26:$EP26,MIN(('計算（触らない）'!$V26+3),101)+1))))</f>
        <v/>
      </c>
      <c r="S26" s="52">
        <f>IF('計算（触らない）'!$U26=0,"",IF(('計算（触らない）'!$V26+4)&lt;0,"",IF(AND('計算（触らない）'!$F26&lt;=2,('計算（触らない）'!$V26+4)&gt;'計算（触らない）'!$R26),0,INDEX('計算（触らない）'!$AS26:$EP26,MIN(('計算（触らない）'!$V26+4),101)+1))))</f>
        <v/>
      </c>
      <c r="T26" s="52">
        <f>IF('計算（触らない）'!$U26=0,"",IF(('計算（触らない）'!$V26+5)&lt;0,"",IF(AND('計算（触らない）'!$F26&lt;=2,('計算（触らない）'!$V26+5)&gt;'計算（触らない）'!$R26),0,INDEX('計算（触らない）'!$AS26:$EP26,MIN(('計算（触らない）'!$V26+5),101)+1))))</f>
        <v/>
      </c>
      <c r="U26" s="52">
        <f>IF('計算（触らない）'!$U26=0,"",IF(('計算（触らない）'!$V26+6)&lt;0,"",IF(AND('計算（触らない）'!$F26&lt;=2,('計算（触らない）'!$V26+6)&gt;'計算（触らない）'!$R26),0,INDEX('計算（触らない）'!$AS26:$EP26,MIN(('計算（触らない）'!$V26+6),101)+1))))</f>
        <v/>
      </c>
      <c r="V26" s="52">
        <f>IF('計算（触らない）'!$U26=0,"",IF(('計算（触らない）'!$V26+7)&lt;0,"",IF(AND('計算（触らない）'!$F26&lt;=2,('計算（触らない）'!$V26+7)&gt;'計算（触らない）'!$R26),0,INDEX('計算（触らない）'!$AS26:$EP26,MIN(('計算（触らない）'!$V26+7),101)+1))))</f>
        <v/>
      </c>
      <c r="W26" s="52">
        <f>IF('計算（触らない）'!$U26=0,"",IF(('計算（触らない）'!$V26+8)&lt;0,"",IF(AND('計算（触らない）'!$F26&lt;=2,('計算（触らない）'!$V26+8)&gt;'計算（触らない）'!$R26),0,INDEX('計算（触らない）'!$AS26:$EP26,MIN(('計算（触らない）'!$V26+8),101)+1))))</f>
        <v/>
      </c>
      <c r="X26" s="52">
        <f>IF('計算（触らない）'!$U26=0,"",IF(('計算（触らない）'!$V26+9)&lt;0,"",IF(AND('計算（触らない）'!$F26&lt;=2,('計算（触らない）'!$V26+9)&gt;'計算（触らない）'!$R26),0,INDEX('計算（触らない）'!$AS26:$EP26,MIN(('計算（触らない）'!$V26+9),101)+1))))</f>
        <v/>
      </c>
    </row>
    <row r="27" ht="17" customHeight="1">
      <c r="A27" s="21" t="n">
        <v>22</v>
      </c>
      <c r="B27" s="38">
        <f>IF('計算（触らない）'!$B27=0,"",'固定資産台帳'!$B27&amp;"")</f>
        <v/>
      </c>
      <c r="C27" s="38">
        <f>IF('計算（触らない）'!$B27=0,"",'固定資産台帳'!$H27&amp;"")</f>
        <v/>
      </c>
      <c r="D27" s="52">
        <f>IF('計算（触らない）'!$U27=0,"",IF(('計算（触らない）'!$V27+0)&lt;0,"",INT(ROUND((IF(('計算（触らない）'!$V27+0)=0,'計算（触らない）'!$C27,INDEX('計算（触らない）'!$AS27:$EP27,MIN(('計算（触らない）'!$V27+0),102)))-INDEX('計算（触らない）'!$AS27:$EP27,MIN(('計算（触らない）'!$V27+0),101)+1))*'計算（触らない）'!$N27,6)+'計算（触らない）'!$B$4)))</f>
        <v/>
      </c>
      <c r="E27" s="52">
        <f>IF('計算（触らない）'!$U27=0,"",IF(('計算（触らない）'!$V27+1)&lt;0,"",INT(ROUND((IF(('計算（触らない）'!$V27+1)=0,'計算（触らない）'!$C27,INDEX('計算（触らない）'!$AS27:$EP27,MIN(('計算（触らない）'!$V27+1),102)))-INDEX('計算（触らない）'!$AS27:$EP27,MIN(('計算（触らない）'!$V27+1),101)+1))*'計算（触らない）'!$N27,6)+'計算（触らない）'!$B$4)))</f>
        <v/>
      </c>
      <c r="F27" s="52">
        <f>IF('計算（触らない）'!$U27=0,"",IF(('計算（触らない）'!$V27+2)&lt;0,"",INT(ROUND((IF(('計算（触らない）'!$V27+2)=0,'計算（触らない）'!$C27,INDEX('計算（触らない）'!$AS27:$EP27,MIN(('計算（触らない）'!$V27+2),102)))-INDEX('計算（触らない）'!$AS27:$EP27,MIN(('計算（触らない）'!$V27+2),101)+1))*'計算（触らない）'!$N27,6)+'計算（触らない）'!$B$4)))</f>
        <v/>
      </c>
      <c r="G27" s="52">
        <f>IF('計算（触らない）'!$U27=0,"",IF(('計算（触らない）'!$V27+3)&lt;0,"",INT(ROUND((IF(('計算（触らない）'!$V27+3)=0,'計算（触らない）'!$C27,INDEX('計算（触らない）'!$AS27:$EP27,MIN(('計算（触らない）'!$V27+3),102)))-INDEX('計算（触らない）'!$AS27:$EP27,MIN(('計算（触らない）'!$V27+3),101)+1))*'計算（触らない）'!$N27,6)+'計算（触らない）'!$B$4)))</f>
        <v/>
      </c>
      <c r="H27" s="52">
        <f>IF('計算（触らない）'!$U27=0,"",IF(('計算（触らない）'!$V27+4)&lt;0,"",INT(ROUND((IF(('計算（触らない）'!$V27+4)=0,'計算（触らない）'!$C27,INDEX('計算（触らない）'!$AS27:$EP27,MIN(('計算（触らない）'!$V27+4),102)))-INDEX('計算（触らない）'!$AS27:$EP27,MIN(('計算（触らない）'!$V27+4),101)+1))*'計算（触らない）'!$N27,6)+'計算（触らない）'!$B$4)))</f>
        <v/>
      </c>
      <c r="I27" s="52">
        <f>IF('計算（触らない）'!$U27=0,"",IF(('計算（触らない）'!$V27+5)&lt;0,"",INT(ROUND((IF(('計算（触らない）'!$V27+5)=0,'計算（触らない）'!$C27,INDEX('計算（触らない）'!$AS27:$EP27,MIN(('計算（触らない）'!$V27+5),102)))-INDEX('計算（触らない）'!$AS27:$EP27,MIN(('計算（触らない）'!$V27+5),101)+1))*'計算（触らない）'!$N27,6)+'計算（触らない）'!$B$4)))</f>
        <v/>
      </c>
      <c r="J27" s="52">
        <f>IF('計算（触らない）'!$U27=0,"",IF(('計算（触らない）'!$V27+6)&lt;0,"",INT(ROUND((IF(('計算（触らない）'!$V27+6)=0,'計算（触らない）'!$C27,INDEX('計算（触らない）'!$AS27:$EP27,MIN(('計算（触らない）'!$V27+6),102)))-INDEX('計算（触らない）'!$AS27:$EP27,MIN(('計算（触らない）'!$V27+6),101)+1))*'計算（触らない）'!$N27,6)+'計算（触らない）'!$B$4)))</f>
        <v/>
      </c>
      <c r="K27" s="52">
        <f>IF('計算（触らない）'!$U27=0,"",IF(('計算（触らない）'!$V27+7)&lt;0,"",INT(ROUND((IF(('計算（触らない）'!$V27+7)=0,'計算（触らない）'!$C27,INDEX('計算（触らない）'!$AS27:$EP27,MIN(('計算（触らない）'!$V27+7),102)))-INDEX('計算（触らない）'!$AS27:$EP27,MIN(('計算（触らない）'!$V27+7),101)+1))*'計算（触らない）'!$N27,6)+'計算（触らない）'!$B$4)))</f>
        <v/>
      </c>
      <c r="L27" s="52">
        <f>IF('計算（触らない）'!$U27=0,"",IF(('計算（触らない）'!$V27+8)&lt;0,"",INT(ROUND((IF(('計算（触らない）'!$V27+8)=0,'計算（触らない）'!$C27,INDEX('計算（触らない）'!$AS27:$EP27,MIN(('計算（触らない）'!$V27+8),102)))-INDEX('計算（触らない）'!$AS27:$EP27,MIN(('計算（触らない）'!$V27+8),101)+1))*'計算（触らない）'!$N27,6)+'計算（触らない）'!$B$4)))</f>
        <v/>
      </c>
      <c r="M27" s="52">
        <f>IF('計算（触らない）'!$U27=0,"",IF(('計算（触らない）'!$V27+9)&lt;0,"",INT(ROUND((IF(('計算（触らない）'!$V27+9)=0,'計算（触らない）'!$C27,INDEX('計算（触らない）'!$AS27:$EP27,MIN(('計算（触らない）'!$V27+9),102)))-INDEX('計算（触らない）'!$AS27:$EP27,MIN(('計算（触らない）'!$V27+9),101)+1))*'計算（触らない）'!$N27,6)+'計算（触らない）'!$B$4)))</f>
        <v/>
      </c>
      <c r="N27" s="68" t="n"/>
      <c r="O27" s="52">
        <f>IF('計算（触らない）'!$U27=0,"",IF(('計算（触らない）'!$V27+0)&lt;0,"",IF(AND('計算（触らない）'!$F27&lt;=2,('計算（触らない）'!$V27+0)&gt;'計算（触らない）'!$R27),0,INDEX('計算（触らない）'!$AS27:$EP27,MIN(('計算（触らない）'!$V27+0),101)+1))))</f>
        <v/>
      </c>
      <c r="P27" s="52">
        <f>IF('計算（触らない）'!$U27=0,"",IF(('計算（触らない）'!$V27+1)&lt;0,"",IF(AND('計算（触らない）'!$F27&lt;=2,('計算（触らない）'!$V27+1)&gt;'計算（触らない）'!$R27),0,INDEX('計算（触らない）'!$AS27:$EP27,MIN(('計算（触らない）'!$V27+1),101)+1))))</f>
        <v/>
      </c>
      <c r="Q27" s="52">
        <f>IF('計算（触らない）'!$U27=0,"",IF(('計算（触らない）'!$V27+2)&lt;0,"",IF(AND('計算（触らない）'!$F27&lt;=2,('計算（触らない）'!$V27+2)&gt;'計算（触らない）'!$R27),0,INDEX('計算（触らない）'!$AS27:$EP27,MIN(('計算（触らない）'!$V27+2),101)+1))))</f>
        <v/>
      </c>
      <c r="R27" s="52">
        <f>IF('計算（触らない）'!$U27=0,"",IF(('計算（触らない）'!$V27+3)&lt;0,"",IF(AND('計算（触らない）'!$F27&lt;=2,('計算（触らない）'!$V27+3)&gt;'計算（触らない）'!$R27),0,INDEX('計算（触らない）'!$AS27:$EP27,MIN(('計算（触らない）'!$V27+3),101)+1))))</f>
        <v/>
      </c>
      <c r="S27" s="52">
        <f>IF('計算（触らない）'!$U27=0,"",IF(('計算（触らない）'!$V27+4)&lt;0,"",IF(AND('計算（触らない）'!$F27&lt;=2,('計算（触らない）'!$V27+4)&gt;'計算（触らない）'!$R27),0,INDEX('計算（触らない）'!$AS27:$EP27,MIN(('計算（触らない）'!$V27+4),101)+1))))</f>
        <v/>
      </c>
      <c r="T27" s="52">
        <f>IF('計算（触らない）'!$U27=0,"",IF(('計算（触らない）'!$V27+5)&lt;0,"",IF(AND('計算（触らない）'!$F27&lt;=2,('計算（触らない）'!$V27+5)&gt;'計算（触らない）'!$R27),0,INDEX('計算（触らない）'!$AS27:$EP27,MIN(('計算（触らない）'!$V27+5),101)+1))))</f>
        <v/>
      </c>
      <c r="U27" s="52">
        <f>IF('計算（触らない）'!$U27=0,"",IF(('計算（触らない）'!$V27+6)&lt;0,"",IF(AND('計算（触らない）'!$F27&lt;=2,('計算（触らない）'!$V27+6)&gt;'計算（触らない）'!$R27),0,INDEX('計算（触らない）'!$AS27:$EP27,MIN(('計算（触らない）'!$V27+6),101)+1))))</f>
        <v/>
      </c>
      <c r="V27" s="52">
        <f>IF('計算（触らない）'!$U27=0,"",IF(('計算（触らない）'!$V27+7)&lt;0,"",IF(AND('計算（触らない）'!$F27&lt;=2,('計算（触らない）'!$V27+7)&gt;'計算（触らない）'!$R27),0,INDEX('計算（触らない）'!$AS27:$EP27,MIN(('計算（触らない）'!$V27+7),101)+1))))</f>
        <v/>
      </c>
      <c r="W27" s="52">
        <f>IF('計算（触らない）'!$U27=0,"",IF(('計算（触らない）'!$V27+8)&lt;0,"",IF(AND('計算（触らない）'!$F27&lt;=2,('計算（触らない）'!$V27+8)&gt;'計算（触らない）'!$R27),0,INDEX('計算（触らない）'!$AS27:$EP27,MIN(('計算（触らない）'!$V27+8),101)+1))))</f>
        <v/>
      </c>
      <c r="X27" s="52">
        <f>IF('計算（触らない）'!$U27=0,"",IF(('計算（触らない）'!$V27+9)&lt;0,"",IF(AND('計算（触らない）'!$F27&lt;=2,('計算（触らない）'!$V27+9)&gt;'計算（触らない）'!$R27),0,INDEX('計算（触らない）'!$AS27:$EP27,MIN(('計算（触らない）'!$V27+9),101)+1))))</f>
        <v/>
      </c>
    </row>
    <row r="28" ht="17" customHeight="1">
      <c r="A28" s="21" t="n">
        <v>23</v>
      </c>
      <c r="B28" s="38">
        <f>IF('計算（触らない）'!$B28=0,"",'固定資産台帳'!$B28&amp;"")</f>
        <v/>
      </c>
      <c r="C28" s="38">
        <f>IF('計算（触らない）'!$B28=0,"",'固定資産台帳'!$H28&amp;"")</f>
        <v/>
      </c>
      <c r="D28" s="52">
        <f>IF('計算（触らない）'!$U28=0,"",IF(('計算（触らない）'!$V28+0)&lt;0,"",INT(ROUND((IF(('計算（触らない）'!$V28+0)=0,'計算（触らない）'!$C28,INDEX('計算（触らない）'!$AS28:$EP28,MIN(('計算（触らない）'!$V28+0),102)))-INDEX('計算（触らない）'!$AS28:$EP28,MIN(('計算（触らない）'!$V28+0),101)+1))*'計算（触らない）'!$N28,6)+'計算（触らない）'!$B$4)))</f>
        <v/>
      </c>
      <c r="E28" s="52">
        <f>IF('計算（触らない）'!$U28=0,"",IF(('計算（触らない）'!$V28+1)&lt;0,"",INT(ROUND((IF(('計算（触らない）'!$V28+1)=0,'計算（触らない）'!$C28,INDEX('計算（触らない）'!$AS28:$EP28,MIN(('計算（触らない）'!$V28+1),102)))-INDEX('計算（触らない）'!$AS28:$EP28,MIN(('計算（触らない）'!$V28+1),101)+1))*'計算（触らない）'!$N28,6)+'計算（触らない）'!$B$4)))</f>
        <v/>
      </c>
      <c r="F28" s="52">
        <f>IF('計算（触らない）'!$U28=0,"",IF(('計算（触らない）'!$V28+2)&lt;0,"",INT(ROUND((IF(('計算（触らない）'!$V28+2)=0,'計算（触らない）'!$C28,INDEX('計算（触らない）'!$AS28:$EP28,MIN(('計算（触らない）'!$V28+2),102)))-INDEX('計算（触らない）'!$AS28:$EP28,MIN(('計算（触らない）'!$V28+2),101)+1))*'計算（触らない）'!$N28,6)+'計算（触らない）'!$B$4)))</f>
        <v/>
      </c>
      <c r="G28" s="52">
        <f>IF('計算（触らない）'!$U28=0,"",IF(('計算（触らない）'!$V28+3)&lt;0,"",INT(ROUND((IF(('計算（触らない）'!$V28+3)=0,'計算（触らない）'!$C28,INDEX('計算（触らない）'!$AS28:$EP28,MIN(('計算（触らない）'!$V28+3),102)))-INDEX('計算（触らない）'!$AS28:$EP28,MIN(('計算（触らない）'!$V28+3),101)+1))*'計算（触らない）'!$N28,6)+'計算（触らない）'!$B$4)))</f>
        <v/>
      </c>
      <c r="H28" s="52">
        <f>IF('計算（触らない）'!$U28=0,"",IF(('計算（触らない）'!$V28+4)&lt;0,"",INT(ROUND((IF(('計算（触らない）'!$V28+4)=0,'計算（触らない）'!$C28,INDEX('計算（触らない）'!$AS28:$EP28,MIN(('計算（触らない）'!$V28+4),102)))-INDEX('計算（触らない）'!$AS28:$EP28,MIN(('計算（触らない）'!$V28+4),101)+1))*'計算（触らない）'!$N28,6)+'計算（触らない）'!$B$4)))</f>
        <v/>
      </c>
      <c r="I28" s="52">
        <f>IF('計算（触らない）'!$U28=0,"",IF(('計算（触らない）'!$V28+5)&lt;0,"",INT(ROUND((IF(('計算（触らない）'!$V28+5)=0,'計算（触らない）'!$C28,INDEX('計算（触らない）'!$AS28:$EP28,MIN(('計算（触らない）'!$V28+5),102)))-INDEX('計算（触らない）'!$AS28:$EP28,MIN(('計算（触らない）'!$V28+5),101)+1))*'計算（触らない）'!$N28,6)+'計算（触らない）'!$B$4)))</f>
        <v/>
      </c>
      <c r="J28" s="52">
        <f>IF('計算（触らない）'!$U28=0,"",IF(('計算（触らない）'!$V28+6)&lt;0,"",INT(ROUND((IF(('計算（触らない）'!$V28+6)=0,'計算（触らない）'!$C28,INDEX('計算（触らない）'!$AS28:$EP28,MIN(('計算（触らない）'!$V28+6),102)))-INDEX('計算（触らない）'!$AS28:$EP28,MIN(('計算（触らない）'!$V28+6),101)+1))*'計算（触らない）'!$N28,6)+'計算（触らない）'!$B$4)))</f>
        <v/>
      </c>
      <c r="K28" s="52">
        <f>IF('計算（触らない）'!$U28=0,"",IF(('計算（触らない）'!$V28+7)&lt;0,"",INT(ROUND((IF(('計算（触らない）'!$V28+7)=0,'計算（触らない）'!$C28,INDEX('計算（触らない）'!$AS28:$EP28,MIN(('計算（触らない）'!$V28+7),102)))-INDEX('計算（触らない）'!$AS28:$EP28,MIN(('計算（触らない）'!$V28+7),101)+1))*'計算（触らない）'!$N28,6)+'計算（触らない）'!$B$4)))</f>
        <v/>
      </c>
      <c r="L28" s="52">
        <f>IF('計算（触らない）'!$U28=0,"",IF(('計算（触らない）'!$V28+8)&lt;0,"",INT(ROUND((IF(('計算（触らない）'!$V28+8)=0,'計算（触らない）'!$C28,INDEX('計算（触らない）'!$AS28:$EP28,MIN(('計算（触らない）'!$V28+8),102)))-INDEX('計算（触らない）'!$AS28:$EP28,MIN(('計算（触らない）'!$V28+8),101)+1))*'計算（触らない）'!$N28,6)+'計算（触らない）'!$B$4)))</f>
        <v/>
      </c>
      <c r="M28" s="52">
        <f>IF('計算（触らない）'!$U28=0,"",IF(('計算（触らない）'!$V28+9)&lt;0,"",INT(ROUND((IF(('計算（触らない）'!$V28+9)=0,'計算（触らない）'!$C28,INDEX('計算（触らない）'!$AS28:$EP28,MIN(('計算（触らない）'!$V28+9),102)))-INDEX('計算（触らない）'!$AS28:$EP28,MIN(('計算（触らない）'!$V28+9),101)+1))*'計算（触らない）'!$N28,6)+'計算（触らない）'!$B$4)))</f>
        <v/>
      </c>
      <c r="N28" s="68" t="n"/>
      <c r="O28" s="52">
        <f>IF('計算（触らない）'!$U28=0,"",IF(('計算（触らない）'!$V28+0)&lt;0,"",IF(AND('計算（触らない）'!$F28&lt;=2,('計算（触らない）'!$V28+0)&gt;'計算（触らない）'!$R28),0,INDEX('計算（触らない）'!$AS28:$EP28,MIN(('計算（触らない）'!$V28+0),101)+1))))</f>
        <v/>
      </c>
      <c r="P28" s="52">
        <f>IF('計算（触らない）'!$U28=0,"",IF(('計算（触らない）'!$V28+1)&lt;0,"",IF(AND('計算（触らない）'!$F28&lt;=2,('計算（触らない）'!$V28+1)&gt;'計算（触らない）'!$R28),0,INDEX('計算（触らない）'!$AS28:$EP28,MIN(('計算（触らない）'!$V28+1),101)+1))))</f>
        <v/>
      </c>
      <c r="Q28" s="52">
        <f>IF('計算（触らない）'!$U28=0,"",IF(('計算（触らない）'!$V28+2)&lt;0,"",IF(AND('計算（触らない）'!$F28&lt;=2,('計算（触らない）'!$V28+2)&gt;'計算（触らない）'!$R28),0,INDEX('計算（触らない）'!$AS28:$EP28,MIN(('計算（触らない）'!$V28+2),101)+1))))</f>
        <v/>
      </c>
      <c r="R28" s="52">
        <f>IF('計算（触らない）'!$U28=0,"",IF(('計算（触らない）'!$V28+3)&lt;0,"",IF(AND('計算（触らない）'!$F28&lt;=2,('計算（触らない）'!$V28+3)&gt;'計算（触らない）'!$R28),0,INDEX('計算（触らない）'!$AS28:$EP28,MIN(('計算（触らない）'!$V28+3),101)+1))))</f>
        <v/>
      </c>
      <c r="S28" s="52">
        <f>IF('計算（触らない）'!$U28=0,"",IF(('計算（触らない）'!$V28+4)&lt;0,"",IF(AND('計算（触らない）'!$F28&lt;=2,('計算（触らない）'!$V28+4)&gt;'計算（触らない）'!$R28),0,INDEX('計算（触らない）'!$AS28:$EP28,MIN(('計算（触らない）'!$V28+4),101)+1))))</f>
        <v/>
      </c>
      <c r="T28" s="52">
        <f>IF('計算（触らない）'!$U28=0,"",IF(('計算（触らない）'!$V28+5)&lt;0,"",IF(AND('計算（触らない）'!$F28&lt;=2,('計算（触らない）'!$V28+5)&gt;'計算（触らない）'!$R28),0,INDEX('計算（触らない）'!$AS28:$EP28,MIN(('計算（触らない）'!$V28+5),101)+1))))</f>
        <v/>
      </c>
      <c r="U28" s="52">
        <f>IF('計算（触らない）'!$U28=0,"",IF(('計算（触らない）'!$V28+6)&lt;0,"",IF(AND('計算（触らない）'!$F28&lt;=2,('計算（触らない）'!$V28+6)&gt;'計算（触らない）'!$R28),0,INDEX('計算（触らない）'!$AS28:$EP28,MIN(('計算（触らない）'!$V28+6),101)+1))))</f>
        <v/>
      </c>
      <c r="V28" s="52">
        <f>IF('計算（触らない）'!$U28=0,"",IF(('計算（触らない）'!$V28+7)&lt;0,"",IF(AND('計算（触らない）'!$F28&lt;=2,('計算（触らない）'!$V28+7)&gt;'計算（触らない）'!$R28),0,INDEX('計算（触らない）'!$AS28:$EP28,MIN(('計算（触らない）'!$V28+7),101)+1))))</f>
        <v/>
      </c>
      <c r="W28" s="52">
        <f>IF('計算（触らない）'!$U28=0,"",IF(('計算（触らない）'!$V28+8)&lt;0,"",IF(AND('計算（触らない）'!$F28&lt;=2,('計算（触らない）'!$V28+8)&gt;'計算（触らない）'!$R28),0,INDEX('計算（触らない）'!$AS28:$EP28,MIN(('計算（触らない）'!$V28+8),101)+1))))</f>
        <v/>
      </c>
      <c r="X28" s="52">
        <f>IF('計算（触らない）'!$U28=0,"",IF(('計算（触らない）'!$V28+9)&lt;0,"",IF(AND('計算（触らない）'!$F28&lt;=2,('計算（触らない）'!$V28+9)&gt;'計算（触らない）'!$R28),0,INDEX('計算（触らない）'!$AS28:$EP28,MIN(('計算（触らない）'!$V28+9),101)+1))))</f>
        <v/>
      </c>
    </row>
    <row r="29" ht="17" customHeight="1">
      <c r="A29" s="21" t="n">
        <v>24</v>
      </c>
      <c r="B29" s="38">
        <f>IF('計算（触らない）'!$B29=0,"",'固定資産台帳'!$B29&amp;"")</f>
        <v/>
      </c>
      <c r="C29" s="38">
        <f>IF('計算（触らない）'!$B29=0,"",'固定資産台帳'!$H29&amp;"")</f>
        <v/>
      </c>
      <c r="D29" s="52">
        <f>IF('計算（触らない）'!$U29=0,"",IF(('計算（触らない）'!$V29+0)&lt;0,"",INT(ROUND((IF(('計算（触らない）'!$V29+0)=0,'計算（触らない）'!$C29,INDEX('計算（触らない）'!$AS29:$EP29,MIN(('計算（触らない）'!$V29+0),102)))-INDEX('計算（触らない）'!$AS29:$EP29,MIN(('計算（触らない）'!$V29+0),101)+1))*'計算（触らない）'!$N29,6)+'計算（触らない）'!$B$4)))</f>
        <v/>
      </c>
      <c r="E29" s="52">
        <f>IF('計算（触らない）'!$U29=0,"",IF(('計算（触らない）'!$V29+1)&lt;0,"",INT(ROUND((IF(('計算（触らない）'!$V29+1)=0,'計算（触らない）'!$C29,INDEX('計算（触らない）'!$AS29:$EP29,MIN(('計算（触らない）'!$V29+1),102)))-INDEX('計算（触らない）'!$AS29:$EP29,MIN(('計算（触らない）'!$V29+1),101)+1))*'計算（触らない）'!$N29,6)+'計算（触らない）'!$B$4)))</f>
        <v/>
      </c>
      <c r="F29" s="52">
        <f>IF('計算（触らない）'!$U29=0,"",IF(('計算（触らない）'!$V29+2)&lt;0,"",INT(ROUND((IF(('計算（触らない）'!$V29+2)=0,'計算（触らない）'!$C29,INDEX('計算（触らない）'!$AS29:$EP29,MIN(('計算（触らない）'!$V29+2),102)))-INDEX('計算（触らない）'!$AS29:$EP29,MIN(('計算（触らない）'!$V29+2),101)+1))*'計算（触らない）'!$N29,6)+'計算（触らない）'!$B$4)))</f>
        <v/>
      </c>
      <c r="G29" s="52">
        <f>IF('計算（触らない）'!$U29=0,"",IF(('計算（触らない）'!$V29+3)&lt;0,"",INT(ROUND((IF(('計算（触らない）'!$V29+3)=0,'計算（触らない）'!$C29,INDEX('計算（触らない）'!$AS29:$EP29,MIN(('計算（触らない）'!$V29+3),102)))-INDEX('計算（触らない）'!$AS29:$EP29,MIN(('計算（触らない）'!$V29+3),101)+1))*'計算（触らない）'!$N29,6)+'計算（触らない）'!$B$4)))</f>
        <v/>
      </c>
      <c r="H29" s="52">
        <f>IF('計算（触らない）'!$U29=0,"",IF(('計算（触らない）'!$V29+4)&lt;0,"",INT(ROUND((IF(('計算（触らない）'!$V29+4)=0,'計算（触らない）'!$C29,INDEX('計算（触らない）'!$AS29:$EP29,MIN(('計算（触らない）'!$V29+4),102)))-INDEX('計算（触らない）'!$AS29:$EP29,MIN(('計算（触らない）'!$V29+4),101)+1))*'計算（触らない）'!$N29,6)+'計算（触らない）'!$B$4)))</f>
        <v/>
      </c>
      <c r="I29" s="52">
        <f>IF('計算（触らない）'!$U29=0,"",IF(('計算（触らない）'!$V29+5)&lt;0,"",INT(ROUND((IF(('計算（触らない）'!$V29+5)=0,'計算（触らない）'!$C29,INDEX('計算（触らない）'!$AS29:$EP29,MIN(('計算（触らない）'!$V29+5),102)))-INDEX('計算（触らない）'!$AS29:$EP29,MIN(('計算（触らない）'!$V29+5),101)+1))*'計算（触らない）'!$N29,6)+'計算（触らない）'!$B$4)))</f>
        <v/>
      </c>
      <c r="J29" s="52">
        <f>IF('計算（触らない）'!$U29=0,"",IF(('計算（触らない）'!$V29+6)&lt;0,"",INT(ROUND((IF(('計算（触らない）'!$V29+6)=0,'計算（触らない）'!$C29,INDEX('計算（触らない）'!$AS29:$EP29,MIN(('計算（触らない）'!$V29+6),102)))-INDEX('計算（触らない）'!$AS29:$EP29,MIN(('計算（触らない）'!$V29+6),101)+1))*'計算（触らない）'!$N29,6)+'計算（触らない）'!$B$4)))</f>
        <v/>
      </c>
      <c r="K29" s="52">
        <f>IF('計算（触らない）'!$U29=0,"",IF(('計算（触らない）'!$V29+7)&lt;0,"",INT(ROUND((IF(('計算（触らない）'!$V29+7)=0,'計算（触らない）'!$C29,INDEX('計算（触らない）'!$AS29:$EP29,MIN(('計算（触らない）'!$V29+7),102)))-INDEX('計算（触らない）'!$AS29:$EP29,MIN(('計算（触らない）'!$V29+7),101)+1))*'計算（触らない）'!$N29,6)+'計算（触らない）'!$B$4)))</f>
        <v/>
      </c>
      <c r="L29" s="52">
        <f>IF('計算（触らない）'!$U29=0,"",IF(('計算（触らない）'!$V29+8)&lt;0,"",INT(ROUND((IF(('計算（触らない）'!$V29+8)=0,'計算（触らない）'!$C29,INDEX('計算（触らない）'!$AS29:$EP29,MIN(('計算（触らない）'!$V29+8),102)))-INDEX('計算（触らない）'!$AS29:$EP29,MIN(('計算（触らない）'!$V29+8),101)+1))*'計算（触らない）'!$N29,6)+'計算（触らない）'!$B$4)))</f>
        <v/>
      </c>
      <c r="M29" s="52">
        <f>IF('計算（触らない）'!$U29=0,"",IF(('計算（触らない）'!$V29+9)&lt;0,"",INT(ROUND((IF(('計算（触らない）'!$V29+9)=0,'計算（触らない）'!$C29,INDEX('計算（触らない）'!$AS29:$EP29,MIN(('計算（触らない）'!$V29+9),102)))-INDEX('計算（触らない）'!$AS29:$EP29,MIN(('計算（触らない）'!$V29+9),101)+1))*'計算（触らない）'!$N29,6)+'計算（触らない）'!$B$4)))</f>
        <v/>
      </c>
      <c r="N29" s="68" t="n"/>
      <c r="O29" s="52">
        <f>IF('計算（触らない）'!$U29=0,"",IF(('計算（触らない）'!$V29+0)&lt;0,"",IF(AND('計算（触らない）'!$F29&lt;=2,('計算（触らない）'!$V29+0)&gt;'計算（触らない）'!$R29),0,INDEX('計算（触らない）'!$AS29:$EP29,MIN(('計算（触らない）'!$V29+0),101)+1))))</f>
        <v/>
      </c>
      <c r="P29" s="52">
        <f>IF('計算（触らない）'!$U29=0,"",IF(('計算（触らない）'!$V29+1)&lt;0,"",IF(AND('計算（触らない）'!$F29&lt;=2,('計算（触らない）'!$V29+1)&gt;'計算（触らない）'!$R29),0,INDEX('計算（触らない）'!$AS29:$EP29,MIN(('計算（触らない）'!$V29+1),101)+1))))</f>
        <v/>
      </c>
      <c r="Q29" s="52">
        <f>IF('計算（触らない）'!$U29=0,"",IF(('計算（触らない）'!$V29+2)&lt;0,"",IF(AND('計算（触らない）'!$F29&lt;=2,('計算（触らない）'!$V29+2)&gt;'計算（触らない）'!$R29),0,INDEX('計算（触らない）'!$AS29:$EP29,MIN(('計算（触らない）'!$V29+2),101)+1))))</f>
        <v/>
      </c>
      <c r="R29" s="52">
        <f>IF('計算（触らない）'!$U29=0,"",IF(('計算（触らない）'!$V29+3)&lt;0,"",IF(AND('計算（触らない）'!$F29&lt;=2,('計算（触らない）'!$V29+3)&gt;'計算（触らない）'!$R29),0,INDEX('計算（触らない）'!$AS29:$EP29,MIN(('計算（触らない）'!$V29+3),101)+1))))</f>
        <v/>
      </c>
      <c r="S29" s="52">
        <f>IF('計算（触らない）'!$U29=0,"",IF(('計算（触らない）'!$V29+4)&lt;0,"",IF(AND('計算（触らない）'!$F29&lt;=2,('計算（触らない）'!$V29+4)&gt;'計算（触らない）'!$R29),0,INDEX('計算（触らない）'!$AS29:$EP29,MIN(('計算（触らない）'!$V29+4),101)+1))))</f>
        <v/>
      </c>
      <c r="T29" s="52">
        <f>IF('計算（触らない）'!$U29=0,"",IF(('計算（触らない）'!$V29+5)&lt;0,"",IF(AND('計算（触らない）'!$F29&lt;=2,('計算（触らない）'!$V29+5)&gt;'計算（触らない）'!$R29),0,INDEX('計算（触らない）'!$AS29:$EP29,MIN(('計算（触らない）'!$V29+5),101)+1))))</f>
        <v/>
      </c>
      <c r="U29" s="52">
        <f>IF('計算（触らない）'!$U29=0,"",IF(('計算（触らない）'!$V29+6)&lt;0,"",IF(AND('計算（触らない）'!$F29&lt;=2,('計算（触らない）'!$V29+6)&gt;'計算（触らない）'!$R29),0,INDEX('計算（触らない）'!$AS29:$EP29,MIN(('計算（触らない）'!$V29+6),101)+1))))</f>
        <v/>
      </c>
      <c r="V29" s="52">
        <f>IF('計算（触らない）'!$U29=0,"",IF(('計算（触らない）'!$V29+7)&lt;0,"",IF(AND('計算（触らない）'!$F29&lt;=2,('計算（触らない）'!$V29+7)&gt;'計算（触らない）'!$R29),0,INDEX('計算（触らない）'!$AS29:$EP29,MIN(('計算（触らない）'!$V29+7),101)+1))))</f>
        <v/>
      </c>
      <c r="W29" s="52">
        <f>IF('計算（触らない）'!$U29=0,"",IF(('計算（触らない）'!$V29+8)&lt;0,"",IF(AND('計算（触らない）'!$F29&lt;=2,('計算（触らない）'!$V29+8)&gt;'計算（触らない）'!$R29),0,INDEX('計算（触らない）'!$AS29:$EP29,MIN(('計算（触らない）'!$V29+8),101)+1))))</f>
        <v/>
      </c>
      <c r="X29" s="52">
        <f>IF('計算（触らない）'!$U29=0,"",IF(('計算（触らない）'!$V29+9)&lt;0,"",IF(AND('計算（触らない）'!$F29&lt;=2,('計算（触らない）'!$V29+9)&gt;'計算（触らない）'!$R29),0,INDEX('計算（触らない）'!$AS29:$EP29,MIN(('計算（触らない）'!$V29+9),101)+1))))</f>
        <v/>
      </c>
    </row>
    <row r="30" ht="17" customHeight="1">
      <c r="A30" s="21" t="n">
        <v>25</v>
      </c>
      <c r="B30" s="38">
        <f>IF('計算（触らない）'!$B30=0,"",'固定資産台帳'!$B30&amp;"")</f>
        <v/>
      </c>
      <c r="C30" s="38">
        <f>IF('計算（触らない）'!$B30=0,"",'固定資産台帳'!$H30&amp;"")</f>
        <v/>
      </c>
      <c r="D30" s="52">
        <f>IF('計算（触らない）'!$U30=0,"",IF(('計算（触らない）'!$V30+0)&lt;0,"",INT(ROUND((IF(('計算（触らない）'!$V30+0)=0,'計算（触らない）'!$C30,INDEX('計算（触らない）'!$AS30:$EP30,MIN(('計算（触らない）'!$V30+0),102)))-INDEX('計算（触らない）'!$AS30:$EP30,MIN(('計算（触らない）'!$V30+0),101)+1))*'計算（触らない）'!$N30,6)+'計算（触らない）'!$B$4)))</f>
        <v/>
      </c>
      <c r="E30" s="52">
        <f>IF('計算（触らない）'!$U30=0,"",IF(('計算（触らない）'!$V30+1)&lt;0,"",INT(ROUND((IF(('計算（触らない）'!$V30+1)=0,'計算（触らない）'!$C30,INDEX('計算（触らない）'!$AS30:$EP30,MIN(('計算（触らない）'!$V30+1),102)))-INDEX('計算（触らない）'!$AS30:$EP30,MIN(('計算（触らない）'!$V30+1),101)+1))*'計算（触らない）'!$N30,6)+'計算（触らない）'!$B$4)))</f>
        <v/>
      </c>
      <c r="F30" s="52">
        <f>IF('計算（触らない）'!$U30=0,"",IF(('計算（触らない）'!$V30+2)&lt;0,"",INT(ROUND((IF(('計算（触らない）'!$V30+2)=0,'計算（触らない）'!$C30,INDEX('計算（触らない）'!$AS30:$EP30,MIN(('計算（触らない）'!$V30+2),102)))-INDEX('計算（触らない）'!$AS30:$EP30,MIN(('計算（触らない）'!$V30+2),101)+1))*'計算（触らない）'!$N30,6)+'計算（触らない）'!$B$4)))</f>
        <v/>
      </c>
      <c r="G30" s="52">
        <f>IF('計算（触らない）'!$U30=0,"",IF(('計算（触らない）'!$V30+3)&lt;0,"",INT(ROUND((IF(('計算（触らない）'!$V30+3)=0,'計算（触らない）'!$C30,INDEX('計算（触らない）'!$AS30:$EP30,MIN(('計算（触らない）'!$V30+3),102)))-INDEX('計算（触らない）'!$AS30:$EP30,MIN(('計算（触らない）'!$V30+3),101)+1))*'計算（触らない）'!$N30,6)+'計算（触らない）'!$B$4)))</f>
        <v/>
      </c>
      <c r="H30" s="52">
        <f>IF('計算（触らない）'!$U30=0,"",IF(('計算（触らない）'!$V30+4)&lt;0,"",INT(ROUND((IF(('計算（触らない）'!$V30+4)=0,'計算（触らない）'!$C30,INDEX('計算（触らない）'!$AS30:$EP30,MIN(('計算（触らない）'!$V30+4),102)))-INDEX('計算（触らない）'!$AS30:$EP30,MIN(('計算（触らない）'!$V30+4),101)+1))*'計算（触らない）'!$N30,6)+'計算（触らない）'!$B$4)))</f>
        <v/>
      </c>
      <c r="I30" s="52">
        <f>IF('計算（触らない）'!$U30=0,"",IF(('計算（触らない）'!$V30+5)&lt;0,"",INT(ROUND((IF(('計算（触らない）'!$V30+5)=0,'計算（触らない）'!$C30,INDEX('計算（触らない）'!$AS30:$EP30,MIN(('計算（触らない）'!$V30+5),102)))-INDEX('計算（触らない）'!$AS30:$EP30,MIN(('計算（触らない）'!$V30+5),101)+1))*'計算（触らない）'!$N30,6)+'計算（触らない）'!$B$4)))</f>
        <v/>
      </c>
      <c r="J30" s="52">
        <f>IF('計算（触らない）'!$U30=0,"",IF(('計算（触らない）'!$V30+6)&lt;0,"",INT(ROUND((IF(('計算（触らない）'!$V30+6)=0,'計算（触らない）'!$C30,INDEX('計算（触らない）'!$AS30:$EP30,MIN(('計算（触らない）'!$V30+6),102)))-INDEX('計算（触らない）'!$AS30:$EP30,MIN(('計算（触らない）'!$V30+6),101)+1))*'計算（触らない）'!$N30,6)+'計算（触らない）'!$B$4)))</f>
        <v/>
      </c>
      <c r="K30" s="52">
        <f>IF('計算（触らない）'!$U30=0,"",IF(('計算（触らない）'!$V30+7)&lt;0,"",INT(ROUND((IF(('計算（触らない）'!$V30+7)=0,'計算（触らない）'!$C30,INDEX('計算（触らない）'!$AS30:$EP30,MIN(('計算（触らない）'!$V30+7),102)))-INDEX('計算（触らない）'!$AS30:$EP30,MIN(('計算（触らない）'!$V30+7),101)+1))*'計算（触らない）'!$N30,6)+'計算（触らない）'!$B$4)))</f>
        <v/>
      </c>
      <c r="L30" s="52">
        <f>IF('計算（触らない）'!$U30=0,"",IF(('計算（触らない）'!$V30+8)&lt;0,"",INT(ROUND((IF(('計算（触らない）'!$V30+8)=0,'計算（触らない）'!$C30,INDEX('計算（触らない）'!$AS30:$EP30,MIN(('計算（触らない）'!$V30+8),102)))-INDEX('計算（触らない）'!$AS30:$EP30,MIN(('計算（触らない）'!$V30+8),101)+1))*'計算（触らない）'!$N30,6)+'計算（触らない）'!$B$4)))</f>
        <v/>
      </c>
      <c r="M30" s="52">
        <f>IF('計算（触らない）'!$U30=0,"",IF(('計算（触らない）'!$V30+9)&lt;0,"",INT(ROUND((IF(('計算（触らない）'!$V30+9)=0,'計算（触らない）'!$C30,INDEX('計算（触らない）'!$AS30:$EP30,MIN(('計算（触らない）'!$V30+9),102)))-INDEX('計算（触らない）'!$AS30:$EP30,MIN(('計算（触らない）'!$V30+9),101)+1))*'計算（触らない）'!$N30,6)+'計算（触らない）'!$B$4)))</f>
        <v/>
      </c>
      <c r="N30" s="68" t="n"/>
      <c r="O30" s="52">
        <f>IF('計算（触らない）'!$U30=0,"",IF(('計算（触らない）'!$V30+0)&lt;0,"",IF(AND('計算（触らない）'!$F30&lt;=2,('計算（触らない）'!$V30+0)&gt;'計算（触らない）'!$R30),0,INDEX('計算（触らない）'!$AS30:$EP30,MIN(('計算（触らない）'!$V30+0),101)+1))))</f>
        <v/>
      </c>
      <c r="P30" s="52">
        <f>IF('計算（触らない）'!$U30=0,"",IF(('計算（触らない）'!$V30+1)&lt;0,"",IF(AND('計算（触らない）'!$F30&lt;=2,('計算（触らない）'!$V30+1)&gt;'計算（触らない）'!$R30),0,INDEX('計算（触らない）'!$AS30:$EP30,MIN(('計算（触らない）'!$V30+1),101)+1))))</f>
        <v/>
      </c>
      <c r="Q30" s="52">
        <f>IF('計算（触らない）'!$U30=0,"",IF(('計算（触らない）'!$V30+2)&lt;0,"",IF(AND('計算（触らない）'!$F30&lt;=2,('計算（触らない）'!$V30+2)&gt;'計算（触らない）'!$R30),0,INDEX('計算（触らない）'!$AS30:$EP30,MIN(('計算（触らない）'!$V30+2),101)+1))))</f>
        <v/>
      </c>
      <c r="R30" s="52">
        <f>IF('計算（触らない）'!$U30=0,"",IF(('計算（触らない）'!$V30+3)&lt;0,"",IF(AND('計算（触らない）'!$F30&lt;=2,('計算（触らない）'!$V30+3)&gt;'計算（触らない）'!$R30),0,INDEX('計算（触らない）'!$AS30:$EP30,MIN(('計算（触らない）'!$V30+3),101)+1))))</f>
        <v/>
      </c>
      <c r="S30" s="52">
        <f>IF('計算（触らない）'!$U30=0,"",IF(('計算（触らない）'!$V30+4)&lt;0,"",IF(AND('計算（触らない）'!$F30&lt;=2,('計算（触らない）'!$V30+4)&gt;'計算（触らない）'!$R30),0,INDEX('計算（触らない）'!$AS30:$EP30,MIN(('計算（触らない）'!$V30+4),101)+1))))</f>
        <v/>
      </c>
      <c r="T30" s="52">
        <f>IF('計算（触らない）'!$U30=0,"",IF(('計算（触らない）'!$V30+5)&lt;0,"",IF(AND('計算（触らない）'!$F30&lt;=2,('計算（触らない）'!$V30+5)&gt;'計算（触らない）'!$R30),0,INDEX('計算（触らない）'!$AS30:$EP30,MIN(('計算（触らない）'!$V30+5),101)+1))))</f>
        <v/>
      </c>
      <c r="U30" s="52">
        <f>IF('計算（触らない）'!$U30=0,"",IF(('計算（触らない）'!$V30+6)&lt;0,"",IF(AND('計算（触らない）'!$F30&lt;=2,('計算（触らない）'!$V30+6)&gt;'計算（触らない）'!$R30),0,INDEX('計算（触らない）'!$AS30:$EP30,MIN(('計算（触らない）'!$V30+6),101)+1))))</f>
        <v/>
      </c>
      <c r="V30" s="52">
        <f>IF('計算（触らない）'!$U30=0,"",IF(('計算（触らない）'!$V30+7)&lt;0,"",IF(AND('計算（触らない）'!$F30&lt;=2,('計算（触らない）'!$V30+7)&gt;'計算（触らない）'!$R30),0,INDEX('計算（触らない）'!$AS30:$EP30,MIN(('計算（触らない）'!$V30+7),101)+1))))</f>
        <v/>
      </c>
      <c r="W30" s="52">
        <f>IF('計算（触らない）'!$U30=0,"",IF(('計算（触らない）'!$V30+8)&lt;0,"",IF(AND('計算（触らない）'!$F30&lt;=2,('計算（触らない）'!$V30+8)&gt;'計算（触らない）'!$R30),0,INDEX('計算（触らない）'!$AS30:$EP30,MIN(('計算（触らない）'!$V30+8),101)+1))))</f>
        <v/>
      </c>
      <c r="X30" s="52">
        <f>IF('計算（触らない）'!$U30=0,"",IF(('計算（触らない）'!$V30+9)&lt;0,"",IF(AND('計算（触らない）'!$F30&lt;=2,('計算（触らない）'!$V30+9)&gt;'計算（触らない）'!$R30),0,INDEX('計算（触らない）'!$AS30:$EP30,MIN(('計算（触らない）'!$V30+9),101)+1))))</f>
        <v/>
      </c>
    </row>
    <row r="31" ht="17" customHeight="1">
      <c r="A31" s="21" t="n">
        <v>26</v>
      </c>
      <c r="B31" s="38">
        <f>IF('計算（触らない）'!$B31=0,"",'固定資産台帳'!$B31&amp;"")</f>
        <v/>
      </c>
      <c r="C31" s="38">
        <f>IF('計算（触らない）'!$B31=0,"",'固定資産台帳'!$H31&amp;"")</f>
        <v/>
      </c>
      <c r="D31" s="52">
        <f>IF('計算（触らない）'!$U31=0,"",IF(('計算（触らない）'!$V31+0)&lt;0,"",INT(ROUND((IF(('計算（触らない）'!$V31+0)=0,'計算（触らない）'!$C31,INDEX('計算（触らない）'!$AS31:$EP31,MIN(('計算（触らない）'!$V31+0),102)))-INDEX('計算（触らない）'!$AS31:$EP31,MIN(('計算（触らない）'!$V31+0),101)+1))*'計算（触らない）'!$N31,6)+'計算（触らない）'!$B$4)))</f>
        <v/>
      </c>
      <c r="E31" s="52">
        <f>IF('計算（触らない）'!$U31=0,"",IF(('計算（触らない）'!$V31+1)&lt;0,"",INT(ROUND((IF(('計算（触らない）'!$V31+1)=0,'計算（触らない）'!$C31,INDEX('計算（触らない）'!$AS31:$EP31,MIN(('計算（触らない）'!$V31+1),102)))-INDEX('計算（触らない）'!$AS31:$EP31,MIN(('計算（触らない）'!$V31+1),101)+1))*'計算（触らない）'!$N31,6)+'計算（触らない）'!$B$4)))</f>
        <v/>
      </c>
      <c r="F31" s="52">
        <f>IF('計算（触らない）'!$U31=0,"",IF(('計算（触らない）'!$V31+2)&lt;0,"",INT(ROUND((IF(('計算（触らない）'!$V31+2)=0,'計算（触らない）'!$C31,INDEX('計算（触らない）'!$AS31:$EP31,MIN(('計算（触らない）'!$V31+2),102)))-INDEX('計算（触らない）'!$AS31:$EP31,MIN(('計算（触らない）'!$V31+2),101)+1))*'計算（触らない）'!$N31,6)+'計算（触らない）'!$B$4)))</f>
        <v/>
      </c>
      <c r="G31" s="52">
        <f>IF('計算（触らない）'!$U31=0,"",IF(('計算（触らない）'!$V31+3)&lt;0,"",INT(ROUND((IF(('計算（触らない）'!$V31+3)=0,'計算（触らない）'!$C31,INDEX('計算（触らない）'!$AS31:$EP31,MIN(('計算（触らない）'!$V31+3),102)))-INDEX('計算（触らない）'!$AS31:$EP31,MIN(('計算（触らない）'!$V31+3),101)+1))*'計算（触らない）'!$N31,6)+'計算（触らない）'!$B$4)))</f>
        <v/>
      </c>
      <c r="H31" s="52">
        <f>IF('計算（触らない）'!$U31=0,"",IF(('計算（触らない）'!$V31+4)&lt;0,"",INT(ROUND((IF(('計算（触らない）'!$V31+4)=0,'計算（触らない）'!$C31,INDEX('計算（触らない）'!$AS31:$EP31,MIN(('計算（触らない）'!$V31+4),102)))-INDEX('計算（触らない）'!$AS31:$EP31,MIN(('計算（触らない）'!$V31+4),101)+1))*'計算（触らない）'!$N31,6)+'計算（触らない）'!$B$4)))</f>
        <v/>
      </c>
      <c r="I31" s="52">
        <f>IF('計算（触らない）'!$U31=0,"",IF(('計算（触らない）'!$V31+5)&lt;0,"",INT(ROUND((IF(('計算（触らない）'!$V31+5)=0,'計算（触らない）'!$C31,INDEX('計算（触らない）'!$AS31:$EP31,MIN(('計算（触らない）'!$V31+5),102)))-INDEX('計算（触らない）'!$AS31:$EP31,MIN(('計算（触らない）'!$V31+5),101)+1))*'計算（触らない）'!$N31,6)+'計算（触らない）'!$B$4)))</f>
        <v/>
      </c>
      <c r="J31" s="52">
        <f>IF('計算（触らない）'!$U31=0,"",IF(('計算（触らない）'!$V31+6)&lt;0,"",INT(ROUND((IF(('計算（触らない）'!$V31+6)=0,'計算（触らない）'!$C31,INDEX('計算（触らない）'!$AS31:$EP31,MIN(('計算（触らない）'!$V31+6),102)))-INDEX('計算（触らない）'!$AS31:$EP31,MIN(('計算（触らない）'!$V31+6),101)+1))*'計算（触らない）'!$N31,6)+'計算（触らない）'!$B$4)))</f>
        <v/>
      </c>
      <c r="K31" s="52">
        <f>IF('計算（触らない）'!$U31=0,"",IF(('計算（触らない）'!$V31+7)&lt;0,"",INT(ROUND((IF(('計算（触らない）'!$V31+7)=0,'計算（触らない）'!$C31,INDEX('計算（触らない）'!$AS31:$EP31,MIN(('計算（触らない）'!$V31+7),102)))-INDEX('計算（触らない）'!$AS31:$EP31,MIN(('計算（触らない）'!$V31+7),101)+1))*'計算（触らない）'!$N31,6)+'計算（触らない）'!$B$4)))</f>
        <v/>
      </c>
      <c r="L31" s="52">
        <f>IF('計算（触らない）'!$U31=0,"",IF(('計算（触らない）'!$V31+8)&lt;0,"",INT(ROUND((IF(('計算（触らない）'!$V31+8)=0,'計算（触らない）'!$C31,INDEX('計算（触らない）'!$AS31:$EP31,MIN(('計算（触らない）'!$V31+8),102)))-INDEX('計算（触らない）'!$AS31:$EP31,MIN(('計算（触らない）'!$V31+8),101)+1))*'計算（触らない）'!$N31,6)+'計算（触らない）'!$B$4)))</f>
        <v/>
      </c>
      <c r="M31" s="52">
        <f>IF('計算（触らない）'!$U31=0,"",IF(('計算（触らない）'!$V31+9)&lt;0,"",INT(ROUND((IF(('計算（触らない）'!$V31+9)=0,'計算（触らない）'!$C31,INDEX('計算（触らない）'!$AS31:$EP31,MIN(('計算（触らない）'!$V31+9),102)))-INDEX('計算（触らない）'!$AS31:$EP31,MIN(('計算（触らない）'!$V31+9),101)+1))*'計算（触らない）'!$N31,6)+'計算（触らない）'!$B$4)))</f>
        <v/>
      </c>
      <c r="N31" s="68" t="n"/>
      <c r="O31" s="52">
        <f>IF('計算（触らない）'!$U31=0,"",IF(('計算（触らない）'!$V31+0)&lt;0,"",IF(AND('計算（触らない）'!$F31&lt;=2,('計算（触らない）'!$V31+0)&gt;'計算（触らない）'!$R31),0,INDEX('計算（触らない）'!$AS31:$EP31,MIN(('計算（触らない）'!$V31+0),101)+1))))</f>
        <v/>
      </c>
      <c r="P31" s="52">
        <f>IF('計算（触らない）'!$U31=0,"",IF(('計算（触らない）'!$V31+1)&lt;0,"",IF(AND('計算（触らない）'!$F31&lt;=2,('計算（触らない）'!$V31+1)&gt;'計算（触らない）'!$R31),0,INDEX('計算（触らない）'!$AS31:$EP31,MIN(('計算（触らない）'!$V31+1),101)+1))))</f>
        <v/>
      </c>
      <c r="Q31" s="52">
        <f>IF('計算（触らない）'!$U31=0,"",IF(('計算（触らない）'!$V31+2)&lt;0,"",IF(AND('計算（触らない）'!$F31&lt;=2,('計算（触らない）'!$V31+2)&gt;'計算（触らない）'!$R31),0,INDEX('計算（触らない）'!$AS31:$EP31,MIN(('計算（触らない）'!$V31+2),101)+1))))</f>
        <v/>
      </c>
      <c r="R31" s="52">
        <f>IF('計算（触らない）'!$U31=0,"",IF(('計算（触らない）'!$V31+3)&lt;0,"",IF(AND('計算（触らない）'!$F31&lt;=2,('計算（触らない）'!$V31+3)&gt;'計算（触らない）'!$R31),0,INDEX('計算（触らない）'!$AS31:$EP31,MIN(('計算（触らない）'!$V31+3),101)+1))))</f>
        <v/>
      </c>
      <c r="S31" s="52">
        <f>IF('計算（触らない）'!$U31=0,"",IF(('計算（触らない）'!$V31+4)&lt;0,"",IF(AND('計算（触らない）'!$F31&lt;=2,('計算（触らない）'!$V31+4)&gt;'計算（触らない）'!$R31),0,INDEX('計算（触らない）'!$AS31:$EP31,MIN(('計算（触らない）'!$V31+4),101)+1))))</f>
        <v/>
      </c>
      <c r="T31" s="52">
        <f>IF('計算（触らない）'!$U31=0,"",IF(('計算（触らない）'!$V31+5)&lt;0,"",IF(AND('計算（触らない）'!$F31&lt;=2,('計算（触らない）'!$V31+5)&gt;'計算（触らない）'!$R31),0,INDEX('計算（触らない）'!$AS31:$EP31,MIN(('計算（触らない）'!$V31+5),101)+1))))</f>
        <v/>
      </c>
      <c r="U31" s="52">
        <f>IF('計算（触らない）'!$U31=0,"",IF(('計算（触らない）'!$V31+6)&lt;0,"",IF(AND('計算（触らない）'!$F31&lt;=2,('計算（触らない）'!$V31+6)&gt;'計算（触らない）'!$R31),0,INDEX('計算（触らない）'!$AS31:$EP31,MIN(('計算（触らない）'!$V31+6),101)+1))))</f>
        <v/>
      </c>
      <c r="V31" s="52">
        <f>IF('計算（触らない）'!$U31=0,"",IF(('計算（触らない）'!$V31+7)&lt;0,"",IF(AND('計算（触らない）'!$F31&lt;=2,('計算（触らない）'!$V31+7)&gt;'計算（触らない）'!$R31),0,INDEX('計算（触らない）'!$AS31:$EP31,MIN(('計算（触らない）'!$V31+7),101)+1))))</f>
        <v/>
      </c>
      <c r="W31" s="52">
        <f>IF('計算（触らない）'!$U31=0,"",IF(('計算（触らない）'!$V31+8)&lt;0,"",IF(AND('計算（触らない）'!$F31&lt;=2,('計算（触らない）'!$V31+8)&gt;'計算（触らない）'!$R31),0,INDEX('計算（触らない）'!$AS31:$EP31,MIN(('計算（触らない）'!$V31+8),101)+1))))</f>
        <v/>
      </c>
      <c r="X31" s="52">
        <f>IF('計算（触らない）'!$U31=0,"",IF(('計算（触らない）'!$V31+9)&lt;0,"",IF(AND('計算（触らない）'!$F31&lt;=2,('計算（触らない）'!$V31+9)&gt;'計算（触らない）'!$R31),0,INDEX('計算（触らない）'!$AS31:$EP31,MIN(('計算（触らない）'!$V31+9),101)+1))))</f>
        <v/>
      </c>
    </row>
    <row r="32" ht="17" customHeight="1">
      <c r="A32" s="21" t="n">
        <v>27</v>
      </c>
      <c r="B32" s="38">
        <f>IF('計算（触らない）'!$B32=0,"",'固定資産台帳'!$B32&amp;"")</f>
        <v/>
      </c>
      <c r="C32" s="38">
        <f>IF('計算（触らない）'!$B32=0,"",'固定資産台帳'!$H32&amp;"")</f>
        <v/>
      </c>
      <c r="D32" s="52">
        <f>IF('計算（触らない）'!$U32=0,"",IF(('計算（触らない）'!$V32+0)&lt;0,"",INT(ROUND((IF(('計算（触らない）'!$V32+0)=0,'計算（触らない）'!$C32,INDEX('計算（触らない）'!$AS32:$EP32,MIN(('計算（触らない）'!$V32+0),102)))-INDEX('計算（触らない）'!$AS32:$EP32,MIN(('計算（触らない）'!$V32+0),101)+1))*'計算（触らない）'!$N32,6)+'計算（触らない）'!$B$4)))</f>
        <v/>
      </c>
      <c r="E32" s="52">
        <f>IF('計算（触らない）'!$U32=0,"",IF(('計算（触らない）'!$V32+1)&lt;0,"",INT(ROUND((IF(('計算（触らない）'!$V32+1)=0,'計算（触らない）'!$C32,INDEX('計算（触らない）'!$AS32:$EP32,MIN(('計算（触らない）'!$V32+1),102)))-INDEX('計算（触らない）'!$AS32:$EP32,MIN(('計算（触らない）'!$V32+1),101)+1))*'計算（触らない）'!$N32,6)+'計算（触らない）'!$B$4)))</f>
        <v/>
      </c>
      <c r="F32" s="52">
        <f>IF('計算（触らない）'!$U32=0,"",IF(('計算（触らない）'!$V32+2)&lt;0,"",INT(ROUND((IF(('計算（触らない）'!$V32+2)=0,'計算（触らない）'!$C32,INDEX('計算（触らない）'!$AS32:$EP32,MIN(('計算（触らない）'!$V32+2),102)))-INDEX('計算（触らない）'!$AS32:$EP32,MIN(('計算（触らない）'!$V32+2),101)+1))*'計算（触らない）'!$N32,6)+'計算（触らない）'!$B$4)))</f>
        <v/>
      </c>
      <c r="G32" s="52">
        <f>IF('計算（触らない）'!$U32=0,"",IF(('計算（触らない）'!$V32+3)&lt;0,"",INT(ROUND((IF(('計算（触らない）'!$V32+3)=0,'計算（触らない）'!$C32,INDEX('計算（触らない）'!$AS32:$EP32,MIN(('計算（触らない）'!$V32+3),102)))-INDEX('計算（触らない）'!$AS32:$EP32,MIN(('計算（触らない）'!$V32+3),101)+1))*'計算（触らない）'!$N32,6)+'計算（触らない）'!$B$4)))</f>
        <v/>
      </c>
      <c r="H32" s="52">
        <f>IF('計算（触らない）'!$U32=0,"",IF(('計算（触らない）'!$V32+4)&lt;0,"",INT(ROUND((IF(('計算（触らない）'!$V32+4)=0,'計算（触らない）'!$C32,INDEX('計算（触らない）'!$AS32:$EP32,MIN(('計算（触らない）'!$V32+4),102)))-INDEX('計算（触らない）'!$AS32:$EP32,MIN(('計算（触らない）'!$V32+4),101)+1))*'計算（触らない）'!$N32,6)+'計算（触らない）'!$B$4)))</f>
        <v/>
      </c>
      <c r="I32" s="52">
        <f>IF('計算（触らない）'!$U32=0,"",IF(('計算（触らない）'!$V32+5)&lt;0,"",INT(ROUND((IF(('計算（触らない）'!$V32+5)=0,'計算（触らない）'!$C32,INDEX('計算（触らない）'!$AS32:$EP32,MIN(('計算（触らない）'!$V32+5),102)))-INDEX('計算（触らない）'!$AS32:$EP32,MIN(('計算（触らない）'!$V32+5),101)+1))*'計算（触らない）'!$N32,6)+'計算（触らない）'!$B$4)))</f>
        <v/>
      </c>
      <c r="J32" s="52">
        <f>IF('計算（触らない）'!$U32=0,"",IF(('計算（触らない）'!$V32+6)&lt;0,"",INT(ROUND((IF(('計算（触らない）'!$V32+6)=0,'計算（触らない）'!$C32,INDEX('計算（触らない）'!$AS32:$EP32,MIN(('計算（触らない）'!$V32+6),102)))-INDEX('計算（触らない）'!$AS32:$EP32,MIN(('計算（触らない）'!$V32+6),101)+1))*'計算（触らない）'!$N32,6)+'計算（触らない）'!$B$4)))</f>
        <v/>
      </c>
      <c r="K32" s="52">
        <f>IF('計算（触らない）'!$U32=0,"",IF(('計算（触らない）'!$V32+7)&lt;0,"",INT(ROUND((IF(('計算（触らない）'!$V32+7)=0,'計算（触らない）'!$C32,INDEX('計算（触らない）'!$AS32:$EP32,MIN(('計算（触らない）'!$V32+7),102)))-INDEX('計算（触らない）'!$AS32:$EP32,MIN(('計算（触らない）'!$V32+7),101)+1))*'計算（触らない）'!$N32,6)+'計算（触らない）'!$B$4)))</f>
        <v/>
      </c>
      <c r="L32" s="52">
        <f>IF('計算（触らない）'!$U32=0,"",IF(('計算（触らない）'!$V32+8)&lt;0,"",INT(ROUND((IF(('計算（触らない）'!$V32+8)=0,'計算（触らない）'!$C32,INDEX('計算（触らない）'!$AS32:$EP32,MIN(('計算（触らない）'!$V32+8),102)))-INDEX('計算（触らない）'!$AS32:$EP32,MIN(('計算（触らない）'!$V32+8),101)+1))*'計算（触らない）'!$N32,6)+'計算（触らない）'!$B$4)))</f>
        <v/>
      </c>
      <c r="M32" s="52">
        <f>IF('計算（触らない）'!$U32=0,"",IF(('計算（触らない）'!$V32+9)&lt;0,"",INT(ROUND((IF(('計算（触らない）'!$V32+9)=0,'計算（触らない）'!$C32,INDEX('計算（触らない）'!$AS32:$EP32,MIN(('計算（触らない）'!$V32+9),102)))-INDEX('計算（触らない）'!$AS32:$EP32,MIN(('計算（触らない）'!$V32+9),101)+1))*'計算（触らない）'!$N32,6)+'計算（触らない）'!$B$4)))</f>
        <v/>
      </c>
      <c r="N32" s="68" t="n"/>
      <c r="O32" s="52">
        <f>IF('計算（触らない）'!$U32=0,"",IF(('計算（触らない）'!$V32+0)&lt;0,"",IF(AND('計算（触らない）'!$F32&lt;=2,('計算（触らない）'!$V32+0)&gt;'計算（触らない）'!$R32),0,INDEX('計算（触らない）'!$AS32:$EP32,MIN(('計算（触らない）'!$V32+0),101)+1))))</f>
        <v/>
      </c>
      <c r="P32" s="52">
        <f>IF('計算（触らない）'!$U32=0,"",IF(('計算（触らない）'!$V32+1)&lt;0,"",IF(AND('計算（触らない）'!$F32&lt;=2,('計算（触らない）'!$V32+1)&gt;'計算（触らない）'!$R32),0,INDEX('計算（触らない）'!$AS32:$EP32,MIN(('計算（触らない）'!$V32+1),101)+1))))</f>
        <v/>
      </c>
      <c r="Q32" s="52">
        <f>IF('計算（触らない）'!$U32=0,"",IF(('計算（触らない）'!$V32+2)&lt;0,"",IF(AND('計算（触らない）'!$F32&lt;=2,('計算（触らない）'!$V32+2)&gt;'計算（触らない）'!$R32),0,INDEX('計算（触らない）'!$AS32:$EP32,MIN(('計算（触らない）'!$V32+2),101)+1))))</f>
        <v/>
      </c>
      <c r="R32" s="52">
        <f>IF('計算（触らない）'!$U32=0,"",IF(('計算（触らない）'!$V32+3)&lt;0,"",IF(AND('計算（触らない）'!$F32&lt;=2,('計算（触らない）'!$V32+3)&gt;'計算（触らない）'!$R32),0,INDEX('計算（触らない）'!$AS32:$EP32,MIN(('計算（触らない）'!$V32+3),101)+1))))</f>
        <v/>
      </c>
      <c r="S32" s="52">
        <f>IF('計算（触らない）'!$U32=0,"",IF(('計算（触らない）'!$V32+4)&lt;0,"",IF(AND('計算（触らない）'!$F32&lt;=2,('計算（触らない）'!$V32+4)&gt;'計算（触らない）'!$R32),0,INDEX('計算（触らない）'!$AS32:$EP32,MIN(('計算（触らない）'!$V32+4),101)+1))))</f>
        <v/>
      </c>
      <c r="T32" s="52">
        <f>IF('計算（触らない）'!$U32=0,"",IF(('計算（触らない）'!$V32+5)&lt;0,"",IF(AND('計算（触らない）'!$F32&lt;=2,('計算（触らない）'!$V32+5)&gt;'計算（触らない）'!$R32),0,INDEX('計算（触らない）'!$AS32:$EP32,MIN(('計算（触らない）'!$V32+5),101)+1))))</f>
        <v/>
      </c>
      <c r="U32" s="52">
        <f>IF('計算（触らない）'!$U32=0,"",IF(('計算（触らない）'!$V32+6)&lt;0,"",IF(AND('計算（触らない）'!$F32&lt;=2,('計算（触らない）'!$V32+6)&gt;'計算（触らない）'!$R32),0,INDEX('計算（触らない）'!$AS32:$EP32,MIN(('計算（触らない）'!$V32+6),101)+1))))</f>
        <v/>
      </c>
      <c r="V32" s="52">
        <f>IF('計算（触らない）'!$U32=0,"",IF(('計算（触らない）'!$V32+7)&lt;0,"",IF(AND('計算（触らない）'!$F32&lt;=2,('計算（触らない）'!$V32+7)&gt;'計算（触らない）'!$R32),0,INDEX('計算（触らない）'!$AS32:$EP32,MIN(('計算（触らない）'!$V32+7),101)+1))))</f>
        <v/>
      </c>
      <c r="W32" s="52">
        <f>IF('計算（触らない）'!$U32=0,"",IF(('計算（触らない）'!$V32+8)&lt;0,"",IF(AND('計算（触らない）'!$F32&lt;=2,('計算（触らない）'!$V32+8)&gt;'計算（触らない）'!$R32),0,INDEX('計算（触らない）'!$AS32:$EP32,MIN(('計算（触らない）'!$V32+8),101)+1))))</f>
        <v/>
      </c>
      <c r="X32" s="52">
        <f>IF('計算（触らない）'!$U32=0,"",IF(('計算（触らない）'!$V32+9)&lt;0,"",IF(AND('計算（触らない）'!$F32&lt;=2,('計算（触らない）'!$V32+9)&gt;'計算（触らない）'!$R32),0,INDEX('計算（触らない）'!$AS32:$EP32,MIN(('計算（触らない）'!$V32+9),101)+1))))</f>
        <v/>
      </c>
    </row>
    <row r="33" ht="17" customHeight="1">
      <c r="A33" s="21" t="n">
        <v>28</v>
      </c>
      <c r="B33" s="38">
        <f>IF('計算（触らない）'!$B33=0,"",'固定資産台帳'!$B33&amp;"")</f>
        <v/>
      </c>
      <c r="C33" s="38">
        <f>IF('計算（触らない）'!$B33=0,"",'固定資産台帳'!$H33&amp;"")</f>
        <v/>
      </c>
      <c r="D33" s="52">
        <f>IF('計算（触らない）'!$U33=0,"",IF(('計算（触らない）'!$V33+0)&lt;0,"",INT(ROUND((IF(('計算（触らない）'!$V33+0)=0,'計算（触らない）'!$C33,INDEX('計算（触らない）'!$AS33:$EP33,MIN(('計算（触らない）'!$V33+0),102)))-INDEX('計算（触らない）'!$AS33:$EP33,MIN(('計算（触らない）'!$V33+0),101)+1))*'計算（触らない）'!$N33,6)+'計算（触らない）'!$B$4)))</f>
        <v/>
      </c>
      <c r="E33" s="52">
        <f>IF('計算（触らない）'!$U33=0,"",IF(('計算（触らない）'!$V33+1)&lt;0,"",INT(ROUND((IF(('計算（触らない）'!$V33+1)=0,'計算（触らない）'!$C33,INDEX('計算（触らない）'!$AS33:$EP33,MIN(('計算（触らない）'!$V33+1),102)))-INDEX('計算（触らない）'!$AS33:$EP33,MIN(('計算（触らない）'!$V33+1),101)+1))*'計算（触らない）'!$N33,6)+'計算（触らない）'!$B$4)))</f>
        <v/>
      </c>
      <c r="F33" s="52">
        <f>IF('計算（触らない）'!$U33=0,"",IF(('計算（触らない）'!$V33+2)&lt;0,"",INT(ROUND((IF(('計算（触らない）'!$V33+2)=0,'計算（触らない）'!$C33,INDEX('計算（触らない）'!$AS33:$EP33,MIN(('計算（触らない）'!$V33+2),102)))-INDEX('計算（触らない）'!$AS33:$EP33,MIN(('計算（触らない）'!$V33+2),101)+1))*'計算（触らない）'!$N33,6)+'計算（触らない）'!$B$4)))</f>
        <v/>
      </c>
      <c r="G33" s="52">
        <f>IF('計算（触らない）'!$U33=0,"",IF(('計算（触らない）'!$V33+3)&lt;0,"",INT(ROUND((IF(('計算（触らない）'!$V33+3)=0,'計算（触らない）'!$C33,INDEX('計算（触らない）'!$AS33:$EP33,MIN(('計算（触らない）'!$V33+3),102)))-INDEX('計算（触らない）'!$AS33:$EP33,MIN(('計算（触らない）'!$V33+3),101)+1))*'計算（触らない）'!$N33,6)+'計算（触らない）'!$B$4)))</f>
        <v/>
      </c>
      <c r="H33" s="52">
        <f>IF('計算（触らない）'!$U33=0,"",IF(('計算（触らない）'!$V33+4)&lt;0,"",INT(ROUND((IF(('計算（触らない）'!$V33+4)=0,'計算（触らない）'!$C33,INDEX('計算（触らない）'!$AS33:$EP33,MIN(('計算（触らない）'!$V33+4),102)))-INDEX('計算（触らない）'!$AS33:$EP33,MIN(('計算（触らない）'!$V33+4),101)+1))*'計算（触らない）'!$N33,6)+'計算（触らない）'!$B$4)))</f>
        <v/>
      </c>
      <c r="I33" s="52">
        <f>IF('計算（触らない）'!$U33=0,"",IF(('計算（触らない）'!$V33+5)&lt;0,"",INT(ROUND((IF(('計算（触らない）'!$V33+5)=0,'計算（触らない）'!$C33,INDEX('計算（触らない）'!$AS33:$EP33,MIN(('計算（触らない）'!$V33+5),102)))-INDEX('計算（触らない）'!$AS33:$EP33,MIN(('計算（触らない）'!$V33+5),101)+1))*'計算（触らない）'!$N33,6)+'計算（触らない）'!$B$4)))</f>
        <v/>
      </c>
      <c r="J33" s="52">
        <f>IF('計算（触らない）'!$U33=0,"",IF(('計算（触らない）'!$V33+6)&lt;0,"",INT(ROUND((IF(('計算（触らない）'!$V33+6)=0,'計算（触らない）'!$C33,INDEX('計算（触らない）'!$AS33:$EP33,MIN(('計算（触らない）'!$V33+6),102)))-INDEX('計算（触らない）'!$AS33:$EP33,MIN(('計算（触らない）'!$V33+6),101)+1))*'計算（触らない）'!$N33,6)+'計算（触らない）'!$B$4)))</f>
        <v/>
      </c>
      <c r="K33" s="52">
        <f>IF('計算（触らない）'!$U33=0,"",IF(('計算（触らない）'!$V33+7)&lt;0,"",INT(ROUND((IF(('計算（触らない）'!$V33+7)=0,'計算（触らない）'!$C33,INDEX('計算（触らない）'!$AS33:$EP33,MIN(('計算（触らない）'!$V33+7),102)))-INDEX('計算（触らない）'!$AS33:$EP33,MIN(('計算（触らない）'!$V33+7),101)+1))*'計算（触らない）'!$N33,6)+'計算（触らない）'!$B$4)))</f>
        <v/>
      </c>
      <c r="L33" s="52">
        <f>IF('計算（触らない）'!$U33=0,"",IF(('計算（触らない）'!$V33+8)&lt;0,"",INT(ROUND((IF(('計算（触らない）'!$V33+8)=0,'計算（触らない）'!$C33,INDEX('計算（触らない）'!$AS33:$EP33,MIN(('計算（触らない）'!$V33+8),102)))-INDEX('計算（触らない）'!$AS33:$EP33,MIN(('計算（触らない）'!$V33+8),101)+1))*'計算（触らない）'!$N33,6)+'計算（触らない）'!$B$4)))</f>
        <v/>
      </c>
      <c r="M33" s="52">
        <f>IF('計算（触らない）'!$U33=0,"",IF(('計算（触らない）'!$V33+9)&lt;0,"",INT(ROUND((IF(('計算（触らない）'!$V33+9)=0,'計算（触らない）'!$C33,INDEX('計算（触らない）'!$AS33:$EP33,MIN(('計算（触らない）'!$V33+9),102)))-INDEX('計算（触らない）'!$AS33:$EP33,MIN(('計算（触らない）'!$V33+9),101)+1))*'計算（触らない）'!$N33,6)+'計算（触らない）'!$B$4)))</f>
        <v/>
      </c>
      <c r="N33" s="68" t="n"/>
      <c r="O33" s="52">
        <f>IF('計算（触らない）'!$U33=0,"",IF(('計算（触らない）'!$V33+0)&lt;0,"",IF(AND('計算（触らない）'!$F33&lt;=2,('計算（触らない）'!$V33+0)&gt;'計算（触らない）'!$R33),0,INDEX('計算（触らない）'!$AS33:$EP33,MIN(('計算（触らない）'!$V33+0),101)+1))))</f>
        <v/>
      </c>
      <c r="P33" s="52">
        <f>IF('計算（触らない）'!$U33=0,"",IF(('計算（触らない）'!$V33+1)&lt;0,"",IF(AND('計算（触らない）'!$F33&lt;=2,('計算（触らない）'!$V33+1)&gt;'計算（触らない）'!$R33),0,INDEX('計算（触らない）'!$AS33:$EP33,MIN(('計算（触らない）'!$V33+1),101)+1))))</f>
        <v/>
      </c>
      <c r="Q33" s="52">
        <f>IF('計算（触らない）'!$U33=0,"",IF(('計算（触らない）'!$V33+2)&lt;0,"",IF(AND('計算（触らない）'!$F33&lt;=2,('計算（触らない）'!$V33+2)&gt;'計算（触らない）'!$R33),0,INDEX('計算（触らない）'!$AS33:$EP33,MIN(('計算（触らない）'!$V33+2),101)+1))))</f>
        <v/>
      </c>
      <c r="R33" s="52">
        <f>IF('計算（触らない）'!$U33=0,"",IF(('計算（触らない）'!$V33+3)&lt;0,"",IF(AND('計算（触らない）'!$F33&lt;=2,('計算（触らない）'!$V33+3)&gt;'計算（触らない）'!$R33),0,INDEX('計算（触らない）'!$AS33:$EP33,MIN(('計算（触らない）'!$V33+3),101)+1))))</f>
        <v/>
      </c>
      <c r="S33" s="52">
        <f>IF('計算（触らない）'!$U33=0,"",IF(('計算（触らない）'!$V33+4)&lt;0,"",IF(AND('計算（触らない）'!$F33&lt;=2,('計算（触らない）'!$V33+4)&gt;'計算（触らない）'!$R33),0,INDEX('計算（触らない）'!$AS33:$EP33,MIN(('計算（触らない）'!$V33+4),101)+1))))</f>
        <v/>
      </c>
      <c r="T33" s="52">
        <f>IF('計算（触らない）'!$U33=0,"",IF(('計算（触らない）'!$V33+5)&lt;0,"",IF(AND('計算（触らない）'!$F33&lt;=2,('計算（触らない）'!$V33+5)&gt;'計算（触らない）'!$R33),0,INDEX('計算（触らない）'!$AS33:$EP33,MIN(('計算（触らない）'!$V33+5),101)+1))))</f>
        <v/>
      </c>
      <c r="U33" s="52">
        <f>IF('計算（触らない）'!$U33=0,"",IF(('計算（触らない）'!$V33+6)&lt;0,"",IF(AND('計算（触らない）'!$F33&lt;=2,('計算（触らない）'!$V33+6)&gt;'計算（触らない）'!$R33),0,INDEX('計算（触らない）'!$AS33:$EP33,MIN(('計算（触らない）'!$V33+6),101)+1))))</f>
        <v/>
      </c>
      <c r="V33" s="52">
        <f>IF('計算（触らない）'!$U33=0,"",IF(('計算（触らない）'!$V33+7)&lt;0,"",IF(AND('計算（触らない）'!$F33&lt;=2,('計算（触らない）'!$V33+7)&gt;'計算（触らない）'!$R33),0,INDEX('計算（触らない）'!$AS33:$EP33,MIN(('計算（触らない）'!$V33+7),101)+1))))</f>
        <v/>
      </c>
      <c r="W33" s="52">
        <f>IF('計算（触らない）'!$U33=0,"",IF(('計算（触らない）'!$V33+8)&lt;0,"",IF(AND('計算（触らない）'!$F33&lt;=2,('計算（触らない）'!$V33+8)&gt;'計算（触らない）'!$R33),0,INDEX('計算（触らない）'!$AS33:$EP33,MIN(('計算（触らない）'!$V33+8),101)+1))))</f>
        <v/>
      </c>
      <c r="X33" s="52">
        <f>IF('計算（触らない）'!$U33=0,"",IF(('計算（触らない）'!$V33+9)&lt;0,"",IF(AND('計算（触らない）'!$F33&lt;=2,('計算（触らない）'!$V33+9)&gt;'計算（触らない）'!$R33),0,INDEX('計算（触らない）'!$AS33:$EP33,MIN(('計算（触らない）'!$V33+9),101)+1))))</f>
        <v/>
      </c>
    </row>
    <row r="34" ht="17" customHeight="1">
      <c r="A34" s="21" t="n">
        <v>29</v>
      </c>
      <c r="B34" s="38">
        <f>IF('計算（触らない）'!$B34=0,"",'固定資産台帳'!$B34&amp;"")</f>
        <v/>
      </c>
      <c r="C34" s="38">
        <f>IF('計算（触らない）'!$B34=0,"",'固定資産台帳'!$H34&amp;"")</f>
        <v/>
      </c>
      <c r="D34" s="52">
        <f>IF('計算（触らない）'!$U34=0,"",IF(('計算（触らない）'!$V34+0)&lt;0,"",INT(ROUND((IF(('計算（触らない）'!$V34+0)=0,'計算（触らない）'!$C34,INDEX('計算（触らない）'!$AS34:$EP34,MIN(('計算（触らない）'!$V34+0),102)))-INDEX('計算（触らない）'!$AS34:$EP34,MIN(('計算（触らない）'!$V34+0),101)+1))*'計算（触らない）'!$N34,6)+'計算（触らない）'!$B$4)))</f>
        <v/>
      </c>
      <c r="E34" s="52">
        <f>IF('計算（触らない）'!$U34=0,"",IF(('計算（触らない）'!$V34+1)&lt;0,"",INT(ROUND((IF(('計算（触らない）'!$V34+1)=0,'計算（触らない）'!$C34,INDEX('計算（触らない）'!$AS34:$EP34,MIN(('計算（触らない）'!$V34+1),102)))-INDEX('計算（触らない）'!$AS34:$EP34,MIN(('計算（触らない）'!$V34+1),101)+1))*'計算（触らない）'!$N34,6)+'計算（触らない）'!$B$4)))</f>
        <v/>
      </c>
      <c r="F34" s="52">
        <f>IF('計算（触らない）'!$U34=0,"",IF(('計算（触らない）'!$V34+2)&lt;0,"",INT(ROUND((IF(('計算（触らない）'!$V34+2)=0,'計算（触らない）'!$C34,INDEX('計算（触らない）'!$AS34:$EP34,MIN(('計算（触らない）'!$V34+2),102)))-INDEX('計算（触らない）'!$AS34:$EP34,MIN(('計算（触らない）'!$V34+2),101)+1))*'計算（触らない）'!$N34,6)+'計算（触らない）'!$B$4)))</f>
        <v/>
      </c>
      <c r="G34" s="52">
        <f>IF('計算（触らない）'!$U34=0,"",IF(('計算（触らない）'!$V34+3)&lt;0,"",INT(ROUND((IF(('計算（触らない）'!$V34+3)=0,'計算（触らない）'!$C34,INDEX('計算（触らない）'!$AS34:$EP34,MIN(('計算（触らない）'!$V34+3),102)))-INDEX('計算（触らない）'!$AS34:$EP34,MIN(('計算（触らない）'!$V34+3),101)+1))*'計算（触らない）'!$N34,6)+'計算（触らない）'!$B$4)))</f>
        <v/>
      </c>
      <c r="H34" s="52">
        <f>IF('計算（触らない）'!$U34=0,"",IF(('計算（触らない）'!$V34+4)&lt;0,"",INT(ROUND((IF(('計算（触らない）'!$V34+4)=0,'計算（触らない）'!$C34,INDEX('計算（触らない）'!$AS34:$EP34,MIN(('計算（触らない）'!$V34+4),102)))-INDEX('計算（触らない）'!$AS34:$EP34,MIN(('計算（触らない）'!$V34+4),101)+1))*'計算（触らない）'!$N34,6)+'計算（触らない）'!$B$4)))</f>
        <v/>
      </c>
      <c r="I34" s="52">
        <f>IF('計算（触らない）'!$U34=0,"",IF(('計算（触らない）'!$V34+5)&lt;0,"",INT(ROUND((IF(('計算（触らない）'!$V34+5)=0,'計算（触らない）'!$C34,INDEX('計算（触らない）'!$AS34:$EP34,MIN(('計算（触らない）'!$V34+5),102)))-INDEX('計算（触らない）'!$AS34:$EP34,MIN(('計算（触らない）'!$V34+5),101)+1))*'計算（触らない）'!$N34,6)+'計算（触らない）'!$B$4)))</f>
        <v/>
      </c>
      <c r="J34" s="52">
        <f>IF('計算（触らない）'!$U34=0,"",IF(('計算（触らない）'!$V34+6)&lt;0,"",INT(ROUND((IF(('計算（触らない）'!$V34+6)=0,'計算（触らない）'!$C34,INDEX('計算（触らない）'!$AS34:$EP34,MIN(('計算（触らない）'!$V34+6),102)))-INDEX('計算（触らない）'!$AS34:$EP34,MIN(('計算（触らない）'!$V34+6),101)+1))*'計算（触らない）'!$N34,6)+'計算（触らない）'!$B$4)))</f>
        <v/>
      </c>
      <c r="K34" s="52">
        <f>IF('計算（触らない）'!$U34=0,"",IF(('計算（触らない）'!$V34+7)&lt;0,"",INT(ROUND((IF(('計算（触らない）'!$V34+7)=0,'計算（触らない）'!$C34,INDEX('計算（触らない）'!$AS34:$EP34,MIN(('計算（触らない）'!$V34+7),102)))-INDEX('計算（触らない）'!$AS34:$EP34,MIN(('計算（触らない）'!$V34+7),101)+1))*'計算（触らない）'!$N34,6)+'計算（触らない）'!$B$4)))</f>
        <v/>
      </c>
      <c r="L34" s="52">
        <f>IF('計算（触らない）'!$U34=0,"",IF(('計算（触らない）'!$V34+8)&lt;0,"",INT(ROUND((IF(('計算（触らない）'!$V34+8)=0,'計算（触らない）'!$C34,INDEX('計算（触らない）'!$AS34:$EP34,MIN(('計算（触らない）'!$V34+8),102)))-INDEX('計算（触らない）'!$AS34:$EP34,MIN(('計算（触らない）'!$V34+8),101)+1))*'計算（触らない）'!$N34,6)+'計算（触らない）'!$B$4)))</f>
        <v/>
      </c>
      <c r="M34" s="52">
        <f>IF('計算（触らない）'!$U34=0,"",IF(('計算（触らない）'!$V34+9)&lt;0,"",INT(ROUND((IF(('計算（触らない）'!$V34+9)=0,'計算（触らない）'!$C34,INDEX('計算（触らない）'!$AS34:$EP34,MIN(('計算（触らない）'!$V34+9),102)))-INDEX('計算（触らない）'!$AS34:$EP34,MIN(('計算（触らない）'!$V34+9),101)+1))*'計算（触らない）'!$N34,6)+'計算（触らない）'!$B$4)))</f>
        <v/>
      </c>
      <c r="N34" s="68" t="n"/>
      <c r="O34" s="52">
        <f>IF('計算（触らない）'!$U34=0,"",IF(('計算（触らない）'!$V34+0)&lt;0,"",IF(AND('計算（触らない）'!$F34&lt;=2,('計算（触らない）'!$V34+0)&gt;'計算（触らない）'!$R34),0,INDEX('計算（触らない）'!$AS34:$EP34,MIN(('計算（触らない）'!$V34+0),101)+1))))</f>
        <v/>
      </c>
      <c r="P34" s="52">
        <f>IF('計算（触らない）'!$U34=0,"",IF(('計算（触らない）'!$V34+1)&lt;0,"",IF(AND('計算（触らない）'!$F34&lt;=2,('計算（触らない）'!$V34+1)&gt;'計算（触らない）'!$R34),0,INDEX('計算（触らない）'!$AS34:$EP34,MIN(('計算（触らない）'!$V34+1),101)+1))))</f>
        <v/>
      </c>
      <c r="Q34" s="52">
        <f>IF('計算（触らない）'!$U34=0,"",IF(('計算（触らない）'!$V34+2)&lt;0,"",IF(AND('計算（触らない）'!$F34&lt;=2,('計算（触らない）'!$V34+2)&gt;'計算（触らない）'!$R34),0,INDEX('計算（触らない）'!$AS34:$EP34,MIN(('計算（触らない）'!$V34+2),101)+1))))</f>
        <v/>
      </c>
      <c r="R34" s="52">
        <f>IF('計算（触らない）'!$U34=0,"",IF(('計算（触らない）'!$V34+3)&lt;0,"",IF(AND('計算（触らない）'!$F34&lt;=2,('計算（触らない）'!$V34+3)&gt;'計算（触らない）'!$R34),0,INDEX('計算（触らない）'!$AS34:$EP34,MIN(('計算（触らない）'!$V34+3),101)+1))))</f>
        <v/>
      </c>
      <c r="S34" s="52">
        <f>IF('計算（触らない）'!$U34=0,"",IF(('計算（触らない）'!$V34+4)&lt;0,"",IF(AND('計算（触らない）'!$F34&lt;=2,('計算（触らない）'!$V34+4)&gt;'計算（触らない）'!$R34),0,INDEX('計算（触らない）'!$AS34:$EP34,MIN(('計算（触らない）'!$V34+4),101)+1))))</f>
        <v/>
      </c>
      <c r="T34" s="52">
        <f>IF('計算（触らない）'!$U34=0,"",IF(('計算（触らない）'!$V34+5)&lt;0,"",IF(AND('計算（触らない）'!$F34&lt;=2,('計算（触らない）'!$V34+5)&gt;'計算（触らない）'!$R34),0,INDEX('計算（触らない）'!$AS34:$EP34,MIN(('計算（触らない）'!$V34+5),101)+1))))</f>
        <v/>
      </c>
      <c r="U34" s="52">
        <f>IF('計算（触らない）'!$U34=0,"",IF(('計算（触らない）'!$V34+6)&lt;0,"",IF(AND('計算（触らない）'!$F34&lt;=2,('計算（触らない）'!$V34+6)&gt;'計算（触らない）'!$R34),0,INDEX('計算（触らない）'!$AS34:$EP34,MIN(('計算（触らない）'!$V34+6),101)+1))))</f>
        <v/>
      </c>
      <c r="V34" s="52">
        <f>IF('計算（触らない）'!$U34=0,"",IF(('計算（触らない）'!$V34+7)&lt;0,"",IF(AND('計算（触らない）'!$F34&lt;=2,('計算（触らない）'!$V34+7)&gt;'計算（触らない）'!$R34),0,INDEX('計算（触らない）'!$AS34:$EP34,MIN(('計算（触らない）'!$V34+7),101)+1))))</f>
        <v/>
      </c>
      <c r="W34" s="52">
        <f>IF('計算（触らない）'!$U34=0,"",IF(('計算（触らない）'!$V34+8)&lt;0,"",IF(AND('計算（触らない）'!$F34&lt;=2,('計算（触らない）'!$V34+8)&gt;'計算（触らない）'!$R34),0,INDEX('計算（触らない）'!$AS34:$EP34,MIN(('計算（触らない）'!$V34+8),101)+1))))</f>
        <v/>
      </c>
      <c r="X34" s="52">
        <f>IF('計算（触らない）'!$U34=0,"",IF(('計算（触らない）'!$V34+9)&lt;0,"",IF(AND('計算（触らない）'!$F34&lt;=2,('計算（触らない）'!$V34+9)&gt;'計算（触らない）'!$R34),0,INDEX('計算（触らない）'!$AS34:$EP34,MIN(('計算（触らない）'!$V34+9),101)+1))))</f>
        <v/>
      </c>
    </row>
    <row r="35" ht="17" customHeight="1">
      <c r="A35" s="21" t="n">
        <v>30</v>
      </c>
      <c r="B35" s="38">
        <f>IF('計算（触らない）'!$B35=0,"",'固定資産台帳'!$B35&amp;"")</f>
        <v/>
      </c>
      <c r="C35" s="38">
        <f>IF('計算（触らない）'!$B35=0,"",'固定資産台帳'!$H35&amp;"")</f>
        <v/>
      </c>
      <c r="D35" s="52">
        <f>IF('計算（触らない）'!$U35=0,"",IF(('計算（触らない）'!$V35+0)&lt;0,"",INT(ROUND((IF(('計算（触らない）'!$V35+0)=0,'計算（触らない）'!$C35,INDEX('計算（触らない）'!$AS35:$EP35,MIN(('計算（触らない）'!$V35+0),102)))-INDEX('計算（触らない）'!$AS35:$EP35,MIN(('計算（触らない）'!$V35+0),101)+1))*'計算（触らない）'!$N35,6)+'計算（触らない）'!$B$4)))</f>
        <v/>
      </c>
      <c r="E35" s="52">
        <f>IF('計算（触らない）'!$U35=0,"",IF(('計算（触らない）'!$V35+1)&lt;0,"",INT(ROUND((IF(('計算（触らない）'!$V35+1)=0,'計算（触らない）'!$C35,INDEX('計算（触らない）'!$AS35:$EP35,MIN(('計算（触らない）'!$V35+1),102)))-INDEX('計算（触らない）'!$AS35:$EP35,MIN(('計算（触らない）'!$V35+1),101)+1))*'計算（触らない）'!$N35,6)+'計算（触らない）'!$B$4)))</f>
        <v/>
      </c>
      <c r="F35" s="52">
        <f>IF('計算（触らない）'!$U35=0,"",IF(('計算（触らない）'!$V35+2)&lt;0,"",INT(ROUND((IF(('計算（触らない）'!$V35+2)=0,'計算（触らない）'!$C35,INDEX('計算（触らない）'!$AS35:$EP35,MIN(('計算（触らない）'!$V35+2),102)))-INDEX('計算（触らない）'!$AS35:$EP35,MIN(('計算（触らない）'!$V35+2),101)+1))*'計算（触らない）'!$N35,6)+'計算（触らない）'!$B$4)))</f>
        <v/>
      </c>
      <c r="G35" s="52">
        <f>IF('計算（触らない）'!$U35=0,"",IF(('計算（触らない）'!$V35+3)&lt;0,"",INT(ROUND((IF(('計算（触らない）'!$V35+3)=0,'計算（触らない）'!$C35,INDEX('計算（触らない）'!$AS35:$EP35,MIN(('計算（触らない）'!$V35+3),102)))-INDEX('計算（触らない）'!$AS35:$EP35,MIN(('計算（触らない）'!$V35+3),101)+1))*'計算（触らない）'!$N35,6)+'計算（触らない）'!$B$4)))</f>
        <v/>
      </c>
      <c r="H35" s="52">
        <f>IF('計算（触らない）'!$U35=0,"",IF(('計算（触らない）'!$V35+4)&lt;0,"",INT(ROUND((IF(('計算（触らない）'!$V35+4)=0,'計算（触らない）'!$C35,INDEX('計算（触らない）'!$AS35:$EP35,MIN(('計算（触らない）'!$V35+4),102)))-INDEX('計算（触らない）'!$AS35:$EP35,MIN(('計算（触らない）'!$V35+4),101)+1))*'計算（触らない）'!$N35,6)+'計算（触らない）'!$B$4)))</f>
        <v/>
      </c>
      <c r="I35" s="52">
        <f>IF('計算（触らない）'!$U35=0,"",IF(('計算（触らない）'!$V35+5)&lt;0,"",INT(ROUND((IF(('計算（触らない）'!$V35+5)=0,'計算（触らない）'!$C35,INDEX('計算（触らない）'!$AS35:$EP35,MIN(('計算（触らない）'!$V35+5),102)))-INDEX('計算（触らない）'!$AS35:$EP35,MIN(('計算（触らない）'!$V35+5),101)+1))*'計算（触らない）'!$N35,6)+'計算（触らない）'!$B$4)))</f>
        <v/>
      </c>
      <c r="J35" s="52">
        <f>IF('計算（触らない）'!$U35=0,"",IF(('計算（触らない）'!$V35+6)&lt;0,"",INT(ROUND((IF(('計算（触らない）'!$V35+6)=0,'計算（触らない）'!$C35,INDEX('計算（触らない）'!$AS35:$EP35,MIN(('計算（触らない）'!$V35+6),102)))-INDEX('計算（触らない）'!$AS35:$EP35,MIN(('計算（触らない）'!$V35+6),101)+1))*'計算（触らない）'!$N35,6)+'計算（触らない）'!$B$4)))</f>
        <v/>
      </c>
      <c r="K35" s="52">
        <f>IF('計算（触らない）'!$U35=0,"",IF(('計算（触らない）'!$V35+7)&lt;0,"",INT(ROUND((IF(('計算（触らない）'!$V35+7)=0,'計算（触らない）'!$C35,INDEX('計算（触らない）'!$AS35:$EP35,MIN(('計算（触らない）'!$V35+7),102)))-INDEX('計算（触らない）'!$AS35:$EP35,MIN(('計算（触らない）'!$V35+7),101)+1))*'計算（触らない）'!$N35,6)+'計算（触らない）'!$B$4)))</f>
        <v/>
      </c>
      <c r="L35" s="52">
        <f>IF('計算（触らない）'!$U35=0,"",IF(('計算（触らない）'!$V35+8)&lt;0,"",INT(ROUND((IF(('計算（触らない）'!$V35+8)=0,'計算（触らない）'!$C35,INDEX('計算（触らない）'!$AS35:$EP35,MIN(('計算（触らない）'!$V35+8),102)))-INDEX('計算（触らない）'!$AS35:$EP35,MIN(('計算（触らない）'!$V35+8),101)+1))*'計算（触らない）'!$N35,6)+'計算（触らない）'!$B$4)))</f>
        <v/>
      </c>
      <c r="M35" s="52">
        <f>IF('計算（触らない）'!$U35=0,"",IF(('計算（触らない）'!$V35+9)&lt;0,"",INT(ROUND((IF(('計算（触らない）'!$V35+9)=0,'計算（触らない）'!$C35,INDEX('計算（触らない）'!$AS35:$EP35,MIN(('計算（触らない）'!$V35+9),102)))-INDEX('計算（触らない）'!$AS35:$EP35,MIN(('計算（触らない）'!$V35+9),101)+1))*'計算（触らない）'!$N35,6)+'計算（触らない）'!$B$4)))</f>
        <v/>
      </c>
      <c r="N35" s="68" t="n"/>
      <c r="O35" s="52">
        <f>IF('計算（触らない）'!$U35=0,"",IF(('計算（触らない）'!$V35+0)&lt;0,"",IF(AND('計算（触らない）'!$F35&lt;=2,('計算（触らない）'!$V35+0)&gt;'計算（触らない）'!$R35),0,INDEX('計算（触らない）'!$AS35:$EP35,MIN(('計算（触らない）'!$V35+0),101)+1))))</f>
        <v/>
      </c>
      <c r="P35" s="52">
        <f>IF('計算（触らない）'!$U35=0,"",IF(('計算（触らない）'!$V35+1)&lt;0,"",IF(AND('計算（触らない）'!$F35&lt;=2,('計算（触らない）'!$V35+1)&gt;'計算（触らない）'!$R35),0,INDEX('計算（触らない）'!$AS35:$EP35,MIN(('計算（触らない）'!$V35+1),101)+1))))</f>
        <v/>
      </c>
      <c r="Q35" s="52">
        <f>IF('計算（触らない）'!$U35=0,"",IF(('計算（触らない）'!$V35+2)&lt;0,"",IF(AND('計算（触らない）'!$F35&lt;=2,('計算（触らない）'!$V35+2)&gt;'計算（触らない）'!$R35),0,INDEX('計算（触らない）'!$AS35:$EP35,MIN(('計算（触らない）'!$V35+2),101)+1))))</f>
        <v/>
      </c>
      <c r="R35" s="52">
        <f>IF('計算（触らない）'!$U35=0,"",IF(('計算（触らない）'!$V35+3)&lt;0,"",IF(AND('計算（触らない）'!$F35&lt;=2,('計算（触らない）'!$V35+3)&gt;'計算（触らない）'!$R35),0,INDEX('計算（触らない）'!$AS35:$EP35,MIN(('計算（触らない）'!$V35+3),101)+1))))</f>
        <v/>
      </c>
      <c r="S35" s="52">
        <f>IF('計算（触らない）'!$U35=0,"",IF(('計算（触らない）'!$V35+4)&lt;0,"",IF(AND('計算（触らない）'!$F35&lt;=2,('計算（触らない）'!$V35+4)&gt;'計算（触らない）'!$R35),0,INDEX('計算（触らない）'!$AS35:$EP35,MIN(('計算（触らない）'!$V35+4),101)+1))))</f>
        <v/>
      </c>
      <c r="T35" s="52">
        <f>IF('計算（触らない）'!$U35=0,"",IF(('計算（触らない）'!$V35+5)&lt;0,"",IF(AND('計算（触らない）'!$F35&lt;=2,('計算（触らない）'!$V35+5)&gt;'計算（触らない）'!$R35),0,INDEX('計算（触らない）'!$AS35:$EP35,MIN(('計算（触らない）'!$V35+5),101)+1))))</f>
        <v/>
      </c>
      <c r="U35" s="52">
        <f>IF('計算（触らない）'!$U35=0,"",IF(('計算（触らない）'!$V35+6)&lt;0,"",IF(AND('計算（触らない）'!$F35&lt;=2,('計算（触らない）'!$V35+6)&gt;'計算（触らない）'!$R35),0,INDEX('計算（触らない）'!$AS35:$EP35,MIN(('計算（触らない）'!$V35+6),101)+1))))</f>
        <v/>
      </c>
      <c r="V35" s="52">
        <f>IF('計算（触らない）'!$U35=0,"",IF(('計算（触らない）'!$V35+7)&lt;0,"",IF(AND('計算（触らない）'!$F35&lt;=2,('計算（触らない）'!$V35+7)&gt;'計算（触らない）'!$R35),0,INDEX('計算（触らない）'!$AS35:$EP35,MIN(('計算（触らない）'!$V35+7),101)+1))))</f>
        <v/>
      </c>
      <c r="W35" s="52">
        <f>IF('計算（触らない）'!$U35=0,"",IF(('計算（触らない）'!$V35+8)&lt;0,"",IF(AND('計算（触らない）'!$F35&lt;=2,('計算（触らない）'!$V35+8)&gt;'計算（触らない）'!$R35),0,INDEX('計算（触らない）'!$AS35:$EP35,MIN(('計算（触らない）'!$V35+8),101)+1))))</f>
        <v/>
      </c>
      <c r="X35" s="52">
        <f>IF('計算（触らない）'!$U35=0,"",IF(('計算（触らない）'!$V35+9)&lt;0,"",IF(AND('計算（触らない）'!$F35&lt;=2,('計算（触らない）'!$V35+9)&gt;'計算（触らない）'!$R35),0,INDEX('計算（触らない）'!$AS35:$EP35,MIN(('計算（触らない）'!$V35+9),101)+1))))</f>
        <v/>
      </c>
    </row>
    <row r="36" ht="17" customHeight="1">
      <c r="A36" s="21" t="n">
        <v>31</v>
      </c>
      <c r="B36" s="38">
        <f>IF('計算（触らない）'!$B36=0,"",'固定資産台帳'!$B36&amp;"")</f>
        <v/>
      </c>
      <c r="C36" s="38">
        <f>IF('計算（触らない）'!$B36=0,"",'固定資産台帳'!$H36&amp;"")</f>
        <v/>
      </c>
      <c r="D36" s="52">
        <f>IF('計算（触らない）'!$U36=0,"",IF(('計算（触らない）'!$V36+0)&lt;0,"",INT(ROUND((IF(('計算（触らない）'!$V36+0)=0,'計算（触らない）'!$C36,INDEX('計算（触らない）'!$AS36:$EP36,MIN(('計算（触らない）'!$V36+0),102)))-INDEX('計算（触らない）'!$AS36:$EP36,MIN(('計算（触らない）'!$V36+0),101)+1))*'計算（触らない）'!$N36,6)+'計算（触らない）'!$B$4)))</f>
        <v/>
      </c>
      <c r="E36" s="52">
        <f>IF('計算（触らない）'!$U36=0,"",IF(('計算（触らない）'!$V36+1)&lt;0,"",INT(ROUND((IF(('計算（触らない）'!$V36+1)=0,'計算（触らない）'!$C36,INDEX('計算（触らない）'!$AS36:$EP36,MIN(('計算（触らない）'!$V36+1),102)))-INDEX('計算（触らない）'!$AS36:$EP36,MIN(('計算（触らない）'!$V36+1),101)+1))*'計算（触らない）'!$N36,6)+'計算（触らない）'!$B$4)))</f>
        <v/>
      </c>
      <c r="F36" s="52">
        <f>IF('計算（触らない）'!$U36=0,"",IF(('計算（触らない）'!$V36+2)&lt;0,"",INT(ROUND((IF(('計算（触らない）'!$V36+2)=0,'計算（触らない）'!$C36,INDEX('計算（触らない）'!$AS36:$EP36,MIN(('計算（触らない）'!$V36+2),102)))-INDEX('計算（触らない）'!$AS36:$EP36,MIN(('計算（触らない）'!$V36+2),101)+1))*'計算（触らない）'!$N36,6)+'計算（触らない）'!$B$4)))</f>
        <v/>
      </c>
      <c r="G36" s="52">
        <f>IF('計算（触らない）'!$U36=0,"",IF(('計算（触らない）'!$V36+3)&lt;0,"",INT(ROUND((IF(('計算（触らない）'!$V36+3)=0,'計算（触らない）'!$C36,INDEX('計算（触らない）'!$AS36:$EP36,MIN(('計算（触らない）'!$V36+3),102)))-INDEX('計算（触らない）'!$AS36:$EP36,MIN(('計算（触らない）'!$V36+3),101)+1))*'計算（触らない）'!$N36,6)+'計算（触らない）'!$B$4)))</f>
        <v/>
      </c>
      <c r="H36" s="52">
        <f>IF('計算（触らない）'!$U36=0,"",IF(('計算（触らない）'!$V36+4)&lt;0,"",INT(ROUND((IF(('計算（触らない）'!$V36+4)=0,'計算（触らない）'!$C36,INDEX('計算（触らない）'!$AS36:$EP36,MIN(('計算（触らない）'!$V36+4),102)))-INDEX('計算（触らない）'!$AS36:$EP36,MIN(('計算（触らない）'!$V36+4),101)+1))*'計算（触らない）'!$N36,6)+'計算（触らない）'!$B$4)))</f>
        <v/>
      </c>
      <c r="I36" s="52">
        <f>IF('計算（触らない）'!$U36=0,"",IF(('計算（触らない）'!$V36+5)&lt;0,"",INT(ROUND((IF(('計算（触らない）'!$V36+5)=0,'計算（触らない）'!$C36,INDEX('計算（触らない）'!$AS36:$EP36,MIN(('計算（触らない）'!$V36+5),102)))-INDEX('計算（触らない）'!$AS36:$EP36,MIN(('計算（触らない）'!$V36+5),101)+1))*'計算（触らない）'!$N36,6)+'計算（触らない）'!$B$4)))</f>
        <v/>
      </c>
      <c r="J36" s="52">
        <f>IF('計算（触らない）'!$U36=0,"",IF(('計算（触らない）'!$V36+6)&lt;0,"",INT(ROUND((IF(('計算（触らない）'!$V36+6)=0,'計算（触らない）'!$C36,INDEX('計算（触らない）'!$AS36:$EP36,MIN(('計算（触らない）'!$V36+6),102)))-INDEX('計算（触らない）'!$AS36:$EP36,MIN(('計算（触らない）'!$V36+6),101)+1))*'計算（触らない）'!$N36,6)+'計算（触らない）'!$B$4)))</f>
        <v/>
      </c>
      <c r="K36" s="52">
        <f>IF('計算（触らない）'!$U36=0,"",IF(('計算（触らない）'!$V36+7)&lt;0,"",INT(ROUND((IF(('計算（触らない）'!$V36+7)=0,'計算（触らない）'!$C36,INDEX('計算（触らない）'!$AS36:$EP36,MIN(('計算（触らない）'!$V36+7),102)))-INDEX('計算（触らない）'!$AS36:$EP36,MIN(('計算（触らない）'!$V36+7),101)+1))*'計算（触らない）'!$N36,6)+'計算（触らない）'!$B$4)))</f>
        <v/>
      </c>
      <c r="L36" s="52">
        <f>IF('計算（触らない）'!$U36=0,"",IF(('計算（触らない）'!$V36+8)&lt;0,"",INT(ROUND((IF(('計算（触らない）'!$V36+8)=0,'計算（触らない）'!$C36,INDEX('計算（触らない）'!$AS36:$EP36,MIN(('計算（触らない）'!$V36+8),102)))-INDEX('計算（触らない）'!$AS36:$EP36,MIN(('計算（触らない）'!$V36+8),101)+1))*'計算（触らない）'!$N36,6)+'計算（触らない）'!$B$4)))</f>
        <v/>
      </c>
      <c r="M36" s="52">
        <f>IF('計算（触らない）'!$U36=0,"",IF(('計算（触らない）'!$V36+9)&lt;0,"",INT(ROUND((IF(('計算（触らない）'!$V36+9)=0,'計算（触らない）'!$C36,INDEX('計算（触らない）'!$AS36:$EP36,MIN(('計算（触らない）'!$V36+9),102)))-INDEX('計算（触らない）'!$AS36:$EP36,MIN(('計算（触らない）'!$V36+9),101)+1))*'計算（触らない）'!$N36,6)+'計算（触らない）'!$B$4)))</f>
        <v/>
      </c>
      <c r="N36" s="68" t="n"/>
      <c r="O36" s="52">
        <f>IF('計算（触らない）'!$U36=0,"",IF(('計算（触らない）'!$V36+0)&lt;0,"",IF(AND('計算（触らない）'!$F36&lt;=2,('計算（触らない）'!$V36+0)&gt;'計算（触らない）'!$R36),0,INDEX('計算（触らない）'!$AS36:$EP36,MIN(('計算（触らない）'!$V36+0),101)+1))))</f>
        <v/>
      </c>
      <c r="P36" s="52">
        <f>IF('計算（触らない）'!$U36=0,"",IF(('計算（触らない）'!$V36+1)&lt;0,"",IF(AND('計算（触らない）'!$F36&lt;=2,('計算（触らない）'!$V36+1)&gt;'計算（触らない）'!$R36),0,INDEX('計算（触らない）'!$AS36:$EP36,MIN(('計算（触らない）'!$V36+1),101)+1))))</f>
        <v/>
      </c>
      <c r="Q36" s="52">
        <f>IF('計算（触らない）'!$U36=0,"",IF(('計算（触らない）'!$V36+2)&lt;0,"",IF(AND('計算（触らない）'!$F36&lt;=2,('計算（触らない）'!$V36+2)&gt;'計算（触らない）'!$R36),0,INDEX('計算（触らない）'!$AS36:$EP36,MIN(('計算（触らない）'!$V36+2),101)+1))))</f>
        <v/>
      </c>
      <c r="R36" s="52">
        <f>IF('計算（触らない）'!$U36=0,"",IF(('計算（触らない）'!$V36+3)&lt;0,"",IF(AND('計算（触らない）'!$F36&lt;=2,('計算（触らない）'!$V36+3)&gt;'計算（触らない）'!$R36),0,INDEX('計算（触らない）'!$AS36:$EP36,MIN(('計算（触らない）'!$V36+3),101)+1))))</f>
        <v/>
      </c>
      <c r="S36" s="52">
        <f>IF('計算（触らない）'!$U36=0,"",IF(('計算（触らない）'!$V36+4)&lt;0,"",IF(AND('計算（触らない）'!$F36&lt;=2,('計算（触らない）'!$V36+4)&gt;'計算（触らない）'!$R36),0,INDEX('計算（触らない）'!$AS36:$EP36,MIN(('計算（触らない）'!$V36+4),101)+1))))</f>
        <v/>
      </c>
      <c r="T36" s="52">
        <f>IF('計算（触らない）'!$U36=0,"",IF(('計算（触らない）'!$V36+5)&lt;0,"",IF(AND('計算（触らない）'!$F36&lt;=2,('計算（触らない）'!$V36+5)&gt;'計算（触らない）'!$R36),0,INDEX('計算（触らない）'!$AS36:$EP36,MIN(('計算（触らない）'!$V36+5),101)+1))))</f>
        <v/>
      </c>
      <c r="U36" s="52">
        <f>IF('計算（触らない）'!$U36=0,"",IF(('計算（触らない）'!$V36+6)&lt;0,"",IF(AND('計算（触らない）'!$F36&lt;=2,('計算（触らない）'!$V36+6)&gt;'計算（触らない）'!$R36),0,INDEX('計算（触らない）'!$AS36:$EP36,MIN(('計算（触らない）'!$V36+6),101)+1))))</f>
        <v/>
      </c>
      <c r="V36" s="52">
        <f>IF('計算（触らない）'!$U36=0,"",IF(('計算（触らない）'!$V36+7)&lt;0,"",IF(AND('計算（触らない）'!$F36&lt;=2,('計算（触らない）'!$V36+7)&gt;'計算（触らない）'!$R36),0,INDEX('計算（触らない）'!$AS36:$EP36,MIN(('計算（触らない）'!$V36+7),101)+1))))</f>
        <v/>
      </c>
      <c r="W36" s="52">
        <f>IF('計算（触らない）'!$U36=0,"",IF(('計算（触らない）'!$V36+8)&lt;0,"",IF(AND('計算（触らない）'!$F36&lt;=2,('計算（触らない）'!$V36+8)&gt;'計算（触らない）'!$R36),0,INDEX('計算（触らない）'!$AS36:$EP36,MIN(('計算（触らない）'!$V36+8),101)+1))))</f>
        <v/>
      </c>
      <c r="X36" s="52">
        <f>IF('計算（触らない）'!$U36=0,"",IF(('計算（触らない）'!$V36+9)&lt;0,"",IF(AND('計算（触らない）'!$F36&lt;=2,('計算（触らない）'!$V36+9)&gt;'計算（触らない）'!$R36),0,INDEX('計算（触らない）'!$AS36:$EP36,MIN(('計算（触らない）'!$V36+9),101)+1))))</f>
        <v/>
      </c>
    </row>
    <row r="37" ht="17" customHeight="1">
      <c r="A37" s="21" t="n">
        <v>32</v>
      </c>
      <c r="B37" s="38">
        <f>IF('計算（触らない）'!$B37=0,"",'固定資産台帳'!$B37&amp;"")</f>
        <v/>
      </c>
      <c r="C37" s="38">
        <f>IF('計算（触らない）'!$B37=0,"",'固定資産台帳'!$H37&amp;"")</f>
        <v/>
      </c>
      <c r="D37" s="52">
        <f>IF('計算（触らない）'!$U37=0,"",IF(('計算（触らない）'!$V37+0)&lt;0,"",INT(ROUND((IF(('計算（触らない）'!$V37+0)=0,'計算（触らない）'!$C37,INDEX('計算（触らない）'!$AS37:$EP37,MIN(('計算（触らない）'!$V37+0),102)))-INDEX('計算（触らない）'!$AS37:$EP37,MIN(('計算（触らない）'!$V37+0),101)+1))*'計算（触らない）'!$N37,6)+'計算（触らない）'!$B$4)))</f>
        <v/>
      </c>
      <c r="E37" s="52">
        <f>IF('計算（触らない）'!$U37=0,"",IF(('計算（触らない）'!$V37+1)&lt;0,"",INT(ROUND((IF(('計算（触らない）'!$V37+1)=0,'計算（触らない）'!$C37,INDEX('計算（触らない）'!$AS37:$EP37,MIN(('計算（触らない）'!$V37+1),102)))-INDEX('計算（触らない）'!$AS37:$EP37,MIN(('計算（触らない）'!$V37+1),101)+1))*'計算（触らない）'!$N37,6)+'計算（触らない）'!$B$4)))</f>
        <v/>
      </c>
      <c r="F37" s="52">
        <f>IF('計算（触らない）'!$U37=0,"",IF(('計算（触らない）'!$V37+2)&lt;0,"",INT(ROUND((IF(('計算（触らない）'!$V37+2)=0,'計算（触らない）'!$C37,INDEX('計算（触らない）'!$AS37:$EP37,MIN(('計算（触らない）'!$V37+2),102)))-INDEX('計算（触らない）'!$AS37:$EP37,MIN(('計算（触らない）'!$V37+2),101)+1))*'計算（触らない）'!$N37,6)+'計算（触らない）'!$B$4)))</f>
        <v/>
      </c>
      <c r="G37" s="52">
        <f>IF('計算（触らない）'!$U37=0,"",IF(('計算（触らない）'!$V37+3)&lt;0,"",INT(ROUND((IF(('計算（触らない）'!$V37+3)=0,'計算（触らない）'!$C37,INDEX('計算（触らない）'!$AS37:$EP37,MIN(('計算（触らない）'!$V37+3),102)))-INDEX('計算（触らない）'!$AS37:$EP37,MIN(('計算（触らない）'!$V37+3),101)+1))*'計算（触らない）'!$N37,6)+'計算（触らない）'!$B$4)))</f>
        <v/>
      </c>
      <c r="H37" s="52">
        <f>IF('計算（触らない）'!$U37=0,"",IF(('計算（触らない）'!$V37+4)&lt;0,"",INT(ROUND((IF(('計算（触らない）'!$V37+4)=0,'計算（触らない）'!$C37,INDEX('計算（触らない）'!$AS37:$EP37,MIN(('計算（触らない）'!$V37+4),102)))-INDEX('計算（触らない）'!$AS37:$EP37,MIN(('計算（触らない）'!$V37+4),101)+1))*'計算（触らない）'!$N37,6)+'計算（触らない）'!$B$4)))</f>
        <v/>
      </c>
      <c r="I37" s="52">
        <f>IF('計算（触らない）'!$U37=0,"",IF(('計算（触らない）'!$V37+5)&lt;0,"",INT(ROUND((IF(('計算（触らない）'!$V37+5)=0,'計算（触らない）'!$C37,INDEX('計算（触らない）'!$AS37:$EP37,MIN(('計算（触らない）'!$V37+5),102)))-INDEX('計算（触らない）'!$AS37:$EP37,MIN(('計算（触らない）'!$V37+5),101)+1))*'計算（触らない）'!$N37,6)+'計算（触らない）'!$B$4)))</f>
        <v/>
      </c>
      <c r="J37" s="52">
        <f>IF('計算（触らない）'!$U37=0,"",IF(('計算（触らない）'!$V37+6)&lt;0,"",INT(ROUND((IF(('計算（触らない）'!$V37+6)=0,'計算（触らない）'!$C37,INDEX('計算（触らない）'!$AS37:$EP37,MIN(('計算（触らない）'!$V37+6),102)))-INDEX('計算（触らない）'!$AS37:$EP37,MIN(('計算（触らない）'!$V37+6),101)+1))*'計算（触らない）'!$N37,6)+'計算（触らない）'!$B$4)))</f>
        <v/>
      </c>
      <c r="K37" s="52">
        <f>IF('計算（触らない）'!$U37=0,"",IF(('計算（触らない）'!$V37+7)&lt;0,"",INT(ROUND((IF(('計算（触らない）'!$V37+7)=0,'計算（触らない）'!$C37,INDEX('計算（触らない）'!$AS37:$EP37,MIN(('計算（触らない）'!$V37+7),102)))-INDEX('計算（触らない）'!$AS37:$EP37,MIN(('計算（触らない）'!$V37+7),101)+1))*'計算（触らない）'!$N37,6)+'計算（触らない）'!$B$4)))</f>
        <v/>
      </c>
      <c r="L37" s="52">
        <f>IF('計算（触らない）'!$U37=0,"",IF(('計算（触らない）'!$V37+8)&lt;0,"",INT(ROUND((IF(('計算（触らない）'!$V37+8)=0,'計算（触らない）'!$C37,INDEX('計算（触らない）'!$AS37:$EP37,MIN(('計算（触らない）'!$V37+8),102)))-INDEX('計算（触らない）'!$AS37:$EP37,MIN(('計算（触らない）'!$V37+8),101)+1))*'計算（触らない）'!$N37,6)+'計算（触らない）'!$B$4)))</f>
        <v/>
      </c>
      <c r="M37" s="52">
        <f>IF('計算（触らない）'!$U37=0,"",IF(('計算（触らない）'!$V37+9)&lt;0,"",INT(ROUND((IF(('計算（触らない）'!$V37+9)=0,'計算（触らない）'!$C37,INDEX('計算（触らない）'!$AS37:$EP37,MIN(('計算（触らない）'!$V37+9),102)))-INDEX('計算（触らない）'!$AS37:$EP37,MIN(('計算（触らない）'!$V37+9),101)+1))*'計算（触らない）'!$N37,6)+'計算（触らない）'!$B$4)))</f>
        <v/>
      </c>
      <c r="N37" s="68" t="n"/>
      <c r="O37" s="52">
        <f>IF('計算（触らない）'!$U37=0,"",IF(('計算（触らない）'!$V37+0)&lt;0,"",IF(AND('計算（触らない）'!$F37&lt;=2,('計算（触らない）'!$V37+0)&gt;'計算（触らない）'!$R37),0,INDEX('計算（触らない）'!$AS37:$EP37,MIN(('計算（触らない）'!$V37+0),101)+1))))</f>
        <v/>
      </c>
      <c r="P37" s="52">
        <f>IF('計算（触らない）'!$U37=0,"",IF(('計算（触らない）'!$V37+1)&lt;0,"",IF(AND('計算（触らない）'!$F37&lt;=2,('計算（触らない）'!$V37+1)&gt;'計算（触らない）'!$R37),0,INDEX('計算（触らない）'!$AS37:$EP37,MIN(('計算（触らない）'!$V37+1),101)+1))))</f>
        <v/>
      </c>
      <c r="Q37" s="52">
        <f>IF('計算（触らない）'!$U37=0,"",IF(('計算（触らない）'!$V37+2)&lt;0,"",IF(AND('計算（触らない）'!$F37&lt;=2,('計算（触らない）'!$V37+2)&gt;'計算（触らない）'!$R37),0,INDEX('計算（触らない）'!$AS37:$EP37,MIN(('計算（触らない）'!$V37+2),101)+1))))</f>
        <v/>
      </c>
      <c r="R37" s="52">
        <f>IF('計算（触らない）'!$U37=0,"",IF(('計算（触らない）'!$V37+3)&lt;0,"",IF(AND('計算（触らない）'!$F37&lt;=2,('計算（触らない）'!$V37+3)&gt;'計算（触らない）'!$R37),0,INDEX('計算（触らない）'!$AS37:$EP37,MIN(('計算（触らない）'!$V37+3),101)+1))))</f>
        <v/>
      </c>
      <c r="S37" s="52">
        <f>IF('計算（触らない）'!$U37=0,"",IF(('計算（触らない）'!$V37+4)&lt;0,"",IF(AND('計算（触らない）'!$F37&lt;=2,('計算（触らない）'!$V37+4)&gt;'計算（触らない）'!$R37),0,INDEX('計算（触らない）'!$AS37:$EP37,MIN(('計算（触らない）'!$V37+4),101)+1))))</f>
        <v/>
      </c>
      <c r="T37" s="52">
        <f>IF('計算（触らない）'!$U37=0,"",IF(('計算（触らない）'!$V37+5)&lt;0,"",IF(AND('計算（触らない）'!$F37&lt;=2,('計算（触らない）'!$V37+5)&gt;'計算（触らない）'!$R37),0,INDEX('計算（触らない）'!$AS37:$EP37,MIN(('計算（触らない）'!$V37+5),101)+1))))</f>
        <v/>
      </c>
      <c r="U37" s="52">
        <f>IF('計算（触らない）'!$U37=0,"",IF(('計算（触らない）'!$V37+6)&lt;0,"",IF(AND('計算（触らない）'!$F37&lt;=2,('計算（触らない）'!$V37+6)&gt;'計算（触らない）'!$R37),0,INDEX('計算（触らない）'!$AS37:$EP37,MIN(('計算（触らない）'!$V37+6),101)+1))))</f>
        <v/>
      </c>
      <c r="V37" s="52">
        <f>IF('計算（触らない）'!$U37=0,"",IF(('計算（触らない）'!$V37+7)&lt;0,"",IF(AND('計算（触らない）'!$F37&lt;=2,('計算（触らない）'!$V37+7)&gt;'計算（触らない）'!$R37),0,INDEX('計算（触らない）'!$AS37:$EP37,MIN(('計算（触らない）'!$V37+7),101)+1))))</f>
        <v/>
      </c>
      <c r="W37" s="52">
        <f>IF('計算（触らない）'!$U37=0,"",IF(('計算（触らない）'!$V37+8)&lt;0,"",IF(AND('計算（触らない）'!$F37&lt;=2,('計算（触らない）'!$V37+8)&gt;'計算（触らない）'!$R37),0,INDEX('計算（触らない）'!$AS37:$EP37,MIN(('計算（触らない）'!$V37+8),101)+1))))</f>
        <v/>
      </c>
      <c r="X37" s="52">
        <f>IF('計算（触らない）'!$U37=0,"",IF(('計算（触らない）'!$V37+9)&lt;0,"",IF(AND('計算（触らない）'!$F37&lt;=2,('計算（触らない）'!$V37+9)&gt;'計算（触らない）'!$R37),0,INDEX('計算（触らない）'!$AS37:$EP37,MIN(('計算（触らない）'!$V37+9),101)+1))))</f>
        <v/>
      </c>
    </row>
    <row r="38" ht="17" customHeight="1">
      <c r="A38" s="21" t="n">
        <v>33</v>
      </c>
      <c r="B38" s="38">
        <f>IF('計算（触らない）'!$B38=0,"",'固定資産台帳'!$B38&amp;"")</f>
        <v/>
      </c>
      <c r="C38" s="38">
        <f>IF('計算（触らない）'!$B38=0,"",'固定資産台帳'!$H38&amp;"")</f>
        <v/>
      </c>
      <c r="D38" s="52">
        <f>IF('計算（触らない）'!$U38=0,"",IF(('計算（触らない）'!$V38+0)&lt;0,"",INT(ROUND((IF(('計算（触らない）'!$V38+0)=0,'計算（触らない）'!$C38,INDEX('計算（触らない）'!$AS38:$EP38,MIN(('計算（触らない）'!$V38+0),102)))-INDEX('計算（触らない）'!$AS38:$EP38,MIN(('計算（触らない）'!$V38+0),101)+1))*'計算（触らない）'!$N38,6)+'計算（触らない）'!$B$4)))</f>
        <v/>
      </c>
      <c r="E38" s="52">
        <f>IF('計算（触らない）'!$U38=0,"",IF(('計算（触らない）'!$V38+1)&lt;0,"",INT(ROUND((IF(('計算（触らない）'!$V38+1)=0,'計算（触らない）'!$C38,INDEX('計算（触らない）'!$AS38:$EP38,MIN(('計算（触らない）'!$V38+1),102)))-INDEX('計算（触らない）'!$AS38:$EP38,MIN(('計算（触らない）'!$V38+1),101)+1))*'計算（触らない）'!$N38,6)+'計算（触らない）'!$B$4)))</f>
        <v/>
      </c>
      <c r="F38" s="52">
        <f>IF('計算（触らない）'!$U38=0,"",IF(('計算（触らない）'!$V38+2)&lt;0,"",INT(ROUND((IF(('計算（触らない）'!$V38+2)=0,'計算（触らない）'!$C38,INDEX('計算（触らない）'!$AS38:$EP38,MIN(('計算（触らない）'!$V38+2),102)))-INDEX('計算（触らない）'!$AS38:$EP38,MIN(('計算（触らない）'!$V38+2),101)+1))*'計算（触らない）'!$N38,6)+'計算（触らない）'!$B$4)))</f>
        <v/>
      </c>
      <c r="G38" s="52">
        <f>IF('計算（触らない）'!$U38=0,"",IF(('計算（触らない）'!$V38+3)&lt;0,"",INT(ROUND((IF(('計算（触らない）'!$V38+3)=0,'計算（触らない）'!$C38,INDEX('計算（触らない）'!$AS38:$EP38,MIN(('計算（触らない）'!$V38+3),102)))-INDEX('計算（触らない）'!$AS38:$EP38,MIN(('計算（触らない）'!$V38+3),101)+1))*'計算（触らない）'!$N38,6)+'計算（触らない）'!$B$4)))</f>
        <v/>
      </c>
      <c r="H38" s="52">
        <f>IF('計算（触らない）'!$U38=0,"",IF(('計算（触らない）'!$V38+4)&lt;0,"",INT(ROUND((IF(('計算（触らない）'!$V38+4)=0,'計算（触らない）'!$C38,INDEX('計算（触らない）'!$AS38:$EP38,MIN(('計算（触らない）'!$V38+4),102)))-INDEX('計算（触らない）'!$AS38:$EP38,MIN(('計算（触らない）'!$V38+4),101)+1))*'計算（触らない）'!$N38,6)+'計算（触らない）'!$B$4)))</f>
        <v/>
      </c>
      <c r="I38" s="52">
        <f>IF('計算（触らない）'!$U38=0,"",IF(('計算（触らない）'!$V38+5)&lt;0,"",INT(ROUND((IF(('計算（触らない）'!$V38+5)=0,'計算（触らない）'!$C38,INDEX('計算（触らない）'!$AS38:$EP38,MIN(('計算（触らない）'!$V38+5),102)))-INDEX('計算（触らない）'!$AS38:$EP38,MIN(('計算（触らない）'!$V38+5),101)+1))*'計算（触らない）'!$N38,6)+'計算（触らない）'!$B$4)))</f>
        <v/>
      </c>
      <c r="J38" s="52">
        <f>IF('計算（触らない）'!$U38=0,"",IF(('計算（触らない）'!$V38+6)&lt;0,"",INT(ROUND((IF(('計算（触らない）'!$V38+6)=0,'計算（触らない）'!$C38,INDEX('計算（触らない）'!$AS38:$EP38,MIN(('計算（触らない）'!$V38+6),102)))-INDEX('計算（触らない）'!$AS38:$EP38,MIN(('計算（触らない）'!$V38+6),101)+1))*'計算（触らない）'!$N38,6)+'計算（触らない）'!$B$4)))</f>
        <v/>
      </c>
      <c r="K38" s="52">
        <f>IF('計算（触らない）'!$U38=0,"",IF(('計算（触らない）'!$V38+7)&lt;0,"",INT(ROUND((IF(('計算（触らない）'!$V38+7)=0,'計算（触らない）'!$C38,INDEX('計算（触らない）'!$AS38:$EP38,MIN(('計算（触らない）'!$V38+7),102)))-INDEX('計算（触らない）'!$AS38:$EP38,MIN(('計算（触らない）'!$V38+7),101)+1))*'計算（触らない）'!$N38,6)+'計算（触らない）'!$B$4)))</f>
        <v/>
      </c>
      <c r="L38" s="52">
        <f>IF('計算（触らない）'!$U38=0,"",IF(('計算（触らない）'!$V38+8)&lt;0,"",INT(ROUND((IF(('計算（触らない）'!$V38+8)=0,'計算（触らない）'!$C38,INDEX('計算（触らない）'!$AS38:$EP38,MIN(('計算（触らない）'!$V38+8),102)))-INDEX('計算（触らない）'!$AS38:$EP38,MIN(('計算（触らない）'!$V38+8),101)+1))*'計算（触らない）'!$N38,6)+'計算（触らない）'!$B$4)))</f>
        <v/>
      </c>
      <c r="M38" s="52">
        <f>IF('計算（触らない）'!$U38=0,"",IF(('計算（触らない）'!$V38+9)&lt;0,"",INT(ROUND((IF(('計算（触らない）'!$V38+9)=0,'計算（触らない）'!$C38,INDEX('計算（触らない）'!$AS38:$EP38,MIN(('計算（触らない）'!$V38+9),102)))-INDEX('計算（触らない）'!$AS38:$EP38,MIN(('計算（触らない）'!$V38+9),101)+1))*'計算（触らない）'!$N38,6)+'計算（触らない）'!$B$4)))</f>
        <v/>
      </c>
      <c r="N38" s="68" t="n"/>
      <c r="O38" s="52">
        <f>IF('計算（触らない）'!$U38=0,"",IF(('計算（触らない）'!$V38+0)&lt;0,"",IF(AND('計算（触らない）'!$F38&lt;=2,('計算（触らない）'!$V38+0)&gt;'計算（触らない）'!$R38),0,INDEX('計算（触らない）'!$AS38:$EP38,MIN(('計算（触らない）'!$V38+0),101)+1))))</f>
        <v/>
      </c>
      <c r="P38" s="52">
        <f>IF('計算（触らない）'!$U38=0,"",IF(('計算（触らない）'!$V38+1)&lt;0,"",IF(AND('計算（触らない）'!$F38&lt;=2,('計算（触らない）'!$V38+1)&gt;'計算（触らない）'!$R38),0,INDEX('計算（触らない）'!$AS38:$EP38,MIN(('計算（触らない）'!$V38+1),101)+1))))</f>
        <v/>
      </c>
      <c r="Q38" s="52">
        <f>IF('計算（触らない）'!$U38=0,"",IF(('計算（触らない）'!$V38+2)&lt;0,"",IF(AND('計算（触らない）'!$F38&lt;=2,('計算（触らない）'!$V38+2)&gt;'計算（触らない）'!$R38),0,INDEX('計算（触らない）'!$AS38:$EP38,MIN(('計算（触らない）'!$V38+2),101)+1))))</f>
        <v/>
      </c>
      <c r="R38" s="52">
        <f>IF('計算（触らない）'!$U38=0,"",IF(('計算（触らない）'!$V38+3)&lt;0,"",IF(AND('計算（触らない）'!$F38&lt;=2,('計算（触らない）'!$V38+3)&gt;'計算（触らない）'!$R38),0,INDEX('計算（触らない）'!$AS38:$EP38,MIN(('計算（触らない）'!$V38+3),101)+1))))</f>
        <v/>
      </c>
      <c r="S38" s="52">
        <f>IF('計算（触らない）'!$U38=0,"",IF(('計算（触らない）'!$V38+4)&lt;0,"",IF(AND('計算（触らない）'!$F38&lt;=2,('計算（触らない）'!$V38+4)&gt;'計算（触らない）'!$R38),0,INDEX('計算（触らない）'!$AS38:$EP38,MIN(('計算（触らない）'!$V38+4),101)+1))))</f>
        <v/>
      </c>
      <c r="T38" s="52">
        <f>IF('計算（触らない）'!$U38=0,"",IF(('計算（触らない）'!$V38+5)&lt;0,"",IF(AND('計算（触らない）'!$F38&lt;=2,('計算（触らない）'!$V38+5)&gt;'計算（触らない）'!$R38),0,INDEX('計算（触らない）'!$AS38:$EP38,MIN(('計算（触らない）'!$V38+5),101)+1))))</f>
        <v/>
      </c>
      <c r="U38" s="52">
        <f>IF('計算（触らない）'!$U38=0,"",IF(('計算（触らない）'!$V38+6)&lt;0,"",IF(AND('計算（触らない）'!$F38&lt;=2,('計算（触らない）'!$V38+6)&gt;'計算（触らない）'!$R38),0,INDEX('計算（触らない）'!$AS38:$EP38,MIN(('計算（触らない）'!$V38+6),101)+1))))</f>
        <v/>
      </c>
      <c r="V38" s="52">
        <f>IF('計算（触らない）'!$U38=0,"",IF(('計算（触らない）'!$V38+7)&lt;0,"",IF(AND('計算（触らない）'!$F38&lt;=2,('計算（触らない）'!$V38+7)&gt;'計算（触らない）'!$R38),0,INDEX('計算（触らない）'!$AS38:$EP38,MIN(('計算（触らない）'!$V38+7),101)+1))))</f>
        <v/>
      </c>
      <c r="W38" s="52">
        <f>IF('計算（触らない）'!$U38=0,"",IF(('計算（触らない）'!$V38+8)&lt;0,"",IF(AND('計算（触らない）'!$F38&lt;=2,('計算（触らない）'!$V38+8)&gt;'計算（触らない）'!$R38),0,INDEX('計算（触らない）'!$AS38:$EP38,MIN(('計算（触らない）'!$V38+8),101)+1))))</f>
        <v/>
      </c>
      <c r="X38" s="52">
        <f>IF('計算（触らない）'!$U38=0,"",IF(('計算（触らない）'!$V38+9)&lt;0,"",IF(AND('計算（触らない）'!$F38&lt;=2,('計算（触らない）'!$V38+9)&gt;'計算（触らない）'!$R38),0,INDEX('計算（触らない）'!$AS38:$EP38,MIN(('計算（触らない）'!$V38+9),101)+1))))</f>
        <v/>
      </c>
    </row>
    <row r="39" ht="17" customHeight="1">
      <c r="A39" s="21" t="n">
        <v>34</v>
      </c>
      <c r="B39" s="38">
        <f>IF('計算（触らない）'!$B39=0,"",'固定資産台帳'!$B39&amp;"")</f>
        <v/>
      </c>
      <c r="C39" s="38">
        <f>IF('計算（触らない）'!$B39=0,"",'固定資産台帳'!$H39&amp;"")</f>
        <v/>
      </c>
      <c r="D39" s="52">
        <f>IF('計算（触らない）'!$U39=0,"",IF(('計算（触らない）'!$V39+0)&lt;0,"",INT(ROUND((IF(('計算（触らない）'!$V39+0)=0,'計算（触らない）'!$C39,INDEX('計算（触らない）'!$AS39:$EP39,MIN(('計算（触らない）'!$V39+0),102)))-INDEX('計算（触らない）'!$AS39:$EP39,MIN(('計算（触らない）'!$V39+0),101)+1))*'計算（触らない）'!$N39,6)+'計算（触らない）'!$B$4)))</f>
        <v/>
      </c>
      <c r="E39" s="52">
        <f>IF('計算（触らない）'!$U39=0,"",IF(('計算（触らない）'!$V39+1)&lt;0,"",INT(ROUND((IF(('計算（触らない）'!$V39+1)=0,'計算（触らない）'!$C39,INDEX('計算（触らない）'!$AS39:$EP39,MIN(('計算（触らない）'!$V39+1),102)))-INDEX('計算（触らない）'!$AS39:$EP39,MIN(('計算（触らない）'!$V39+1),101)+1))*'計算（触らない）'!$N39,6)+'計算（触らない）'!$B$4)))</f>
        <v/>
      </c>
      <c r="F39" s="52">
        <f>IF('計算（触らない）'!$U39=0,"",IF(('計算（触らない）'!$V39+2)&lt;0,"",INT(ROUND((IF(('計算（触らない）'!$V39+2)=0,'計算（触らない）'!$C39,INDEX('計算（触らない）'!$AS39:$EP39,MIN(('計算（触らない）'!$V39+2),102)))-INDEX('計算（触らない）'!$AS39:$EP39,MIN(('計算（触らない）'!$V39+2),101)+1))*'計算（触らない）'!$N39,6)+'計算（触らない）'!$B$4)))</f>
        <v/>
      </c>
      <c r="G39" s="52">
        <f>IF('計算（触らない）'!$U39=0,"",IF(('計算（触らない）'!$V39+3)&lt;0,"",INT(ROUND((IF(('計算（触らない）'!$V39+3)=0,'計算（触らない）'!$C39,INDEX('計算（触らない）'!$AS39:$EP39,MIN(('計算（触らない）'!$V39+3),102)))-INDEX('計算（触らない）'!$AS39:$EP39,MIN(('計算（触らない）'!$V39+3),101)+1))*'計算（触らない）'!$N39,6)+'計算（触らない）'!$B$4)))</f>
        <v/>
      </c>
      <c r="H39" s="52">
        <f>IF('計算（触らない）'!$U39=0,"",IF(('計算（触らない）'!$V39+4)&lt;0,"",INT(ROUND((IF(('計算（触らない）'!$V39+4)=0,'計算（触らない）'!$C39,INDEX('計算（触らない）'!$AS39:$EP39,MIN(('計算（触らない）'!$V39+4),102)))-INDEX('計算（触らない）'!$AS39:$EP39,MIN(('計算（触らない）'!$V39+4),101)+1))*'計算（触らない）'!$N39,6)+'計算（触らない）'!$B$4)))</f>
        <v/>
      </c>
      <c r="I39" s="52">
        <f>IF('計算（触らない）'!$U39=0,"",IF(('計算（触らない）'!$V39+5)&lt;0,"",INT(ROUND((IF(('計算（触らない）'!$V39+5)=0,'計算（触らない）'!$C39,INDEX('計算（触らない）'!$AS39:$EP39,MIN(('計算（触らない）'!$V39+5),102)))-INDEX('計算（触らない）'!$AS39:$EP39,MIN(('計算（触らない）'!$V39+5),101)+1))*'計算（触らない）'!$N39,6)+'計算（触らない）'!$B$4)))</f>
        <v/>
      </c>
      <c r="J39" s="52">
        <f>IF('計算（触らない）'!$U39=0,"",IF(('計算（触らない）'!$V39+6)&lt;0,"",INT(ROUND((IF(('計算（触らない）'!$V39+6)=0,'計算（触らない）'!$C39,INDEX('計算（触らない）'!$AS39:$EP39,MIN(('計算（触らない）'!$V39+6),102)))-INDEX('計算（触らない）'!$AS39:$EP39,MIN(('計算（触らない）'!$V39+6),101)+1))*'計算（触らない）'!$N39,6)+'計算（触らない）'!$B$4)))</f>
        <v/>
      </c>
      <c r="K39" s="52">
        <f>IF('計算（触らない）'!$U39=0,"",IF(('計算（触らない）'!$V39+7)&lt;0,"",INT(ROUND((IF(('計算（触らない）'!$V39+7)=0,'計算（触らない）'!$C39,INDEX('計算（触らない）'!$AS39:$EP39,MIN(('計算（触らない）'!$V39+7),102)))-INDEX('計算（触らない）'!$AS39:$EP39,MIN(('計算（触らない）'!$V39+7),101)+1))*'計算（触らない）'!$N39,6)+'計算（触らない）'!$B$4)))</f>
        <v/>
      </c>
      <c r="L39" s="52">
        <f>IF('計算（触らない）'!$U39=0,"",IF(('計算（触らない）'!$V39+8)&lt;0,"",INT(ROUND((IF(('計算（触らない）'!$V39+8)=0,'計算（触らない）'!$C39,INDEX('計算（触らない）'!$AS39:$EP39,MIN(('計算（触らない）'!$V39+8),102)))-INDEX('計算（触らない）'!$AS39:$EP39,MIN(('計算（触らない）'!$V39+8),101)+1))*'計算（触らない）'!$N39,6)+'計算（触らない）'!$B$4)))</f>
        <v/>
      </c>
      <c r="M39" s="52">
        <f>IF('計算（触らない）'!$U39=0,"",IF(('計算（触らない）'!$V39+9)&lt;0,"",INT(ROUND((IF(('計算（触らない）'!$V39+9)=0,'計算（触らない）'!$C39,INDEX('計算（触らない）'!$AS39:$EP39,MIN(('計算（触らない）'!$V39+9),102)))-INDEX('計算（触らない）'!$AS39:$EP39,MIN(('計算（触らない）'!$V39+9),101)+1))*'計算（触らない）'!$N39,6)+'計算（触らない）'!$B$4)))</f>
        <v/>
      </c>
      <c r="N39" s="68" t="n"/>
      <c r="O39" s="52">
        <f>IF('計算（触らない）'!$U39=0,"",IF(('計算（触らない）'!$V39+0)&lt;0,"",IF(AND('計算（触らない）'!$F39&lt;=2,('計算（触らない）'!$V39+0)&gt;'計算（触らない）'!$R39),0,INDEX('計算（触らない）'!$AS39:$EP39,MIN(('計算（触らない）'!$V39+0),101)+1))))</f>
        <v/>
      </c>
      <c r="P39" s="52">
        <f>IF('計算（触らない）'!$U39=0,"",IF(('計算（触らない）'!$V39+1)&lt;0,"",IF(AND('計算（触らない）'!$F39&lt;=2,('計算（触らない）'!$V39+1)&gt;'計算（触らない）'!$R39),0,INDEX('計算（触らない）'!$AS39:$EP39,MIN(('計算（触らない）'!$V39+1),101)+1))))</f>
        <v/>
      </c>
      <c r="Q39" s="52">
        <f>IF('計算（触らない）'!$U39=0,"",IF(('計算（触らない）'!$V39+2)&lt;0,"",IF(AND('計算（触らない）'!$F39&lt;=2,('計算（触らない）'!$V39+2)&gt;'計算（触らない）'!$R39),0,INDEX('計算（触らない）'!$AS39:$EP39,MIN(('計算（触らない）'!$V39+2),101)+1))))</f>
        <v/>
      </c>
      <c r="R39" s="52">
        <f>IF('計算（触らない）'!$U39=0,"",IF(('計算（触らない）'!$V39+3)&lt;0,"",IF(AND('計算（触らない）'!$F39&lt;=2,('計算（触らない）'!$V39+3)&gt;'計算（触らない）'!$R39),0,INDEX('計算（触らない）'!$AS39:$EP39,MIN(('計算（触らない）'!$V39+3),101)+1))))</f>
        <v/>
      </c>
      <c r="S39" s="52">
        <f>IF('計算（触らない）'!$U39=0,"",IF(('計算（触らない）'!$V39+4)&lt;0,"",IF(AND('計算（触らない）'!$F39&lt;=2,('計算（触らない）'!$V39+4)&gt;'計算（触らない）'!$R39),0,INDEX('計算（触らない）'!$AS39:$EP39,MIN(('計算（触らない）'!$V39+4),101)+1))))</f>
        <v/>
      </c>
      <c r="T39" s="52">
        <f>IF('計算（触らない）'!$U39=0,"",IF(('計算（触らない）'!$V39+5)&lt;0,"",IF(AND('計算（触らない）'!$F39&lt;=2,('計算（触らない）'!$V39+5)&gt;'計算（触らない）'!$R39),0,INDEX('計算（触らない）'!$AS39:$EP39,MIN(('計算（触らない）'!$V39+5),101)+1))))</f>
        <v/>
      </c>
      <c r="U39" s="52">
        <f>IF('計算（触らない）'!$U39=0,"",IF(('計算（触らない）'!$V39+6)&lt;0,"",IF(AND('計算（触らない）'!$F39&lt;=2,('計算（触らない）'!$V39+6)&gt;'計算（触らない）'!$R39),0,INDEX('計算（触らない）'!$AS39:$EP39,MIN(('計算（触らない）'!$V39+6),101)+1))))</f>
        <v/>
      </c>
      <c r="V39" s="52">
        <f>IF('計算（触らない）'!$U39=0,"",IF(('計算（触らない）'!$V39+7)&lt;0,"",IF(AND('計算（触らない）'!$F39&lt;=2,('計算（触らない）'!$V39+7)&gt;'計算（触らない）'!$R39),0,INDEX('計算（触らない）'!$AS39:$EP39,MIN(('計算（触らない）'!$V39+7),101)+1))))</f>
        <v/>
      </c>
      <c r="W39" s="52">
        <f>IF('計算（触らない）'!$U39=0,"",IF(('計算（触らない）'!$V39+8)&lt;0,"",IF(AND('計算（触らない）'!$F39&lt;=2,('計算（触らない）'!$V39+8)&gt;'計算（触らない）'!$R39),0,INDEX('計算（触らない）'!$AS39:$EP39,MIN(('計算（触らない）'!$V39+8),101)+1))))</f>
        <v/>
      </c>
      <c r="X39" s="52">
        <f>IF('計算（触らない）'!$U39=0,"",IF(('計算（触らない）'!$V39+9)&lt;0,"",IF(AND('計算（触らない）'!$F39&lt;=2,('計算（触らない）'!$V39+9)&gt;'計算（触らない）'!$R39),0,INDEX('計算（触らない）'!$AS39:$EP39,MIN(('計算（触らない）'!$V39+9),101)+1))))</f>
        <v/>
      </c>
    </row>
    <row r="40" ht="17" customHeight="1">
      <c r="A40" s="21" t="n">
        <v>35</v>
      </c>
      <c r="B40" s="38">
        <f>IF('計算（触らない）'!$B40=0,"",'固定資産台帳'!$B40&amp;"")</f>
        <v/>
      </c>
      <c r="C40" s="38">
        <f>IF('計算（触らない）'!$B40=0,"",'固定資産台帳'!$H40&amp;"")</f>
        <v/>
      </c>
      <c r="D40" s="52">
        <f>IF('計算（触らない）'!$U40=0,"",IF(('計算（触らない）'!$V40+0)&lt;0,"",INT(ROUND((IF(('計算（触らない）'!$V40+0)=0,'計算（触らない）'!$C40,INDEX('計算（触らない）'!$AS40:$EP40,MIN(('計算（触らない）'!$V40+0),102)))-INDEX('計算（触らない）'!$AS40:$EP40,MIN(('計算（触らない）'!$V40+0),101)+1))*'計算（触らない）'!$N40,6)+'計算（触らない）'!$B$4)))</f>
        <v/>
      </c>
      <c r="E40" s="52">
        <f>IF('計算（触らない）'!$U40=0,"",IF(('計算（触らない）'!$V40+1)&lt;0,"",INT(ROUND((IF(('計算（触らない）'!$V40+1)=0,'計算（触らない）'!$C40,INDEX('計算（触らない）'!$AS40:$EP40,MIN(('計算（触らない）'!$V40+1),102)))-INDEX('計算（触らない）'!$AS40:$EP40,MIN(('計算（触らない）'!$V40+1),101)+1))*'計算（触らない）'!$N40,6)+'計算（触らない）'!$B$4)))</f>
        <v/>
      </c>
      <c r="F40" s="52">
        <f>IF('計算（触らない）'!$U40=0,"",IF(('計算（触らない）'!$V40+2)&lt;0,"",INT(ROUND((IF(('計算（触らない）'!$V40+2)=0,'計算（触らない）'!$C40,INDEX('計算（触らない）'!$AS40:$EP40,MIN(('計算（触らない）'!$V40+2),102)))-INDEX('計算（触らない）'!$AS40:$EP40,MIN(('計算（触らない）'!$V40+2),101)+1))*'計算（触らない）'!$N40,6)+'計算（触らない）'!$B$4)))</f>
        <v/>
      </c>
      <c r="G40" s="52">
        <f>IF('計算（触らない）'!$U40=0,"",IF(('計算（触らない）'!$V40+3)&lt;0,"",INT(ROUND((IF(('計算（触らない）'!$V40+3)=0,'計算（触らない）'!$C40,INDEX('計算（触らない）'!$AS40:$EP40,MIN(('計算（触らない）'!$V40+3),102)))-INDEX('計算（触らない）'!$AS40:$EP40,MIN(('計算（触らない）'!$V40+3),101)+1))*'計算（触らない）'!$N40,6)+'計算（触らない）'!$B$4)))</f>
        <v/>
      </c>
      <c r="H40" s="52">
        <f>IF('計算（触らない）'!$U40=0,"",IF(('計算（触らない）'!$V40+4)&lt;0,"",INT(ROUND((IF(('計算（触らない）'!$V40+4)=0,'計算（触らない）'!$C40,INDEX('計算（触らない）'!$AS40:$EP40,MIN(('計算（触らない）'!$V40+4),102)))-INDEX('計算（触らない）'!$AS40:$EP40,MIN(('計算（触らない）'!$V40+4),101)+1))*'計算（触らない）'!$N40,6)+'計算（触らない）'!$B$4)))</f>
        <v/>
      </c>
      <c r="I40" s="52">
        <f>IF('計算（触らない）'!$U40=0,"",IF(('計算（触らない）'!$V40+5)&lt;0,"",INT(ROUND((IF(('計算（触らない）'!$V40+5)=0,'計算（触らない）'!$C40,INDEX('計算（触らない）'!$AS40:$EP40,MIN(('計算（触らない）'!$V40+5),102)))-INDEX('計算（触らない）'!$AS40:$EP40,MIN(('計算（触らない）'!$V40+5),101)+1))*'計算（触らない）'!$N40,6)+'計算（触らない）'!$B$4)))</f>
        <v/>
      </c>
      <c r="J40" s="52">
        <f>IF('計算（触らない）'!$U40=0,"",IF(('計算（触らない）'!$V40+6)&lt;0,"",INT(ROUND((IF(('計算（触らない）'!$V40+6)=0,'計算（触らない）'!$C40,INDEX('計算（触らない）'!$AS40:$EP40,MIN(('計算（触らない）'!$V40+6),102)))-INDEX('計算（触らない）'!$AS40:$EP40,MIN(('計算（触らない）'!$V40+6),101)+1))*'計算（触らない）'!$N40,6)+'計算（触らない）'!$B$4)))</f>
        <v/>
      </c>
      <c r="K40" s="52">
        <f>IF('計算（触らない）'!$U40=0,"",IF(('計算（触らない）'!$V40+7)&lt;0,"",INT(ROUND((IF(('計算（触らない）'!$V40+7)=0,'計算（触らない）'!$C40,INDEX('計算（触らない）'!$AS40:$EP40,MIN(('計算（触らない）'!$V40+7),102)))-INDEX('計算（触らない）'!$AS40:$EP40,MIN(('計算（触らない）'!$V40+7),101)+1))*'計算（触らない）'!$N40,6)+'計算（触らない）'!$B$4)))</f>
        <v/>
      </c>
      <c r="L40" s="52">
        <f>IF('計算（触らない）'!$U40=0,"",IF(('計算（触らない）'!$V40+8)&lt;0,"",INT(ROUND((IF(('計算（触らない）'!$V40+8)=0,'計算（触らない）'!$C40,INDEX('計算（触らない）'!$AS40:$EP40,MIN(('計算（触らない）'!$V40+8),102)))-INDEX('計算（触らない）'!$AS40:$EP40,MIN(('計算（触らない）'!$V40+8),101)+1))*'計算（触らない）'!$N40,6)+'計算（触らない）'!$B$4)))</f>
        <v/>
      </c>
      <c r="M40" s="52">
        <f>IF('計算（触らない）'!$U40=0,"",IF(('計算（触らない）'!$V40+9)&lt;0,"",INT(ROUND((IF(('計算（触らない）'!$V40+9)=0,'計算（触らない）'!$C40,INDEX('計算（触らない）'!$AS40:$EP40,MIN(('計算（触らない）'!$V40+9),102)))-INDEX('計算（触らない）'!$AS40:$EP40,MIN(('計算（触らない）'!$V40+9),101)+1))*'計算（触らない）'!$N40,6)+'計算（触らない）'!$B$4)))</f>
        <v/>
      </c>
      <c r="N40" s="68" t="n"/>
      <c r="O40" s="52">
        <f>IF('計算（触らない）'!$U40=0,"",IF(('計算（触らない）'!$V40+0)&lt;0,"",IF(AND('計算（触らない）'!$F40&lt;=2,('計算（触らない）'!$V40+0)&gt;'計算（触らない）'!$R40),0,INDEX('計算（触らない）'!$AS40:$EP40,MIN(('計算（触らない）'!$V40+0),101)+1))))</f>
        <v/>
      </c>
      <c r="P40" s="52">
        <f>IF('計算（触らない）'!$U40=0,"",IF(('計算（触らない）'!$V40+1)&lt;0,"",IF(AND('計算（触らない）'!$F40&lt;=2,('計算（触らない）'!$V40+1)&gt;'計算（触らない）'!$R40),0,INDEX('計算（触らない）'!$AS40:$EP40,MIN(('計算（触らない）'!$V40+1),101)+1))))</f>
        <v/>
      </c>
      <c r="Q40" s="52">
        <f>IF('計算（触らない）'!$U40=0,"",IF(('計算（触らない）'!$V40+2)&lt;0,"",IF(AND('計算（触らない）'!$F40&lt;=2,('計算（触らない）'!$V40+2)&gt;'計算（触らない）'!$R40),0,INDEX('計算（触らない）'!$AS40:$EP40,MIN(('計算（触らない）'!$V40+2),101)+1))))</f>
        <v/>
      </c>
      <c r="R40" s="52">
        <f>IF('計算（触らない）'!$U40=0,"",IF(('計算（触らない）'!$V40+3)&lt;0,"",IF(AND('計算（触らない）'!$F40&lt;=2,('計算（触らない）'!$V40+3)&gt;'計算（触らない）'!$R40),0,INDEX('計算（触らない）'!$AS40:$EP40,MIN(('計算（触らない）'!$V40+3),101)+1))))</f>
        <v/>
      </c>
      <c r="S40" s="52">
        <f>IF('計算（触らない）'!$U40=0,"",IF(('計算（触らない）'!$V40+4)&lt;0,"",IF(AND('計算（触らない）'!$F40&lt;=2,('計算（触らない）'!$V40+4)&gt;'計算（触らない）'!$R40),0,INDEX('計算（触らない）'!$AS40:$EP40,MIN(('計算（触らない）'!$V40+4),101)+1))))</f>
        <v/>
      </c>
      <c r="T40" s="52">
        <f>IF('計算（触らない）'!$U40=0,"",IF(('計算（触らない）'!$V40+5)&lt;0,"",IF(AND('計算（触らない）'!$F40&lt;=2,('計算（触らない）'!$V40+5)&gt;'計算（触らない）'!$R40),0,INDEX('計算（触らない）'!$AS40:$EP40,MIN(('計算（触らない）'!$V40+5),101)+1))))</f>
        <v/>
      </c>
      <c r="U40" s="52">
        <f>IF('計算（触らない）'!$U40=0,"",IF(('計算（触らない）'!$V40+6)&lt;0,"",IF(AND('計算（触らない）'!$F40&lt;=2,('計算（触らない）'!$V40+6)&gt;'計算（触らない）'!$R40),0,INDEX('計算（触らない）'!$AS40:$EP40,MIN(('計算（触らない）'!$V40+6),101)+1))))</f>
        <v/>
      </c>
      <c r="V40" s="52">
        <f>IF('計算（触らない）'!$U40=0,"",IF(('計算（触らない）'!$V40+7)&lt;0,"",IF(AND('計算（触らない）'!$F40&lt;=2,('計算（触らない）'!$V40+7)&gt;'計算（触らない）'!$R40),0,INDEX('計算（触らない）'!$AS40:$EP40,MIN(('計算（触らない）'!$V40+7),101)+1))))</f>
        <v/>
      </c>
      <c r="W40" s="52">
        <f>IF('計算（触らない）'!$U40=0,"",IF(('計算（触らない）'!$V40+8)&lt;0,"",IF(AND('計算（触らない）'!$F40&lt;=2,('計算（触らない）'!$V40+8)&gt;'計算（触らない）'!$R40),0,INDEX('計算（触らない）'!$AS40:$EP40,MIN(('計算（触らない）'!$V40+8),101)+1))))</f>
        <v/>
      </c>
      <c r="X40" s="52">
        <f>IF('計算（触らない）'!$U40=0,"",IF(('計算（触らない）'!$V40+9)&lt;0,"",IF(AND('計算（触らない）'!$F40&lt;=2,('計算（触らない）'!$V40+9)&gt;'計算（触らない）'!$R40),0,INDEX('計算（触らない）'!$AS40:$EP40,MIN(('計算（触らない）'!$V40+9),101)+1))))</f>
        <v/>
      </c>
    </row>
    <row r="41" ht="17" customHeight="1">
      <c r="A41" s="21" t="n">
        <v>36</v>
      </c>
      <c r="B41" s="38">
        <f>IF('計算（触らない）'!$B41=0,"",'固定資産台帳'!$B41&amp;"")</f>
        <v/>
      </c>
      <c r="C41" s="38">
        <f>IF('計算（触らない）'!$B41=0,"",'固定資産台帳'!$H41&amp;"")</f>
        <v/>
      </c>
      <c r="D41" s="52">
        <f>IF('計算（触らない）'!$U41=0,"",IF(('計算（触らない）'!$V41+0)&lt;0,"",INT(ROUND((IF(('計算（触らない）'!$V41+0)=0,'計算（触らない）'!$C41,INDEX('計算（触らない）'!$AS41:$EP41,MIN(('計算（触らない）'!$V41+0),102)))-INDEX('計算（触らない）'!$AS41:$EP41,MIN(('計算（触らない）'!$V41+0),101)+1))*'計算（触らない）'!$N41,6)+'計算（触らない）'!$B$4)))</f>
        <v/>
      </c>
      <c r="E41" s="52">
        <f>IF('計算（触らない）'!$U41=0,"",IF(('計算（触らない）'!$V41+1)&lt;0,"",INT(ROUND((IF(('計算（触らない）'!$V41+1)=0,'計算（触らない）'!$C41,INDEX('計算（触らない）'!$AS41:$EP41,MIN(('計算（触らない）'!$V41+1),102)))-INDEX('計算（触らない）'!$AS41:$EP41,MIN(('計算（触らない）'!$V41+1),101)+1))*'計算（触らない）'!$N41,6)+'計算（触らない）'!$B$4)))</f>
        <v/>
      </c>
      <c r="F41" s="52">
        <f>IF('計算（触らない）'!$U41=0,"",IF(('計算（触らない）'!$V41+2)&lt;0,"",INT(ROUND((IF(('計算（触らない）'!$V41+2)=0,'計算（触らない）'!$C41,INDEX('計算（触らない）'!$AS41:$EP41,MIN(('計算（触らない）'!$V41+2),102)))-INDEX('計算（触らない）'!$AS41:$EP41,MIN(('計算（触らない）'!$V41+2),101)+1))*'計算（触らない）'!$N41,6)+'計算（触らない）'!$B$4)))</f>
        <v/>
      </c>
      <c r="G41" s="52">
        <f>IF('計算（触らない）'!$U41=0,"",IF(('計算（触らない）'!$V41+3)&lt;0,"",INT(ROUND((IF(('計算（触らない）'!$V41+3)=0,'計算（触らない）'!$C41,INDEX('計算（触らない）'!$AS41:$EP41,MIN(('計算（触らない）'!$V41+3),102)))-INDEX('計算（触らない）'!$AS41:$EP41,MIN(('計算（触らない）'!$V41+3),101)+1))*'計算（触らない）'!$N41,6)+'計算（触らない）'!$B$4)))</f>
        <v/>
      </c>
      <c r="H41" s="52">
        <f>IF('計算（触らない）'!$U41=0,"",IF(('計算（触らない）'!$V41+4)&lt;0,"",INT(ROUND((IF(('計算（触らない）'!$V41+4)=0,'計算（触らない）'!$C41,INDEX('計算（触らない）'!$AS41:$EP41,MIN(('計算（触らない）'!$V41+4),102)))-INDEX('計算（触らない）'!$AS41:$EP41,MIN(('計算（触らない）'!$V41+4),101)+1))*'計算（触らない）'!$N41,6)+'計算（触らない）'!$B$4)))</f>
        <v/>
      </c>
      <c r="I41" s="52">
        <f>IF('計算（触らない）'!$U41=0,"",IF(('計算（触らない）'!$V41+5)&lt;0,"",INT(ROUND((IF(('計算（触らない）'!$V41+5)=0,'計算（触らない）'!$C41,INDEX('計算（触らない）'!$AS41:$EP41,MIN(('計算（触らない）'!$V41+5),102)))-INDEX('計算（触らない）'!$AS41:$EP41,MIN(('計算（触らない）'!$V41+5),101)+1))*'計算（触らない）'!$N41,6)+'計算（触らない）'!$B$4)))</f>
        <v/>
      </c>
      <c r="J41" s="52">
        <f>IF('計算（触らない）'!$U41=0,"",IF(('計算（触らない）'!$V41+6)&lt;0,"",INT(ROUND((IF(('計算（触らない）'!$V41+6)=0,'計算（触らない）'!$C41,INDEX('計算（触らない）'!$AS41:$EP41,MIN(('計算（触らない）'!$V41+6),102)))-INDEX('計算（触らない）'!$AS41:$EP41,MIN(('計算（触らない）'!$V41+6),101)+1))*'計算（触らない）'!$N41,6)+'計算（触らない）'!$B$4)))</f>
        <v/>
      </c>
      <c r="K41" s="52">
        <f>IF('計算（触らない）'!$U41=0,"",IF(('計算（触らない）'!$V41+7)&lt;0,"",INT(ROUND((IF(('計算（触らない）'!$V41+7)=0,'計算（触らない）'!$C41,INDEX('計算（触らない）'!$AS41:$EP41,MIN(('計算（触らない）'!$V41+7),102)))-INDEX('計算（触らない）'!$AS41:$EP41,MIN(('計算（触らない）'!$V41+7),101)+1))*'計算（触らない）'!$N41,6)+'計算（触らない）'!$B$4)))</f>
        <v/>
      </c>
      <c r="L41" s="52">
        <f>IF('計算（触らない）'!$U41=0,"",IF(('計算（触らない）'!$V41+8)&lt;0,"",INT(ROUND((IF(('計算（触らない）'!$V41+8)=0,'計算（触らない）'!$C41,INDEX('計算（触らない）'!$AS41:$EP41,MIN(('計算（触らない）'!$V41+8),102)))-INDEX('計算（触らない）'!$AS41:$EP41,MIN(('計算（触らない）'!$V41+8),101)+1))*'計算（触らない）'!$N41,6)+'計算（触らない）'!$B$4)))</f>
        <v/>
      </c>
      <c r="M41" s="52">
        <f>IF('計算（触らない）'!$U41=0,"",IF(('計算（触らない）'!$V41+9)&lt;0,"",INT(ROUND((IF(('計算（触らない）'!$V41+9)=0,'計算（触らない）'!$C41,INDEX('計算（触らない）'!$AS41:$EP41,MIN(('計算（触らない）'!$V41+9),102)))-INDEX('計算（触らない）'!$AS41:$EP41,MIN(('計算（触らない）'!$V41+9),101)+1))*'計算（触らない）'!$N41,6)+'計算（触らない）'!$B$4)))</f>
        <v/>
      </c>
      <c r="N41" s="68" t="n"/>
      <c r="O41" s="52">
        <f>IF('計算（触らない）'!$U41=0,"",IF(('計算（触らない）'!$V41+0)&lt;0,"",IF(AND('計算（触らない）'!$F41&lt;=2,('計算（触らない）'!$V41+0)&gt;'計算（触らない）'!$R41),0,INDEX('計算（触らない）'!$AS41:$EP41,MIN(('計算（触らない）'!$V41+0),101)+1))))</f>
        <v/>
      </c>
      <c r="P41" s="52">
        <f>IF('計算（触らない）'!$U41=0,"",IF(('計算（触らない）'!$V41+1)&lt;0,"",IF(AND('計算（触らない）'!$F41&lt;=2,('計算（触らない）'!$V41+1)&gt;'計算（触らない）'!$R41),0,INDEX('計算（触らない）'!$AS41:$EP41,MIN(('計算（触らない）'!$V41+1),101)+1))))</f>
        <v/>
      </c>
      <c r="Q41" s="52">
        <f>IF('計算（触らない）'!$U41=0,"",IF(('計算（触らない）'!$V41+2)&lt;0,"",IF(AND('計算（触らない）'!$F41&lt;=2,('計算（触らない）'!$V41+2)&gt;'計算（触らない）'!$R41),0,INDEX('計算（触らない）'!$AS41:$EP41,MIN(('計算（触らない）'!$V41+2),101)+1))))</f>
        <v/>
      </c>
      <c r="R41" s="52">
        <f>IF('計算（触らない）'!$U41=0,"",IF(('計算（触らない）'!$V41+3)&lt;0,"",IF(AND('計算（触らない）'!$F41&lt;=2,('計算（触らない）'!$V41+3)&gt;'計算（触らない）'!$R41),0,INDEX('計算（触らない）'!$AS41:$EP41,MIN(('計算（触らない）'!$V41+3),101)+1))))</f>
        <v/>
      </c>
      <c r="S41" s="52">
        <f>IF('計算（触らない）'!$U41=0,"",IF(('計算（触らない）'!$V41+4)&lt;0,"",IF(AND('計算（触らない）'!$F41&lt;=2,('計算（触らない）'!$V41+4)&gt;'計算（触らない）'!$R41),0,INDEX('計算（触らない）'!$AS41:$EP41,MIN(('計算（触らない）'!$V41+4),101)+1))))</f>
        <v/>
      </c>
      <c r="T41" s="52">
        <f>IF('計算（触らない）'!$U41=0,"",IF(('計算（触らない）'!$V41+5)&lt;0,"",IF(AND('計算（触らない）'!$F41&lt;=2,('計算（触らない）'!$V41+5)&gt;'計算（触らない）'!$R41),0,INDEX('計算（触らない）'!$AS41:$EP41,MIN(('計算（触らない）'!$V41+5),101)+1))))</f>
        <v/>
      </c>
      <c r="U41" s="52">
        <f>IF('計算（触らない）'!$U41=0,"",IF(('計算（触らない）'!$V41+6)&lt;0,"",IF(AND('計算（触らない）'!$F41&lt;=2,('計算（触らない）'!$V41+6)&gt;'計算（触らない）'!$R41),0,INDEX('計算（触らない）'!$AS41:$EP41,MIN(('計算（触らない）'!$V41+6),101)+1))))</f>
        <v/>
      </c>
      <c r="V41" s="52">
        <f>IF('計算（触らない）'!$U41=0,"",IF(('計算（触らない）'!$V41+7)&lt;0,"",IF(AND('計算（触らない）'!$F41&lt;=2,('計算（触らない）'!$V41+7)&gt;'計算（触らない）'!$R41),0,INDEX('計算（触らない）'!$AS41:$EP41,MIN(('計算（触らない）'!$V41+7),101)+1))))</f>
        <v/>
      </c>
      <c r="W41" s="52">
        <f>IF('計算（触らない）'!$U41=0,"",IF(('計算（触らない）'!$V41+8)&lt;0,"",IF(AND('計算（触らない）'!$F41&lt;=2,('計算（触らない）'!$V41+8)&gt;'計算（触らない）'!$R41),0,INDEX('計算（触らない）'!$AS41:$EP41,MIN(('計算（触らない）'!$V41+8),101)+1))))</f>
        <v/>
      </c>
      <c r="X41" s="52">
        <f>IF('計算（触らない）'!$U41=0,"",IF(('計算（触らない）'!$V41+9)&lt;0,"",IF(AND('計算（触らない）'!$F41&lt;=2,('計算（触らない）'!$V41+9)&gt;'計算（触らない）'!$R41),0,INDEX('計算（触らない）'!$AS41:$EP41,MIN(('計算（触らない）'!$V41+9),101)+1))))</f>
        <v/>
      </c>
    </row>
    <row r="42" ht="17" customHeight="1">
      <c r="A42" s="21" t="n">
        <v>37</v>
      </c>
      <c r="B42" s="38">
        <f>IF('計算（触らない）'!$B42=0,"",'固定資産台帳'!$B42&amp;"")</f>
        <v/>
      </c>
      <c r="C42" s="38">
        <f>IF('計算（触らない）'!$B42=0,"",'固定資産台帳'!$H42&amp;"")</f>
        <v/>
      </c>
      <c r="D42" s="52">
        <f>IF('計算（触らない）'!$U42=0,"",IF(('計算（触らない）'!$V42+0)&lt;0,"",INT(ROUND((IF(('計算（触らない）'!$V42+0)=0,'計算（触らない）'!$C42,INDEX('計算（触らない）'!$AS42:$EP42,MIN(('計算（触らない）'!$V42+0),102)))-INDEX('計算（触らない）'!$AS42:$EP42,MIN(('計算（触らない）'!$V42+0),101)+1))*'計算（触らない）'!$N42,6)+'計算（触らない）'!$B$4)))</f>
        <v/>
      </c>
      <c r="E42" s="52">
        <f>IF('計算（触らない）'!$U42=0,"",IF(('計算（触らない）'!$V42+1)&lt;0,"",INT(ROUND((IF(('計算（触らない）'!$V42+1)=0,'計算（触らない）'!$C42,INDEX('計算（触らない）'!$AS42:$EP42,MIN(('計算（触らない）'!$V42+1),102)))-INDEX('計算（触らない）'!$AS42:$EP42,MIN(('計算（触らない）'!$V42+1),101)+1))*'計算（触らない）'!$N42,6)+'計算（触らない）'!$B$4)))</f>
        <v/>
      </c>
      <c r="F42" s="52">
        <f>IF('計算（触らない）'!$U42=0,"",IF(('計算（触らない）'!$V42+2)&lt;0,"",INT(ROUND((IF(('計算（触らない）'!$V42+2)=0,'計算（触らない）'!$C42,INDEX('計算（触らない）'!$AS42:$EP42,MIN(('計算（触らない）'!$V42+2),102)))-INDEX('計算（触らない）'!$AS42:$EP42,MIN(('計算（触らない）'!$V42+2),101)+1))*'計算（触らない）'!$N42,6)+'計算（触らない）'!$B$4)))</f>
        <v/>
      </c>
      <c r="G42" s="52">
        <f>IF('計算（触らない）'!$U42=0,"",IF(('計算（触らない）'!$V42+3)&lt;0,"",INT(ROUND((IF(('計算（触らない）'!$V42+3)=0,'計算（触らない）'!$C42,INDEX('計算（触らない）'!$AS42:$EP42,MIN(('計算（触らない）'!$V42+3),102)))-INDEX('計算（触らない）'!$AS42:$EP42,MIN(('計算（触らない）'!$V42+3),101)+1))*'計算（触らない）'!$N42,6)+'計算（触らない）'!$B$4)))</f>
        <v/>
      </c>
      <c r="H42" s="52">
        <f>IF('計算（触らない）'!$U42=0,"",IF(('計算（触らない）'!$V42+4)&lt;0,"",INT(ROUND((IF(('計算（触らない）'!$V42+4)=0,'計算（触らない）'!$C42,INDEX('計算（触らない）'!$AS42:$EP42,MIN(('計算（触らない）'!$V42+4),102)))-INDEX('計算（触らない）'!$AS42:$EP42,MIN(('計算（触らない）'!$V42+4),101)+1))*'計算（触らない）'!$N42,6)+'計算（触らない）'!$B$4)))</f>
        <v/>
      </c>
      <c r="I42" s="52">
        <f>IF('計算（触らない）'!$U42=0,"",IF(('計算（触らない）'!$V42+5)&lt;0,"",INT(ROUND((IF(('計算（触らない）'!$V42+5)=0,'計算（触らない）'!$C42,INDEX('計算（触らない）'!$AS42:$EP42,MIN(('計算（触らない）'!$V42+5),102)))-INDEX('計算（触らない）'!$AS42:$EP42,MIN(('計算（触らない）'!$V42+5),101)+1))*'計算（触らない）'!$N42,6)+'計算（触らない）'!$B$4)))</f>
        <v/>
      </c>
      <c r="J42" s="52">
        <f>IF('計算（触らない）'!$U42=0,"",IF(('計算（触らない）'!$V42+6)&lt;0,"",INT(ROUND((IF(('計算（触らない）'!$V42+6)=0,'計算（触らない）'!$C42,INDEX('計算（触らない）'!$AS42:$EP42,MIN(('計算（触らない）'!$V42+6),102)))-INDEX('計算（触らない）'!$AS42:$EP42,MIN(('計算（触らない）'!$V42+6),101)+1))*'計算（触らない）'!$N42,6)+'計算（触らない）'!$B$4)))</f>
        <v/>
      </c>
      <c r="K42" s="52">
        <f>IF('計算（触らない）'!$U42=0,"",IF(('計算（触らない）'!$V42+7)&lt;0,"",INT(ROUND((IF(('計算（触らない）'!$V42+7)=0,'計算（触らない）'!$C42,INDEX('計算（触らない）'!$AS42:$EP42,MIN(('計算（触らない）'!$V42+7),102)))-INDEX('計算（触らない）'!$AS42:$EP42,MIN(('計算（触らない）'!$V42+7),101)+1))*'計算（触らない）'!$N42,6)+'計算（触らない）'!$B$4)))</f>
        <v/>
      </c>
      <c r="L42" s="52">
        <f>IF('計算（触らない）'!$U42=0,"",IF(('計算（触らない）'!$V42+8)&lt;0,"",INT(ROUND((IF(('計算（触らない）'!$V42+8)=0,'計算（触らない）'!$C42,INDEX('計算（触らない）'!$AS42:$EP42,MIN(('計算（触らない）'!$V42+8),102)))-INDEX('計算（触らない）'!$AS42:$EP42,MIN(('計算（触らない）'!$V42+8),101)+1))*'計算（触らない）'!$N42,6)+'計算（触らない）'!$B$4)))</f>
        <v/>
      </c>
      <c r="M42" s="52">
        <f>IF('計算（触らない）'!$U42=0,"",IF(('計算（触らない）'!$V42+9)&lt;0,"",INT(ROUND((IF(('計算（触らない）'!$V42+9)=0,'計算（触らない）'!$C42,INDEX('計算（触らない）'!$AS42:$EP42,MIN(('計算（触らない）'!$V42+9),102)))-INDEX('計算（触らない）'!$AS42:$EP42,MIN(('計算（触らない）'!$V42+9),101)+1))*'計算（触らない）'!$N42,6)+'計算（触らない）'!$B$4)))</f>
        <v/>
      </c>
      <c r="N42" s="68" t="n"/>
      <c r="O42" s="52">
        <f>IF('計算（触らない）'!$U42=0,"",IF(('計算（触らない）'!$V42+0)&lt;0,"",IF(AND('計算（触らない）'!$F42&lt;=2,('計算（触らない）'!$V42+0)&gt;'計算（触らない）'!$R42),0,INDEX('計算（触らない）'!$AS42:$EP42,MIN(('計算（触らない）'!$V42+0),101)+1))))</f>
        <v/>
      </c>
      <c r="P42" s="52">
        <f>IF('計算（触らない）'!$U42=0,"",IF(('計算（触らない）'!$V42+1)&lt;0,"",IF(AND('計算（触らない）'!$F42&lt;=2,('計算（触らない）'!$V42+1)&gt;'計算（触らない）'!$R42),0,INDEX('計算（触らない）'!$AS42:$EP42,MIN(('計算（触らない）'!$V42+1),101)+1))))</f>
        <v/>
      </c>
      <c r="Q42" s="52">
        <f>IF('計算（触らない）'!$U42=0,"",IF(('計算（触らない）'!$V42+2)&lt;0,"",IF(AND('計算（触らない）'!$F42&lt;=2,('計算（触らない）'!$V42+2)&gt;'計算（触らない）'!$R42),0,INDEX('計算（触らない）'!$AS42:$EP42,MIN(('計算（触らない）'!$V42+2),101)+1))))</f>
        <v/>
      </c>
      <c r="R42" s="52">
        <f>IF('計算（触らない）'!$U42=0,"",IF(('計算（触らない）'!$V42+3)&lt;0,"",IF(AND('計算（触らない）'!$F42&lt;=2,('計算（触らない）'!$V42+3)&gt;'計算（触らない）'!$R42),0,INDEX('計算（触らない）'!$AS42:$EP42,MIN(('計算（触らない）'!$V42+3),101)+1))))</f>
        <v/>
      </c>
      <c r="S42" s="52">
        <f>IF('計算（触らない）'!$U42=0,"",IF(('計算（触らない）'!$V42+4)&lt;0,"",IF(AND('計算（触らない）'!$F42&lt;=2,('計算（触らない）'!$V42+4)&gt;'計算（触らない）'!$R42),0,INDEX('計算（触らない）'!$AS42:$EP42,MIN(('計算（触らない）'!$V42+4),101)+1))))</f>
        <v/>
      </c>
      <c r="T42" s="52">
        <f>IF('計算（触らない）'!$U42=0,"",IF(('計算（触らない）'!$V42+5)&lt;0,"",IF(AND('計算（触らない）'!$F42&lt;=2,('計算（触らない）'!$V42+5)&gt;'計算（触らない）'!$R42),0,INDEX('計算（触らない）'!$AS42:$EP42,MIN(('計算（触らない）'!$V42+5),101)+1))))</f>
        <v/>
      </c>
      <c r="U42" s="52">
        <f>IF('計算（触らない）'!$U42=0,"",IF(('計算（触らない）'!$V42+6)&lt;0,"",IF(AND('計算（触らない）'!$F42&lt;=2,('計算（触らない）'!$V42+6)&gt;'計算（触らない）'!$R42),0,INDEX('計算（触らない）'!$AS42:$EP42,MIN(('計算（触らない）'!$V42+6),101)+1))))</f>
        <v/>
      </c>
      <c r="V42" s="52">
        <f>IF('計算（触らない）'!$U42=0,"",IF(('計算（触らない）'!$V42+7)&lt;0,"",IF(AND('計算（触らない）'!$F42&lt;=2,('計算（触らない）'!$V42+7)&gt;'計算（触らない）'!$R42),0,INDEX('計算（触らない）'!$AS42:$EP42,MIN(('計算（触らない）'!$V42+7),101)+1))))</f>
        <v/>
      </c>
      <c r="W42" s="52">
        <f>IF('計算（触らない）'!$U42=0,"",IF(('計算（触らない）'!$V42+8)&lt;0,"",IF(AND('計算（触らない）'!$F42&lt;=2,('計算（触らない）'!$V42+8)&gt;'計算（触らない）'!$R42),0,INDEX('計算（触らない）'!$AS42:$EP42,MIN(('計算（触らない）'!$V42+8),101)+1))))</f>
        <v/>
      </c>
      <c r="X42" s="52">
        <f>IF('計算（触らない）'!$U42=0,"",IF(('計算（触らない）'!$V42+9)&lt;0,"",IF(AND('計算（触らない）'!$F42&lt;=2,('計算（触らない）'!$V42+9)&gt;'計算（触らない）'!$R42),0,INDEX('計算（触らない）'!$AS42:$EP42,MIN(('計算（触らない）'!$V42+9),101)+1))))</f>
        <v/>
      </c>
    </row>
    <row r="43" ht="17" customHeight="1">
      <c r="A43" s="21" t="n">
        <v>38</v>
      </c>
      <c r="B43" s="38">
        <f>IF('計算（触らない）'!$B43=0,"",'固定資産台帳'!$B43&amp;"")</f>
        <v/>
      </c>
      <c r="C43" s="38">
        <f>IF('計算（触らない）'!$B43=0,"",'固定資産台帳'!$H43&amp;"")</f>
        <v/>
      </c>
      <c r="D43" s="52">
        <f>IF('計算（触らない）'!$U43=0,"",IF(('計算（触らない）'!$V43+0)&lt;0,"",INT(ROUND((IF(('計算（触らない）'!$V43+0)=0,'計算（触らない）'!$C43,INDEX('計算（触らない）'!$AS43:$EP43,MIN(('計算（触らない）'!$V43+0),102)))-INDEX('計算（触らない）'!$AS43:$EP43,MIN(('計算（触らない）'!$V43+0),101)+1))*'計算（触らない）'!$N43,6)+'計算（触らない）'!$B$4)))</f>
        <v/>
      </c>
      <c r="E43" s="52">
        <f>IF('計算（触らない）'!$U43=0,"",IF(('計算（触らない）'!$V43+1)&lt;0,"",INT(ROUND((IF(('計算（触らない）'!$V43+1)=0,'計算（触らない）'!$C43,INDEX('計算（触らない）'!$AS43:$EP43,MIN(('計算（触らない）'!$V43+1),102)))-INDEX('計算（触らない）'!$AS43:$EP43,MIN(('計算（触らない）'!$V43+1),101)+1))*'計算（触らない）'!$N43,6)+'計算（触らない）'!$B$4)))</f>
        <v/>
      </c>
      <c r="F43" s="52">
        <f>IF('計算（触らない）'!$U43=0,"",IF(('計算（触らない）'!$V43+2)&lt;0,"",INT(ROUND((IF(('計算（触らない）'!$V43+2)=0,'計算（触らない）'!$C43,INDEX('計算（触らない）'!$AS43:$EP43,MIN(('計算（触らない）'!$V43+2),102)))-INDEX('計算（触らない）'!$AS43:$EP43,MIN(('計算（触らない）'!$V43+2),101)+1))*'計算（触らない）'!$N43,6)+'計算（触らない）'!$B$4)))</f>
        <v/>
      </c>
      <c r="G43" s="52">
        <f>IF('計算（触らない）'!$U43=0,"",IF(('計算（触らない）'!$V43+3)&lt;0,"",INT(ROUND((IF(('計算（触らない）'!$V43+3)=0,'計算（触らない）'!$C43,INDEX('計算（触らない）'!$AS43:$EP43,MIN(('計算（触らない）'!$V43+3),102)))-INDEX('計算（触らない）'!$AS43:$EP43,MIN(('計算（触らない）'!$V43+3),101)+1))*'計算（触らない）'!$N43,6)+'計算（触らない）'!$B$4)))</f>
        <v/>
      </c>
      <c r="H43" s="52">
        <f>IF('計算（触らない）'!$U43=0,"",IF(('計算（触らない）'!$V43+4)&lt;0,"",INT(ROUND((IF(('計算（触らない）'!$V43+4)=0,'計算（触らない）'!$C43,INDEX('計算（触らない）'!$AS43:$EP43,MIN(('計算（触らない）'!$V43+4),102)))-INDEX('計算（触らない）'!$AS43:$EP43,MIN(('計算（触らない）'!$V43+4),101)+1))*'計算（触らない）'!$N43,6)+'計算（触らない）'!$B$4)))</f>
        <v/>
      </c>
      <c r="I43" s="52">
        <f>IF('計算（触らない）'!$U43=0,"",IF(('計算（触らない）'!$V43+5)&lt;0,"",INT(ROUND((IF(('計算（触らない）'!$V43+5)=0,'計算（触らない）'!$C43,INDEX('計算（触らない）'!$AS43:$EP43,MIN(('計算（触らない）'!$V43+5),102)))-INDEX('計算（触らない）'!$AS43:$EP43,MIN(('計算（触らない）'!$V43+5),101)+1))*'計算（触らない）'!$N43,6)+'計算（触らない）'!$B$4)))</f>
        <v/>
      </c>
      <c r="J43" s="52">
        <f>IF('計算（触らない）'!$U43=0,"",IF(('計算（触らない）'!$V43+6)&lt;0,"",INT(ROUND((IF(('計算（触らない）'!$V43+6)=0,'計算（触らない）'!$C43,INDEX('計算（触らない）'!$AS43:$EP43,MIN(('計算（触らない）'!$V43+6),102)))-INDEX('計算（触らない）'!$AS43:$EP43,MIN(('計算（触らない）'!$V43+6),101)+1))*'計算（触らない）'!$N43,6)+'計算（触らない）'!$B$4)))</f>
        <v/>
      </c>
      <c r="K43" s="52">
        <f>IF('計算（触らない）'!$U43=0,"",IF(('計算（触らない）'!$V43+7)&lt;0,"",INT(ROUND((IF(('計算（触らない）'!$V43+7)=0,'計算（触らない）'!$C43,INDEX('計算（触らない）'!$AS43:$EP43,MIN(('計算（触らない）'!$V43+7),102)))-INDEX('計算（触らない）'!$AS43:$EP43,MIN(('計算（触らない）'!$V43+7),101)+1))*'計算（触らない）'!$N43,6)+'計算（触らない）'!$B$4)))</f>
        <v/>
      </c>
      <c r="L43" s="52">
        <f>IF('計算（触らない）'!$U43=0,"",IF(('計算（触らない）'!$V43+8)&lt;0,"",INT(ROUND((IF(('計算（触らない）'!$V43+8)=0,'計算（触らない）'!$C43,INDEX('計算（触らない）'!$AS43:$EP43,MIN(('計算（触らない）'!$V43+8),102)))-INDEX('計算（触らない）'!$AS43:$EP43,MIN(('計算（触らない）'!$V43+8),101)+1))*'計算（触らない）'!$N43,6)+'計算（触らない）'!$B$4)))</f>
        <v/>
      </c>
      <c r="M43" s="52">
        <f>IF('計算（触らない）'!$U43=0,"",IF(('計算（触らない）'!$V43+9)&lt;0,"",INT(ROUND((IF(('計算（触らない）'!$V43+9)=0,'計算（触らない）'!$C43,INDEX('計算（触らない）'!$AS43:$EP43,MIN(('計算（触らない）'!$V43+9),102)))-INDEX('計算（触らない）'!$AS43:$EP43,MIN(('計算（触らない）'!$V43+9),101)+1))*'計算（触らない）'!$N43,6)+'計算（触らない）'!$B$4)))</f>
        <v/>
      </c>
      <c r="N43" s="68" t="n"/>
      <c r="O43" s="52">
        <f>IF('計算（触らない）'!$U43=0,"",IF(('計算（触らない）'!$V43+0)&lt;0,"",IF(AND('計算（触らない）'!$F43&lt;=2,('計算（触らない）'!$V43+0)&gt;'計算（触らない）'!$R43),0,INDEX('計算（触らない）'!$AS43:$EP43,MIN(('計算（触らない）'!$V43+0),101)+1))))</f>
        <v/>
      </c>
      <c r="P43" s="52">
        <f>IF('計算（触らない）'!$U43=0,"",IF(('計算（触らない）'!$V43+1)&lt;0,"",IF(AND('計算（触らない）'!$F43&lt;=2,('計算（触らない）'!$V43+1)&gt;'計算（触らない）'!$R43),0,INDEX('計算（触らない）'!$AS43:$EP43,MIN(('計算（触らない）'!$V43+1),101)+1))))</f>
        <v/>
      </c>
      <c r="Q43" s="52">
        <f>IF('計算（触らない）'!$U43=0,"",IF(('計算（触らない）'!$V43+2)&lt;0,"",IF(AND('計算（触らない）'!$F43&lt;=2,('計算（触らない）'!$V43+2)&gt;'計算（触らない）'!$R43),0,INDEX('計算（触らない）'!$AS43:$EP43,MIN(('計算（触らない）'!$V43+2),101)+1))))</f>
        <v/>
      </c>
      <c r="R43" s="52">
        <f>IF('計算（触らない）'!$U43=0,"",IF(('計算（触らない）'!$V43+3)&lt;0,"",IF(AND('計算（触らない）'!$F43&lt;=2,('計算（触らない）'!$V43+3)&gt;'計算（触らない）'!$R43),0,INDEX('計算（触らない）'!$AS43:$EP43,MIN(('計算（触らない）'!$V43+3),101)+1))))</f>
        <v/>
      </c>
      <c r="S43" s="52">
        <f>IF('計算（触らない）'!$U43=0,"",IF(('計算（触らない）'!$V43+4)&lt;0,"",IF(AND('計算（触らない）'!$F43&lt;=2,('計算（触らない）'!$V43+4)&gt;'計算（触らない）'!$R43),0,INDEX('計算（触らない）'!$AS43:$EP43,MIN(('計算（触らない）'!$V43+4),101)+1))))</f>
        <v/>
      </c>
      <c r="T43" s="52">
        <f>IF('計算（触らない）'!$U43=0,"",IF(('計算（触らない）'!$V43+5)&lt;0,"",IF(AND('計算（触らない）'!$F43&lt;=2,('計算（触らない）'!$V43+5)&gt;'計算（触らない）'!$R43),0,INDEX('計算（触らない）'!$AS43:$EP43,MIN(('計算（触らない）'!$V43+5),101)+1))))</f>
        <v/>
      </c>
      <c r="U43" s="52">
        <f>IF('計算（触らない）'!$U43=0,"",IF(('計算（触らない）'!$V43+6)&lt;0,"",IF(AND('計算（触らない）'!$F43&lt;=2,('計算（触らない）'!$V43+6)&gt;'計算（触らない）'!$R43),0,INDEX('計算（触らない）'!$AS43:$EP43,MIN(('計算（触らない）'!$V43+6),101)+1))))</f>
        <v/>
      </c>
      <c r="V43" s="52">
        <f>IF('計算（触らない）'!$U43=0,"",IF(('計算（触らない）'!$V43+7)&lt;0,"",IF(AND('計算（触らない）'!$F43&lt;=2,('計算（触らない）'!$V43+7)&gt;'計算（触らない）'!$R43),0,INDEX('計算（触らない）'!$AS43:$EP43,MIN(('計算（触らない）'!$V43+7),101)+1))))</f>
        <v/>
      </c>
      <c r="W43" s="52">
        <f>IF('計算（触らない）'!$U43=0,"",IF(('計算（触らない）'!$V43+8)&lt;0,"",IF(AND('計算（触らない）'!$F43&lt;=2,('計算（触らない）'!$V43+8)&gt;'計算（触らない）'!$R43),0,INDEX('計算（触らない）'!$AS43:$EP43,MIN(('計算（触らない）'!$V43+8),101)+1))))</f>
        <v/>
      </c>
      <c r="X43" s="52">
        <f>IF('計算（触らない）'!$U43=0,"",IF(('計算（触らない）'!$V43+9)&lt;0,"",IF(AND('計算（触らない）'!$F43&lt;=2,('計算（触らない）'!$V43+9)&gt;'計算（触らない）'!$R43),0,INDEX('計算（触らない）'!$AS43:$EP43,MIN(('計算（触らない）'!$V43+9),101)+1))))</f>
        <v/>
      </c>
    </row>
    <row r="44" ht="17" customHeight="1">
      <c r="A44" s="21" t="n">
        <v>39</v>
      </c>
      <c r="B44" s="38">
        <f>IF('計算（触らない）'!$B44=0,"",'固定資産台帳'!$B44&amp;"")</f>
        <v/>
      </c>
      <c r="C44" s="38">
        <f>IF('計算（触らない）'!$B44=0,"",'固定資産台帳'!$H44&amp;"")</f>
        <v/>
      </c>
      <c r="D44" s="52">
        <f>IF('計算（触らない）'!$U44=0,"",IF(('計算（触らない）'!$V44+0)&lt;0,"",INT(ROUND((IF(('計算（触らない）'!$V44+0)=0,'計算（触らない）'!$C44,INDEX('計算（触らない）'!$AS44:$EP44,MIN(('計算（触らない）'!$V44+0),102)))-INDEX('計算（触らない）'!$AS44:$EP44,MIN(('計算（触らない）'!$V44+0),101)+1))*'計算（触らない）'!$N44,6)+'計算（触らない）'!$B$4)))</f>
        <v/>
      </c>
      <c r="E44" s="52">
        <f>IF('計算（触らない）'!$U44=0,"",IF(('計算（触らない）'!$V44+1)&lt;0,"",INT(ROUND((IF(('計算（触らない）'!$V44+1)=0,'計算（触らない）'!$C44,INDEX('計算（触らない）'!$AS44:$EP44,MIN(('計算（触らない）'!$V44+1),102)))-INDEX('計算（触らない）'!$AS44:$EP44,MIN(('計算（触らない）'!$V44+1),101)+1))*'計算（触らない）'!$N44,6)+'計算（触らない）'!$B$4)))</f>
        <v/>
      </c>
      <c r="F44" s="52">
        <f>IF('計算（触らない）'!$U44=0,"",IF(('計算（触らない）'!$V44+2)&lt;0,"",INT(ROUND((IF(('計算（触らない）'!$V44+2)=0,'計算（触らない）'!$C44,INDEX('計算（触らない）'!$AS44:$EP44,MIN(('計算（触らない）'!$V44+2),102)))-INDEX('計算（触らない）'!$AS44:$EP44,MIN(('計算（触らない）'!$V44+2),101)+1))*'計算（触らない）'!$N44,6)+'計算（触らない）'!$B$4)))</f>
        <v/>
      </c>
      <c r="G44" s="52">
        <f>IF('計算（触らない）'!$U44=0,"",IF(('計算（触らない）'!$V44+3)&lt;0,"",INT(ROUND((IF(('計算（触らない）'!$V44+3)=0,'計算（触らない）'!$C44,INDEX('計算（触らない）'!$AS44:$EP44,MIN(('計算（触らない）'!$V44+3),102)))-INDEX('計算（触らない）'!$AS44:$EP44,MIN(('計算（触らない）'!$V44+3),101)+1))*'計算（触らない）'!$N44,6)+'計算（触らない）'!$B$4)))</f>
        <v/>
      </c>
      <c r="H44" s="52">
        <f>IF('計算（触らない）'!$U44=0,"",IF(('計算（触らない）'!$V44+4)&lt;0,"",INT(ROUND((IF(('計算（触らない）'!$V44+4)=0,'計算（触らない）'!$C44,INDEX('計算（触らない）'!$AS44:$EP44,MIN(('計算（触らない）'!$V44+4),102)))-INDEX('計算（触らない）'!$AS44:$EP44,MIN(('計算（触らない）'!$V44+4),101)+1))*'計算（触らない）'!$N44,6)+'計算（触らない）'!$B$4)))</f>
        <v/>
      </c>
      <c r="I44" s="52">
        <f>IF('計算（触らない）'!$U44=0,"",IF(('計算（触らない）'!$V44+5)&lt;0,"",INT(ROUND((IF(('計算（触らない）'!$V44+5)=0,'計算（触らない）'!$C44,INDEX('計算（触らない）'!$AS44:$EP44,MIN(('計算（触らない）'!$V44+5),102)))-INDEX('計算（触らない）'!$AS44:$EP44,MIN(('計算（触らない）'!$V44+5),101)+1))*'計算（触らない）'!$N44,6)+'計算（触らない）'!$B$4)))</f>
        <v/>
      </c>
      <c r="J44" s="52">
        <f>IF('計算（触らない）'!$U44=0,"",IF(('計算（触らない）'!$V44+6)&lt;0,"",INT(ROUND((IF(('計算（触らない）'!$V44+6)=0,'計算（触らない）'!$C44,INDEX('計算（触らない）'!$AS44:$EP44,MIN(('計算（触らない）'!$V44+6),102)))-INDEX('計算（触らない）'!$AS44:$EP44,MIN(('計算（触らない）'!$V44+6),101)+1))*'計算（触らない）'!$N44,6)+'計算（触らない）'!$B$4)))</f>
        <v/>
      </c>
      <c r="K44" s="52">
        <f>IF('計算（触らない）'!$U44=0,"",IF(('計算（触らない）'!$V44+7)&lt;0,"",INT(ROUND((IF(('計算（触らない）'!$V44+7)=0,'計算（触らない）'!$C44,INDEX('計算（触らない）'!$AS44:$EP44,MIN(('計算（触らない）'!$V44+7),102)))-INDEX('計算（触らない）'!$AS44:$EP44,MIN(('計算（触らない）'!$V44+7),101)+1))*'計算（触らない）'!$N44,6)+'計算（触らない）'!$B$4)))</f>
        <v/>
      </c>
      <c r="L44" s="52">
        <f>IF('計算（触らない）'!$U44=0,"",IF(('計算（触らない）'!$V44+8)&lt;0,"",INT(ROUND((IF(('計算（触らない）'!$V44+8)=0,'計算（触らない）'!$C44,INDEX('計算（触らない）'!$AS44:$EP44,MIN(('計算（触らない）'!$V44+8),102)))-INDEX('計算（触らない）'!$AS44:$EP44,MIN(('計算（触らない）'!$V44+8),101)+1))*'計算（触らない）'!$N44,6)+'計算（触らない）'!$B$4)))</f>
        <v/>
      </c>
      <c r="M44" s="52">
        <f>IF('計算（触らない）'!$U44=0,"",IF(('計算（触らない）'!$V44+9)&lt;0,"",INT(ROUND((IF(('計算（触らない）'!$V44+9)=0,'計算（触らない）'!$C44,INDEX('計算（触らない）'!$AS44:$EP44,MIN(('計算（触らない）'!$V44+9),102)))-INDEX('計算（触らない）'!$AS44:$EP44,MIN(('計算（触らない）'!$V44+9),101)+1))*'計算（触らない）'!$N44,6)+'計算（触らない）'!$B$4)))</f>
        <v/>
      </c>
      <c r="N44" s="68" t="n"/>
      <c r="O44" s="52">
        <f>IF('計算（触らない）'!$U44=0,"",IF(('計算（触らない）'!$V44+0)&lt;0,"",IF(AND('計算（触らない）'!$F44&lt;=2,('計算（触らない）'!$V44+0)&gt;'計算（触らない）'!$R44),0,INDEX('計算（触らない）'!$AS44:$EP44,MIN(('計算（触らない）'!$V44+0),101)+1))))</f>
        <v/>
      </c>
      <c r="P44" s="52">
        <f>IF('計算（触らない）'!$U44=0,"",IF(('計算（触らない）'!$V44+1)&lt;0,"",IF(AND('計算（触らない）'!$F44&lt;=2,('計算（触らない）'!$V44+1)&gt;'計算（触らない）'!$R44),0,INDEX('計算（触らない）'!$AS44:$EP44,MIN(('計算（触らない）'!$V44+1),101)+1))))</f>
        <v/>
      </c>
      <c r="Q44" s="52">
        <f>IF('計算（触らない）'!$U44=0,"",IF(('計算（触らない）'!$V44+2)&lt;0,"",IF(AND('計算（触らない）'!$F44&lt;=2,('計算（触らない）'!$V44+2)&gt;'計算（触らない）'!$R44),0,INDEX('計算（触らない）'!$AS44:$EP44,MIN(('計算（触らない）'!$V44+2),101)+1))))</f>
        <v/>
      </c>
      <c r="R44" s="52">
        <f>IF('計算（触らない）'!$U44=0,"",IF(('計算（触らない）'!$V44+3)&lt;0,"",IF(AND('計算（触らない）'!$F44&lt;=2,('計算（触らない）'!$V44+3)&gt;'計算（触らない）'!$R44),0,INDEX('計算（触らない）'!$AS44:$EP44,MIN(('計算（触らない）'!$V44+3),101)+1))))</f>
        <v/>
      </c>
      <c r="S44" s="52">
        <f>IF('計算（触らない）'!$U44=0,"",IF(('計算（触らない）'!$V44+4)&lt;0,"",IF(AND('計算（触らない）'!$F44&lt;=2,('計算（触らない）'!$V44+4)&gt;'計算（触らない）'!$R44),0,INDEX('計算（触らない）'!$AS44:$EP44,MIN(('計算（触らない）'!$V44+4),101)+1))))</f>
        <v/>
      </c>
      <c r="T44" s="52">
        <f>IF('計算（触らない）'!$U44=0,"",IF(('計算（触らない）'!$V44+5)&lt;0,"",IF(AND('計算（触らない）'!$F44&lt;=2,('計算（触らない）'!$V44+5)&gt;'計算（触らない）'!$R44),0,INDEX('計算（触らない）'!$AS44:$EP44,MIN(('計算（触らない）'!$V44+5),101)+1))))</f>
        <v/>
      </c>
      <c r="U44" s="52">
        <f>IF('計算（触らない）'!$U44=0,"",IF(('計算（触らない）'!$V44+6)&lt;0,"",IF(AND('計算（触らない）'!$F44&lt;=2,('計算（触らない）'!$V44+6)&gt;'計算（触らない）'!$R44),0,INDEX('計算（触らない）'!$AS44:$EP44,MIN(('計算（触らない）'!$V44+6),101)+1))))</f>
        <v/>
      </c>
      <c r="V44" s="52">
        <f>IF('計算（触らない）'!$U44=0,"",IF(('計算（触らない）'!$V44+7)&lt;0,"",IF(AND('計算（触らない）'!$F44&lt;=2,('計算（触らない）'!$V44+7)&gt;'計算（触らない）'!$R44),0,INDEX('計算（触らない）'!$AS44:$EP44,MIN(('計算（触らない）'!$V44+7),101)+1))))</f>
        <v/>
      </c>
      <c r="W44" s="52">
        <f>IF('計算（触らない）'!$U44=0,"",IF(('計算（触らない）'!$V44+8)&lt;0,"",IF(AND('計算（触らない）'!$F44&lt;=2,('計算（触らない）'!$V44+8)&gt;'計算（触らない）'!$R44),0,INDEX('計算（触らない）'!$AS44:$EP44,MIN(('計算（触らない）'!$V44+8),101)+1))))</f>
        <v/>
      </c>
      <c r="X44" s="52">
        <f>IF('計算（触らない）'!$U44=0,"",IF(('計算（触らない）'!$V44+9)&lt;0,"",IF(AND('計算（触らない）'!$F44&lt;=2,('計算（触らない）'!$V44+9)&gt;'計算（触らない）'!$R44),0,INDEX('計算（触らない）'!$AS44:$EP44,MIN(('計算（触らない）'!$V44+9),101)+1))))</f>
        <v/>
      </c>
    </row>
    <row r="45" ht="17" customHeight="1">
      <c r="A45" s="21" t="n">
        <v>40</v>
      </c>
      <c r="B45" s="38">
        <f>IF('計算（触らない）'!$B45=0,"",'固定資産台帳'!$B45&amp;"")</f>
        <v/>
      </c>
      <c r="C45" s="38">
        <f>IF('計算（触らない）'!$B45=0,"",'固定資産台帳'!$H45&amp;"")</f>
        <v/>
      </c>
      <c r="D45" s="52">
        <f>IF('計算（触らない）'!$U45=0,"",IF(('計算（触らない）'!$V45+0)&lt;0,"",INT(ROUND((IF(('計算（触らない）'!$V45+0)=0,'計算（触らない）'!$C45,INDEX('計算（触らない）'!$AS45:$EP45,MIN(('計算（触らない）'!$V45+0),102)))-INDEX('計算（触らない）'!$AS45:$EP45,MIN(('計算（触らない）'!$V45+0),101)+1))*'計算（触らない）'!$N45,6)+'計算（触らない）'!$B$4)))</f>
        <v/>
      </c>
      <c r="E45" s="52">
        <f>IF('計算（触らない）'!$U45=0,"",IF(('計算（触らない）'!$V45+1)&lt;0,"",INT(ROUND((IF(('計算（触らない）'!$V45+1)=0,'計算（触らない）'!$C45,INDEX('計算（触らない）'!$AS45:$EP45,MIN(('計算（触らない）'!$V45+1),102)))-INDEX('計算（触らない）'!$AS45:$EP45,MIN(('計算（触らない）'!$V45+1),101)+1))*'計算（触らない）'!$N45,6)+'計算（触らない）'!$B$4)))</f>
        <v/>
      </c>
      <c r="F45" s="52">
        <f>IF('計算（触らない）'!$U45=0,"",IF(('計算（触らない）'!$V45+2)&lt;0,"",INT(ROUND((IF(('計算（触らない）'!$V45+2)=0,'計算（触らない）'!$C45,INDEX('計算（触らない）'!$AS45:$EP45,MIN(('計算（触らない）'!$V45+2),102)))-INDEX('計算（触らない）'!$AS45:$EP45,MIN(('計算（触らない）'!$V45+2),101)+1))*'計算（触らない）'!$N45,6)+'計算（触らない）'!$B$4)))</f>
        <v/>
      </c>
      <c r="G45" s="52">
        <f>IF('計算（触らない）'!$U45=0,"",IF(('計算（触らない）'!$V45+3)&lt;0,"",INT(ROUND((IF(('計算（触らない）'!$V45+3)=0,'計算（触らない）'!$C45,INDEX('計算（触らない）'!$AS45:$EP45,MIN(('計算（触らない）'!$V45+3),102)))-INDEX('計算（触らない）'!$AS45:$EP45,MIN(('計算（触らない）'!$V45+3),101)+1))*'計算（触らない）'!$N45,6)+'計算（触らない）'!$B$4)))</f>
        <v/>
      </c>
      <c r="H45" s="52">
        <f>IF('計算（触らない）'!$U45=0,"",IF(('計算（触らない）'!$V45+4)&lt;0,"",INT(ROUND((IF(('計算（触らない）'!$V45+4)=0,'計算（触らない）'!$C45,INDEX('計算（触らない）'!$AS45:$EP45,MIN(('計算（触らない）'!$V45+4),102)))-INDEX('計算（触らない）'!$AS45:$EP45,MIN(('計算（触らない）'!$V45+4),101)+1))*'計算（触らない）'!$N45,6)+'計算（触らない）'!$B$4)))</f>
        <v/>
      </c>
      <c r="I45" s="52">
        <f>IF('計算（触らない）'!$U45=0,"",IF(('計算（触らない）'!$V45+5)&lt;0,"",INT(ROUND((IF(('計算（触らない）'!$V45+5)=0,'計算（触らない）'!$C45,INDEX('計算（触らない）'!$AS45:$EP45,MIN(('計算（触らない）'!$V45+5),102)))-INDEX('計算（触らない）'!$AS45:$EP45,MIN(('計算（触らない）'!$V45+5),101)+1))*'計算（触らない）'!$N45,6)+'計算（触らない）'!$B$4)))</f>
        <v/>
      </c>
      <c r="J45" s="52">
        <f>IF('計算（触らない）'!$U45=0,"",IF(('計算（触らない）'!$V45+6)&lt;0,"",INT(ROUND((IF(('計算（触らない）'!$V45+6)=0,'計算（触らない）'!$C45,INDEX('計算（触らない）'!$AS45:$EP45,MIN(('計算（触らない）'!$V45+6),102)))-INDEX('計算（触らない）'!$AS45:$EP45,MIN(('計算（触らない）'!$V45+6),101)+1))*'計算（触らない）'!$N45,6)+'計算（触らない）'!$B$4)))</f>
        <v/>
      </c>
      <c r="K45" s="52">
        <f>IF('計算（触らない）'!$U45=0,"",IF(('計算（触らない）'!$V45+7)&lt;0,"",INT(ROUND((IF(('計算（触らない）'!$V45+7)=0,'計算（触らない）'!$C45,INDEX('計算（触らない）'!$AS45:$EP45,MIN(('計算（触らない）'!$V45+7),102)))-INDEX('計算（触らない）'!$AS45:$EP45,MIN(('計算（触らない）'!$V45+7),101)+1))*'計算（触らない）'!$N45,6)+'計算（触らない）'!$B$4)))</f>
        <v/>
      </c>
      <c r="L45" s="52">
        <f>IF('計算（触らない）'!$U45=0,"",IF(('計算（触らない）'!$V45+8)&lt;0,"",INT(ROUND((IF(('計算（触らない）'!$V45+8)=0,'計算（触らない）'!$C45,INDEX('計算（触らない）'!$AS45:$EP45,MIN(('計算（触らない）'!$V45+8),102)))-INDEX('計算（触らない）'!$AS45:$EP45,MIN(('計算（触らない）'!$V45+8),101)+1))*'計算（触らない）'!$N45,6)+'計算（触らない）'!$B$4)))</f>
        <v/>
      </c>
      <c r="M45" s="52">
        <f>IF('計算（触らない）'!$U45=0,"",IF(('計算（触らない）'!$V45+9)&lt;0,"",INT(ROUND((IF(('計算（触らない）'!$V45+9)=0,'計算（触らない）'!$C45,INDEX('計算（触らない）'!$AS45:$EP45,MIN(('計算（触らない）'!$V45+9),102)))-INDEX('計算（触らない）'!$AS45:$EP45,MIN(('計算（触らない）'!$V45+9),101)+1))*'計算（触らない）'!$N45,6)+'計算（触らない）'!$B$4)))</f>
        <v/>
      </c>
      <c r="N45" s="68" t="n"/>
      <c r="O45" s="52">
        <f>IF('計算（触らない）'!$U45=0,"",IF(('計算（触らない）'!$V45+0)&lt;0,"",IF(AND('計算（触らない）'!$F45&lt;=2,('計算（触らない）'!$V45+0)&gt;'計算（触らない）'!$R45),0,INDEX('計算（触らない）'!$AS45:$EP45,MIN(('計算（触らない）'!$V45+0),101)+1))))</f>
        <v/>
      </c>
      <c r="P45" s="52">
        <f>IF('計算（触らない）'!$U45=0,"",IF(('計算（触らない）'!$V45+1)&lt;0,"",IF(AND('計算（触らない）'!$F45&lt;=2,('計算（触らない）'!$V45+1)&gt;'計算（触らない）'!$R45),0,INDEX('計算（触らない）'!$AS45:$EP45,MIN(('計算（触らない）'!$V45+1),101)+1))))</f>
        <v/>
      </c>
      <c r="Q45" s="52">
        <f>IF('計算（触らない）'!$U45=0,"",IF(('計算（触らない）'!$V45+2)&lt;0,"",IF(AND('計算（触らない）'!$F45&lt;=2,('計算（触らない）'!$V45+2)&gt;'計算（触らない）'!$R45),0,INDEX('計算（触らない）'!$AS45:$EP45,MIN(('計算（触らない）'!$V45+2),101)+1))))</f>
        <v/>
      </c>
      <c r="R45" s="52">
        <f>IF('計算（触らない）'!$U45=0,"",IF(('計算（触らない）'!$V45+3)&lt;0,"",IF(AND('計算（触らない）'!$F45&lt;=2,('計算（触らない）'!$V45+3)&gt;'計算（触らない）'!$R45),0,INDEX('計算（触らない）'!$AS45:$EP45,MIN(('計算（触らない）'!$V45+3),101)+1))))</f>
        <v/>
      </c>
      <c r="S45" s="52">
        <f>IF('計算（触らない）'!$U45=0,"",IF(('計算（触らない）'!$V45+4)&lt;0,"",IF(AND('計算（触らない）'!$F45&lt;=2,('計算（触らない）'!$V45+4)&gt;'計算（触らない）'!$R45),0,INDEX('計算（触らない）'!$AS45:$EP45,MIN(('計算（触らない）'!$V45+4),101)+1))))</f>
        <v/>
      </c>
      <c r="T45" s="52">
        <f>IF('計算（触らない）'!$U45=0,"",IF(('計算（触らない）'!$V45+5)&lt;0,"",IF(AND('計算（触らない）'!$F45&lt;=2,('計算（触らない）'!$V45+5)&gt;'計算（触らない）'!$R45),0,INDEX('計算（触らない）'!$AS45:$EP45,MIN(('計算（触らない）'!$V45+5),101)+1))))</f>
        <v/>
      </c>
      <c r="U45" s="52">
        <f>IF('計算（触らない）'!$U45=0,"",IF(('計算（触らない）'!$V45+6)&lt;0,"",IF(AND('計算（触らない）'!$F45&lt;=2,('計算（触らない）'!$V45+6)&gt;'計算（触らない）'!$R45),0,INDEX('計算（触らない）'!$AS45:$EP45,MIN(('計算（触らない）'!$V45+6),101)+1))))</f>
        <v/>
      </c>
      <c r="V45" s="52">
        <f>IF('計算（触らない）'!$U45=0,"",IF(('計算（触らない）'!$V45+7)&lt;0,"",IF(AND('計算（触らない）'!$F45&lt;=2,('計算（触らない）'!$V45+7)&gt;'計算（触らない）'!$R45),0,INDEX('計算（触らない）'!$AS45:$EP45,MIN(('計算（触らない）'!$V45+7),101)+1))))</f>
        <v/>
      </c>
      <c r="W45" s="52">
        <f>IF('計算（触らない）'!$U45=0,"",IF(('計算（触らない）'!$V45+8)&lt;0,"",IF(AND('計算（触らない）'!$F45&lt;=2,('計算（触らない）'!$V45+8)&gt;'計算（触らない）'!$R45),0,INDEX('計算（触らない）'!$AS45:$EP45,MIN(('計算（触らない）'!$V45+8),101)+1))))</f>
        <v/>
      </c>
      <c r="X45" s="52">
        <f>IF('計算（触らない）'!$U45=0,"",IF(('計算（触らない）'!$V45+9)&lt;0,"",IF(AND('計算（触らない）'!$F45&lt;=2,('計算（触らない）'!$V45+9)&gt;'計算（触らない）'!$R45),0,INDEX('計算（触らない）'!$AS45:$EP45,MIN(('計算（触らない）'!$V45+9),101)+1))))</f>
        <v/>
      </c>
    </row>
    <row r="46" ht="17" customHeight="1">
      <c r="A46" s="21" t="n">
        <v>41</v>
      </c>
      <c r="B46" s="38">
        <f>IF('計算（触らない）'!$B46=0,"",'固定資産台帳'!$B46&amp;"")</f>
        <v/>
      </c>
      <c r="C46" s="38">
        <f>IF('計算（触らない）'!$B46=0,"",'固定資産台帳'!$H46&amp;"")</f>
        <v/>
      </c>
      <c r="D46" s="52">
        <f>IF('計算（触らない）'!$U46=0,"",IF(('計算（触らない）'!$V46+0)&lt;0,"",INT(ROUND((IF(('計算（触らない）'!$V46+0)=0,'計算（触らない）'!$C46,INDEX('計算（触らない）'!$AS46:$EP46,MIN(('計算（触らない）'!$V46+0),102)))-INDEX('計算（触らない）'!$AS46:$EP46,MIN(('計算（触らない）'!$V46+0),101)+1))*'計算（触らない）'!$N46,6)+'計算（触らない）'!$B$4)))</f>
        <v/>
      </c>
      <c r="E46" s="52">
        <f>IF('計算（触らない）'!$U46=0,"",IF(('計算（触らない）'!$V46+1)&lt;0,"",INT(ROUND((IF(('計算（触らない）'!$V46+1)=0,'計算（触らない）'!$C46,INDEX('計算（触らない）'!$AS46:$EP46,MIN(('計算（触らない）'!$V46+1),102)))-INDEX('計算（触らない）'!$AS46:$EP46,MIN(('計算（触らない）'!$V46+1),101)+1))*'計算（触らない）'!$N46,6)+'計算（触らない）'!$B$4)))</f>
        <v/>
      </c>
      <c r="F46" s="52">
        <f>IF('計算（触らない）'!$U46=0,"",IF(('計算（触らない）'!$V46+2)&lt;0,"",INT(ROUND((IF(('計算（触らない）'!$V46+2)=0,'計算（触らない）'!$C46,INDEX('計算（触らない）'!$AS46:$EP46,MIN(('計算（触らない）'!$V46+2),102)))-INDEX('計算（触らない）'!$AS46:$EP46,MIN(('計算（触らない）'!$V46+2),101)+1))*'計算（触らない）'!$N46,6)+'計算（触らない）'!$B$4)))</f>
        <v/>
      </c>
      <c r="G46" s="52">
        <f>IF('計算（触らない）'!$U46=0,"",IF(('計算（触らない）'!$V46+3)&lt;0,"",INT(ROUND((IF(('計算（触らない）'!$V46+3)=0,'計算（触らない）'!$C46,INDEX('計算（触らない）'!$AS46:$EP46,MIN(('計算（触らない）'!$V46+3),102)))-INDEX('計算（触らない）'!$AS46:$EP46,MIN(('計算（触らない）'!$V46+3),101)+1))*'計算（触らない）'!$N46,6)+'計算（触らない）'!$B$4)))</f>
        <v/>
      </c>
      <c r="H46" s="52">
        <f>IF('計算（触らない）'!$U46=0,"",IF(('計算（触らない）'!$V46+4)&lt;0,"",INT(ROUND((IF(('計算（触らない）'!$V46+4)=0,'計算（触らない）'!$C46,INDEX('計算（触らない）'!$AS46:$EP46,MIN(('計算（触らない）'!$V46+4),102)))-INDEX('計算（触らない）'!$AS46:$EP46,MIN(('計算（触らない）'!$V46+4),101)+1))*'計算（触らない）'!$N46,6)+'計算（触らない）'!$B$4)))</f>
        <v/>
      </c>
      <c r="I46" s="52">
        <f>IF('計算（触らない）'!$U46=0,"",IF(('計算（触らない）'!$V46+5)&lt;0,"",INT(ROUND((IF(('計算（触らない）'!$V46+5)=0,'計算（触らない）'!$C46,INDEX('計算（触らない）'!$AS46:$EP46,MIN(('計算（触らない）'!$V46+5),102)))-INDEX('計算（触らない）'!$AS46:$EP46,MIN(('計算（触らない）'!$V46+5),101)+1))*'計算（触らない）'!$N46,6)+'計算（触らない）'!$B$4)))</f>
        <v/>
      </c>
      <c r="J46" s="52">
        <f>IF('計算（触らない）'!$U46=0,"",IF(('計算（触らない）'!$V46+6)&lt;0,"",INT(ROUND((IF(('計算（触らない）'!$V46+6)=0,'計算（触らない）'!$C46,INDEX('計算（触らない）'!$AS46:$EP46,MIN(('計算（触らない）'!$V46+6),102)))-INDEX('計算（触らない）'!$AS46:$EP46,MIN(('計算（触らない）'!$V46+6),101)+1))*'計算（触らない）'!$N46,6)+'計算（触らない）'!$B$4)))</f>
        <v/>
      </c>
      <c r="K46" s="52">
        <f>IF('計算（触らない）'!$U46=0,"",IF(('計算（触らない）'!$V46+7)&lt;0,"",INT(ROUND((IF(('計算（触らない）'!$V46+7)=0,'計算（触らない）'!$C46,INDEX('計算（触らない）'!$AS46:$EP46,MIN(('計算（触らない）'!$V46+7),102)))-INDEX('計算（触らない）'!$AS46:$EP46,MIN(('計算（触らない）'!$V46+7),101)+1))*'計算（触らない）'!$N46,6)+'計算（触らない）'!$B$4)))</f>
        <v/>
      </c>
      <c r="L46" s="52">
        <f>IF('計算（触らない）'!$U46=0,"",IF(('計算（触らない）'!$V46+8)&lt;0,"",INT(ROUND((IF(('計算（触らない）'!$V46+8)=0,'計算（触らない）'!$C46,INDEX('計算（触らない）'!$AS46:$EP46,MIN(('計算（触らない）'!$V46+8),102)))-INDEX('計算（触らない）'!$AS46:$EP46,MIN(('計算（触らない）'!$V46+8),101)+1))*'計算（触らない）'!$N46,6)+'計算（触らない）'!$B$4)))</f>
        <v/>
      </c>
      <c r="M46" s="52">
        <f>IF('計算（触らない）'!$U46=0,"",IF(('計算（触らない）'!$V46+9)&lt;0,"",INT(ROUND((IF(('計算（触らない）'!$V46+9)=0,'計算（触らない）'!$C46,INDEX('計算（触らない）'!$AS46:$EP46,MIN(('計算（触らない）'!$V46+9),102)))-INDEX('計算（触らない）'!$AS46:$EP46,MIN(('計算（触らない）'!$V46+9),101)+1))*'計算（触らない）'!$N46,6)+'計算（触らない）'!$B$4)))</f>
        <v/>
      </c>
      <c r="N46" s="68" t="n"/>
      <c r="O46" s="52">
        <f>IF('計算（触らない）'!$U46=0,"",IF(('計算（触らない）'!$V46+0)&lt;0,"",IF(AND('計算（触らない）'!$F46&lt;=2,('計算（触らない）'!$V46+0)&gt;'計算（触らない）'!$R46),0,INDEX('計算（触らない）'!$AS46:$EP46,MIN(('計算（触らない）'!$V46+0),101)+1))))</f>
        <v/>
      </c>
      <c r="P46" s="52">
        <f>IF('計算（触らない）'!$U46=0,"",IF(('計算（触らない）'!$V46+1)&lt;0,"",IF(AND('計算（触らない）'!$F46&lt;=2,('計算（触らない）'!$V46+1)&gt;'計算（触らない）'!$R46),0,INDEX('計算（触らない）'!$AS46:$EP46,MIN(('計算（触らない）'!$V46+1),101)+1))))</f>
        <v/>
      </c>
      <c r="Q46" s="52">
        <f>IF('計算（触らない）'!$U46=0,"",IF(('計算（触らない）'!$V46+2)&lt;0,"",IF(AND('計算（触らない）'!$F46&lt;=2,('計算（触らない）'!$V46+2)&gt;'計算（触らない）'!$R46),0,INDEX('計算（触らない）'!$AS46:$EP46,MIN(('計算（触らない）'!$V46+2),101)+1))))</f>
        <v/>
      </c>
      <c r="R46" s="52">
        <f>IF('計算（触らない）'!$U46=0,"",IF(('計算（触らない）'!$V46+3)&lt;0,"",IF(AND('計算（触らない）'!$F46&lt;=2,('計算（触らない）'!$V46+3)&gt;'計算（触らない）'!$R46),0,INDEX('計算（触らない）'!$AS46:$EP46,MIN(('計算（触らない）'!$V46+3),101)+1))))</f>
        <v/>
      </c>
      <c r="S46" s="52">
        <f>IF('計算（触らない）'!$U46=0,"",IF(('計算（触らない）'!$V46+4)&lt;0,"",IF(AND('計算（触らない）'!$F46&lt;=2,('計算（触らない）'!$V46+4)&gt;'計算（触らない）'!$R46),0,INDEX('計算（触らない）'!$AS46:$EP46,MIN(('計算（触らない）'!$V46+4),101)+1))))</f>
        <v/>
      </c>
      <c r="T46" s="52">
        <f>IF('計算（触らない）'!$U46=0,"",IF(('計算（触らない）'!$V46+5)&lt;0,"",IF(AND('計算（触らない）'!$F46&lt;=2,('計算（触らない）'!$V46+5)&gt;'計算（触らない）'!$R46),0,INDEX('計算（触らない）'!$AS46:$EP46,MIN(('計算（触らない）'!$V46+5),101)+1))))</f>
        <v/>
      </c>
      <c r="U46" s="52">
        <f>IF('計算（触らない）'!$U46=0,"",IF(('計算（触らない）'!$V46+6)&lt;0,"",IF(AND('計算（触らない）'!$F46&lt;=2,('計算（触らない）'!$V46+6)&gt;'計算（触らない）'!$R46),0,INDEX('計算（触らない）'!$AS46:$EP46,MIN(('計算（触らない）'!$V46+6),101)+1))))</f>
        <v/>
      </c>
      <c r="V46" s="52">
        <f>IF('計算（触らない）'!$U46=0,"",IF(('計算（触らない）'!$V46+7)&lt;0,"",IF(AND('計算（触らない）'!$F46&lt;=2,('計算（触らない）'!$V46+7)&gt;'計算（触らない）'!$R46),0,INDEX('計算（触らない）'!$AS46:$EP46,MIN(('計算（触らない）'!$V46+7),101)+1))))</f>
        <v/>
      </c>
      <c r="W46" s="52">
        <f>IF('計算（触らない）'!$U46=0,"",IF(('計算（触らない）'!$V46+8)&lt;0,"",IF(AND('計算（触らない）'!$F46&lt;=2,('計算（触らない）'!$V46+8)&gt;'計算（触らない）'!$R46),0,INDEX('計算（触らない）'!$AS46:$EP46,MIN(('計算（触らない）'!$V46+8),101)+1))))</f>
        <v/>
      </c>
      <c r="X46" s="52">
        <f>IF('計算（触らない）'!$U46=0,"",IF(('計算（触らない）'!$V46+9)&lt;0,"",IF(AND('計算（触らない）'!$F46&lt;=2,('計算（触らない）'!$V46+9)&gt;'計算（触らない）'!$R46),0,INDEX('計算（触らない）'!$AS46:$EP46,MIN(('計算（触らない）'!$V46+9),101)+1))))</f>
        <v/>
      </c>
    </row>
    <row r="47" ht="17" customHeight="1">
      <c r="A47" s="21" t="n">
        <v>42</v>
      </c>
      <c r="B47" s="38">
        <f>IF('計算（触らない）'!$B47=0,"",'固定資産台帳'!$B47&amp;"")</f>
        <v/>
      </c>
      <c r="C47" s="38">
        <f>IF('計算（触らない）'!$B47=0,"",'固定資産台帳'!$H47&amp;"")</f>
        <v/>
      </c>
      <c r="D47" s="52">
        <f>IF('計算（触らない）'!$U47=0,"",IF(('計算（触らない）'!$V47+0)&lt;0,"",INT(ROUND((IF(('計算（触らない）'!$V47+0)=0,'計算（触らない）'!$C47,INDEX('計算（触らない）'!$AS47:$EP47,MIN(('計算（触らない）'!$V47+0),102)))-INDEX('計算（触らない）'!$AS47:$EP47,MIN(('計算（触らない）'!$V47+0),101)+1))*'計算（触らない）'!$N47,6)+'計算（触らない）'!$B$4)))</f>
        <v/>
      </c>
      <c r="E47" s="52">
        <f>IF('計算（触らない）'!$U47=0,"",IF(('計算（触らない）'!$V47+1)&lt;0,"",INT(ROUND((IF(('計算（触らない）'!$V47+1)=0,'計算（触らない）'!$C47,INDEX('計算（触らない）'!$AS47:$EP47,MIN(('計算（触らない）'!$V47+1),102)))-INDEX('計算（触らない）'!$AS47:$EP47,MIN(('計算（触らない）'!$V47+1),101)+1))*'計算（触らない）'!$N47,6)+'計算（触らない）'!$B$4)))</f>
        <v/>
      </c>
      <c r="F47" s="52">
        <f>IF('計算（触らない）'!$U47=0,"",IF(('計算（触らない）'!$V47+2)&lt;0,"",INT(ROUND((IF(('計算（触らない）'!$V47+2)=0,'計算（触らない）'!$C47,INDEX('計算（触らない）'!$AS47:$EP47,MIN(('計算（触らない）'!$V47+2),102)))-INDEX('計算（触らない）'!$AS47:$EP47,MIN(('計算（触らない）'!$V47+2),101)+1))*'計算（触らない）'!$N47,6)+'計算（触らない）'!$B$4)))</f>
        <v/>
      </c>
      <c r="G47" s="52">
        <f>IF('計算（触らない）'!$U47=0,"",IF(('計算（触らない）'!$V47+3)&lt;0,"",INT(ROUND((IF(('計算（触らない）'!$V47+3)=0,'計算（触らない）'!$C47,INDEX('計算（触らない）'!$AS47:$EP47,MIN(('計算（触らない）'!$V47+3),102)))-INDEX('計算（触らない）'!$AS47:$EP47,MIN(('計算（触らない）'!$V47+3),101)+1))*'計算（触らない）'!$N47,6)+'計算（触らない）'!$B$4)))</f>
        <v/>
      </c>
      <c r="H47" s="52">
        <f>IF('計算（触らない）'!$U47=0,"",IF(('計算（触らない）'!$V47+4)&lt;0,"",INT(ROUND((IF(('計算（触らない）'!$V47+4)=0,'計算（触らない）'!$C47,INDEX('計算（触らない）'!$AS47:$EP47,MIN(('計算（触らない）'!$V47+4),102)))-INDEX('計算（触らない）'!$AS47:$EP47,MIN(('計算（触らない）'!$V47+4),101)+1))*'計算（触らない）'!$N47,6)+'計算（触らない）'!$B$4)))</f>
        <v/>
      </c>
      <c r="I47" s="52">
        <f>IF('計算（触らない）'!$U47=0,"",IF(('計算（触らない）'!$V47+5)&lt;0,"",INT(ROUND((IF(('計算（触らない）'!$V47+5)=0,'計算（触らない）'!$C47,INDEX('計算（触らない）'!$AS47:$EP47,MIN(('計算（触らない）'!$V47+5),102)))-INDEX('計算（触らない）'!$AS47:$EP47,MIN(('計算（触らない）'!$V47+5),101)+1))*'計算（触らない）'!$N47,6)+'計算（触らない）'!$B$4)))</f>
        <v/>
      </c>
      <c r="J47" s="52">
        <f>IF('計算（触らない）'!$U47=0,"",IF(('計算（触らない）'!$V47+6)&lt;0,"",INT(ROUND((IF(('計算（触らない）'!$V47+6)=0,'計算（触らない）'!$C47,INDEX('計算（触らない）'!$AS47:$EP47,MIN(('計算（触らない）'!$V47+6),102)))-INDEX('計算（触らない）'!$AS47:$EP47,MIN(('計算（触らない）'!$V47+6),101)+1))*'計算（触らない）'!$N47,6)+'計算（触らない）'!$B$4)))</f>
        <v/>
      </c>
      <c r="K47" s="52">
        <f>IF('計算（触らない）'!$U47=0,"",IF(('計算（触らない）'!$V47+7)&lt;0,"",INT(ROUND((IF(('計算（触らない）'!$V47+7)=0,'計算（触らない）'!$C47,INDEX('計算（触らない）'!$AS47:$EP47,MIN(('計算（触らない）'!$V47+7),102)))-INDEX('計算（触らない）'!$AS47:$EP47,MIN(('計算（触らない）'!$V47+7),101)+1))*'計算（触らない）'!$N47,6)+'計算（触らない）'!$B$4)))</f>
        <v/>
      </c>
      <c r="L47" s="52">
        <f>IF('計算（触らない）'!$U47=0,"",IF(('計算（触らない）'!$V47+8)&lt;0,"",INT(ROUND((IF(('計算（触らない）'!$V47+8)=0,'計算（触らない）'!$C47,INDEX('計算（触らない）'!$AS47:$EP47,MIN(('計算（触らない）'!$V47+8),102)))-INDEX('計算（触らない）'!$AS47:$EP47,MIN(('計算（触らない）'!$V47+8),101)+1))*'計算（触らない）'!$N47,6)+'計算（触らない）'!$B$4)))</f>
        <v/>
      </c>
      <c r="M47" s="52">
        <f>IF('計算（触らない）'!$U47=0,"",IF(('計算（触らない）'!$V47+9)&lt;0,"",INT(ROUND((IF(('計算（触らない）'!$V47+9)=0,'計算（触らない）'!$C47,INDEX('計算（触らない）'!$AS47:$EP47,MIN(('計算（触らない）'!$V47+9),102)))-INDEX('計算（触らない）'!$AS47:$EP47,MIN(('計算（触らない）'!$V47+9),101)+1))*'計算（触らない）'!$N47,6)+'計算（触らない）'!$B$4)))</f>
        <v/>
      </c>
      <c r="N47" s="68" t="n"/>
      <c r="O47" s="52">
        <f>IF('計算（触らない）'!$U47=0,"",IF(('計算（触らない）'!$V47+0)&lt;0,"",IF(AND('計算（触らない）'!$F47&lt;=2,('計算（触らない）'!$V47+0)&gt;'計算（触らない）'!$R47),0,INDEX('計算（触らない）'!$AS47:$EP47,MIN(('計算（触らない）'!$V47+0),101)+1))))</f>
        <v/>
      </c>
      <c r="P47" s="52">
        <f>IF('計算（触らない）'!$U47=0,"",IF(('計算（触らない）'!$V47+1)&lt;0,"",IF(AND('計算（触らない）'!$F47&lt;=2,('計算（触らない）'!$V47+1)&gt;'計算（触らない）'!$R47),0,INDEX('計算（触らない）'!$AS47:$EP47,MIN(('計算（触らない）'!$V47+1),101)+1))))</f>
        <v/>
      </c>
      <c r="Q47" s="52">
        <f>IF('計算（触らない）'!$U47=0,"",IF(('計算（触らない）'!$V47+2)&lt;0,"",IF(AND('計算（触らない）'!$F47&lt;=2,('計算（触らない）'!$V47+2)&gt;'計算（触らない）'!$R47),0,INDEX('計算（触らない）'!$AS47:$EP47,MIN(('計算（触らない）'!$V47+2),101)+1))))</f>
        <v/>
      </c>
      <c r="R47" s="52">
        <f>IF('計算（触らない）'!$U47=0,"",IF(('計算（触らない）'!$V47+3)&lt;0,"",IF(AND('計算（触らない）'!$F47&lt;=2,('計算（触らない）'!$V47+3)&gt;'計算（触らない）'!$R47),0,INDEX('計算（触らない）'!$AS47:$EP47,MIN(('計算（触らない）'!$V47+3),101)+1))))</f>
        <v/>
      </c>
      <c r="S47" s="52">
        <f>IF('計算（触らない）'!$U47=0,"",IF(('計算（触らない）'!$V47+4)&lt;0,"",IF(AND('計算（触らない）'!$F47&lt;=2,('計算（触らない）'!$V47+4)&gt;'計算（触らない）'!$R47),0,INDEX('計算（触らない）'!$AS47:$EP47,MIN(('計算（触らない）'!$V47+4),101)+1))))</f>
        <v/>
      </c>
      <c r="T47" s="52">
        <f>IF('計算（触らない）'!$U47=0,"",IF(('計算（触らない）'!$V47+5)&lt;0,"",IF(AND('計算（触らない）'!$F47&lt;=2,('計算（触らない）'!$V47+5)&gt;'計算（触らない）'!$R47),0,INDEX('計算（触らない）'!$AS47:$EP47,MIN(('計算（触らない）'!$V47+5),101)+1))))</f>
        <v/>
      </c>
      <c r="U47" s="52">
        <f>IF('計算（触らない）'!$U47=0,"",IF(('計算（触らない）'!$V47+6)&lt;0,"",IF(AND('計算（触らない）'!$F47&lt;=2,('計算（触らない）'!$V47+6)&gt;'計算（触らない）'!$R47),0,INDEX('計算（触らない）'!$AS47:$EP47,MIN(('計算（触らない）'!$V47+6),101)+1))))</f>
        <v/>
      </c>
      <c r="V47" s="52">
        <f>IF('計算（触らない）'!$U47=0,"",IF(('計算（触らない）'!$V47+7)&lt;0,"",IF(AND('計算（触らない）'!$F47&lt;=2,('計算（触らない）'!$V47+7)&gt;'計算（触らない）'!$R47),0,INDEX('計算（触らない）'!$AS47:$EP47,MIN(('計算（触らない）'!$V47+7),101)+1))))</f>
        <v/>
      </c>
      <c r="W47" s="52">
        <f>IF('計算（触らない）'!$U47=0,"",IF(('計算（触らない）'!$V47+8)&lt;0,"",IF(AND('計算（触らない）'!$F47&lt;=2,('計算（触らない）'!$V47+8)&gt;'計算（触らない）'!$R47),0,INDEX('計算（触らない）'!$AS47:$EP47,MIN(('計算（触らない）'!$V47+8),101)+1))))</f>
        <v/>
      </c>
      <c r="X47" s="52">
        <f>IF('計算（触らない）'!$U47=0,"",IF(('計算（触らない）'!$V47+9)&lt;0,"",IF(AND('計算（触らない）'!$F47&lt;=2,('計算（触らない）'!$V47+9)&gt;'計算（触らない）'!$R47),0,INDEX('計算（触らない）'!$AS47:$EP47,MIN(('計算（触らない）'!$V47+9),101)+1))))</f>
        <v/>
      </c>
    </row>
    <row r="48" ht="17" customHeight="1">
      <c r="A48" s="21" t="n">
        <v>43</v>
      </c>
      <c r="B48" s="38">
        <f>IF('計算（触らない）'!$B48=0,"",'固定資産台帳'!$B48&amp;"")</f>
        <v/>
      </c>
      <c r="C48" s="38">
        <f>IF('計算（触らない）'!$B48=0,"",'固定資産台帳'!$H48&amp;"")</f>
        <v/>
      </c>
      <c r="D48" s="52">
        <f>IF('計算（触らない）'!$U48=0,"",IF(('計算（触らない）'!$V48+0)&lt;0,"",INT(ROUND((IF(('計算（触らない）'!$V48+0)=0,'計算（触らない）'!$C48,INDEX('計算（触らない）'!$AS48:$EP48,MIN(('計算（触らない）'!$V48+0),102)))-INDEX('計算（触らない）'!$AS48:$EP48,MIN(('計算（触らない）'!$V48+0),101)+1))*'計算（触らない）'!$N48,6)+'計算（触らない）'!$B$4)))</f>
        <v/>
      </c>
      <c r="E48" s="52">
        <f>IF('計算（触らない）'!$U48=0,"",IF(('計算（触らない）'!$V48+1)&lt;0,"",INT(ROUND((IF(('計算（触らない）'!$V48+1)=0,'計算（触らない）'!$C48,INDEX('計算（触らない）'!$AS48:$EP48,MIN(('計算（触らない）'!$V48+1),102)))-INDEX('計算（触らない）'!$AS48:$EP48,MIN(('計算（触らない）'!$V48+1),101)+1))*'計算（触らない）'!$N48,6)+'計算（触らない）'!$B$4)))</f>
        <v/>
      </c>
      <c r="F48" s="52">
        <f>IF('計算（触らない）'!$U48=0,"",IF(('計算（触らない）'!$V48+2)&lt;0,"",INT(ROUND((IF(('計算（触らない）'!$V48+2)=0,'計算（触らない）'!$C48,INDEX('計算（触らない）'!$AS48:$EP48,MIN(('計算（触らない）'!$V48+2),102)))-INDEX('計算（触らない）'!$AS48:$EP48,MIN(('計算（触らない）'!$V48+2),101)+1))*'計算（触らない）'!$N48,6)+'計算（触らない）'!$B$4)))</f>
        <v/>
      </c>
      <c r="G48" s="52">
        <f>IF('計算（触らない）'!$U48=0,"",IF(('計算（触らない）'!$V48+3)&lt;0,"",INT(ROUND((IF(('計算（触らない）'!$V48+3)=0,'計算（触らない）'!$C48,INDEX('計算（触らない）'!$AS48:$EP48,MIN(('計算（触らない）'!$V48+3),102)))-INDEX('計算（触らない）'!$AS48:$EP48,MIN(('計算（触らない）'!$V48+3),101)+1))*'計算（触らない）'!$N48,6)+'計算（触らない）'!$B$4)))</f>
        <v/>
      </c>
      <c r="H48" s="52">
        <f>IF('計算（触らない）'!$U48=0,"",IF(('計算（触らない）'!$V48+4)&lt;0,"",INT(ROUND((IF(('計算（触らない）'!$V48+4)=0,'計算（触らない）'!$C48,INDEX('計算（触らない）'!$AS48:$EP48,MIN(('計算（触らない）'!$V48+4),102)))-INDEX('計算（触らない）'!$AS48:$EP48,MIN(('計算（触らない）'!$V48+4),101)+1))*'計算（触らない）'!$N48,6)+'計算（触らない）'!$B$4)))</f>
        <v/>
      </c>
      <c r="I48" s="52">
        <f>IF('計算（触らない）'!$U48=0,"",IF(('計算（触らない）'!$V48+5)&lt;0,"",INT(ROUND((IF(('計算（触らない）'!$V48+5)=0,'計算（触らない）'!$C48,INDEX('計算（触らない）'!$AS48:$EP48,MIN(('計算（触らない）'!$V48+5),102)))-INDEX('計算（触らない）'!$AS48:$EP48,MIN(('計算（触らない）'!$V48+5),101)+1))*'計算（触らない）'!$N48,6)+'計算（触らない）'!$B$4)))</f>
        <v/>
      </c>
      <c r="J48" s="52">
        <f>IF('計算（触らない）'!$U48=0,"",IF(('計算（触らない）'!$V48+6)&lt;0,"",INT(ROUND((IF(('計算（触らない）'!$V48+6)=0,'計算（触らない）'!$C48,INDEX('計算（触らない）'!$AS48:$EP48,MIN(('計算（触らない）'!$V48+6),102)))-INDEX('計算（触らない）'!$AS48:$EP48,MIN(('計算（触らない）'!$V48+6),101)+1))*'計算（触らない）'!$N48,6)+'計算（触らない）'!$B$4)))</f>
        <v/>
      </c>
      <c r="K48" s="52">
        <f>IF('計算（触らない）'!$U48=0,"",IF(('計算（触らない）'!$V48+7)&lt;0,"",INT(ROUND((IF(('計算（触らない）'!$V48+7)=0,'計算（触らない）'!$C48,INDEX('計算（触らない）'!$AS48:$EP48,MIN(('計算（触らない）'!$V48+7),102)))-INDEX('計算（触らない）'!$AS48:$EP48,MIN(('計算（触らない）'!$V48+7),101)+1))*'計算（触らない）'!$N48,6)+'計算（触らない）'!$B$4)))</f>
        <v/>
      </c>
      <c r="L48" s="52">
        <f>IF('計算（触らない）'!$U48=0,"",IF(('計算（触らない）'!$V48+8)&lt;0,"",INT(ROUND((IF(('計算（触らない）'!$V48+8)=0,'計算（触らない）'!$C48,INDEX('計算（触らない）'!$AS48:$EP48,MIN(('計算（触らない）'!$V48+8),102)))-INDEX('計算（触らない）'!$AS48:$EP48,MIN(('計算（触らない）'!$V48+8),101)+1))*'計算（触らない）'!$N48,6)+'計算（触らない）'!$B$4)))</f>
        <v/>
      </c>
      <c r="M48" s="52">
        <f>IF('計算（触らない）'!$U48=0,"",IF(('計算（触らない）'!$V48+9)&lt;0,"",INT(ROUND((IF(('計算（触らない）'!$V48+9)=0,'計算（触らない）'!$C48,INDEX('計算（触らない）'!$AS48:$EP48,MIN(('計算（触らない）'!$V48+9),102)))-INDEX('計算（触らない）'!$AS48:$EP48,MIN(('計算（触らない）'!$V48+9),101)+1))*'計算（触らない）'!$N48,6)+'計算（触らない）'!$B$4)))</f>
        <v/>
      </c>
      <c r="N48" s="68" t="n"/>
      <c r="O48" s="52">
        <f>IF('計算（触らない）'!$U48=0,"",IF(('計算（触らない）'!$V48+0)&lt;0,"",IF(AND('計算（触らない）'!$F48&lt;=2,('計算（触らない）'!$V48+0)&gt;'計算（触らない）'!$R48),0,INDEX('計算（触らない）'!$AS48:$EP48,MIN(('計算（触らない）'!$V48+0),101)+1))))</f>
        <v/>
      </c>
      <c r="P48" s="52">
        <f>IF('計算（触らない）'!$U48=0,"",IF(('計算（触らない）'!$V48+1)&lt;0,"",IF(AND('計算（触らない）'!$F48&lt;=2,('計算（触らない）'!$V48+1)&gt;'計算（触らない）'!$R48),0,INDEX('計算（触らない）'!$AS48:$EP48,MIN(('計算（触らない）'!$V48+1),101)+1))))</f>
        <v/>
      </c>
      <c r="Q48" s="52">
        <f>IF('計算（触らない）'!$U48=0,"",IF(('計算（触らない）'!$V48+2)&lt;0,"",IF(AND('計算（触らない）'!$F48&lt;=2,('計算（触らない）'!$V48+2)&gt;'計算（触らない）'!$R48),0,INDEX('計算（触らない）'!$AS48:$EP48,MIN(('計算（触らない）'!$V48+2),101)+1))))</f>
        <v/>
      </c>
      <c r="R48" s="52">
        <f>IF('計算（触らない）'!$U48=0,"",IF(('計算（触らない）'!$V48+3)&lt;0,"",IF(AND('計算（触らない）'!$F48&lt;=2,('計算（触らない）'!$V48+3)&gt;'計算（触らない）'!$R48),0,INDEX('計算（触らない）'!$AS48:$EP48,MIN(('計算（触らない）'!$V48+3),101)+1))))</f>
        <v/>
      </c>
      <c r="S48" s="52">
        <f>IF('計算（触らない）'!$U48=0,"",IF(('計算（触らない）'!$V48+4)&lt;0,"",IF(AND('計算（触らない）'!$F48&lt;=2,('計算（触らない）'!$V48+4)&gt;'計算（触らない）'!$R48),0,INDEX('計算（触らない）'!$AS48:$EP48,MIN(('計算（触らない）'!$V48+4),101)+1))))</f>
        <v/>
      </c>
      <c r="T48" s="52">
        <f>IF('計算（触らない）'!$U48=0,"",IF(('計算（触らない）'!$V48+5)&lt;0,"",IF(AND('計算（触らない）'!$F48&lt;=2,('計算（触らない）'!$V48+5)&gt;'計算（触らない）'!$R48),0,INDEX('計算（触らない）'!$AS48:$EP48,MIN(('計算（触らない）'!$V48+5),101)+1))))</f>
        <v/>
      </c>
      <c r="U48" s="52">
        <f>IF('計算（触らない）'!$U48=0,"",IF(('計算（触らない）'!$V48+6)&lt;0,"",IF(AND('計算（触らない）'!$F48&lt;=2,('計算（触らない）'!$V48+6)&gt;'計算（触らない）'!$R48),0,INDEX('計算（触らない）'!$AS48:$EP48,MIN(('計算（触らない）'!$V48+6),101)+1))))</f>
        <v/>
      </c>
      <c r="V48" s="52">
        <f>IF('計算（触らない）'!$U48=0,"",IF(('計算（触らない）'!$V48+7)&lt;0,"",IF(AND('計算（触らない）'!$F48&lt;=2,('計算（触らない）'!$V48+7)&gt;'計算（触らない）'!$R48),0,INDEX('計算（触らない）'!$AS48:$EP48,MIN(('計算（触らない）'!$V48+7),101)+1))))</f>
        <v/>
      </c>
      <c r="W48" s="52">
        <f>IF('計算（触らない）'!$U48=0,"",IF(('計算（触らない）'!$V48+8)&lt;0,"",IF(AND('計算（触らない）'!$F48&lt;=2,('計算（触らない）'!$V48+8)&gt;'計算（触らない）'!$R48),0,INDEX('計算（触らない）'!$AS48:$EP48,MIN(('計算（触らない）'!$V48+8),101)+1))))</f>
        <v/>
      </c>
      <c r="X48" s="52">
        <f>IF('計算（触らない）'!$U48=0,"",IF(('計算（触らない）'!$V48+9)&lt;0,"",IF(AND('計算（触らない）'!$F48&lt;=2,('計算（触らない）'!$V48+9)&gt;'計算（触らない）'!$R48),0,INDEX('計算（触らない）'!$AS48:$EP48,MIN(('計算（触らない）'!$V48+9),101)+1))))</f>
        <v/>
      </c>
    </row>
    <row r="49" ht="17" customHeight="1">
      <c r="A49" s="21" t="n">
        <v>44</v>
      </c>
      <c r="B49" s="38">
        <f>IF('計算（触らない）'!$B49=0,"",'固定資産台帳'!$B49&amp;"")</f>
        <v/>
      </c>
      <c r="C49" s="38">
        <f>IF('計算（触らない）'!$B49=0,"",'固定資産台帳'!$H49&amp;"")</f>
        <v/>
      </c>
      <c r="D49" s="52">
        <f>IF('計算（触らない）'!$U49=0,"",IF(('計算（触らない）'!$V49+0)&lt;0,"",INT(ROUND((IF(('計算（触らない）'!$V49+0)=0,'計算（触らない）'!$C49,INDEX('計算（触らない）'!$AS49:$EP49,MIN(('計算（触らない）'!$V49+0),102)))-INDEX('計算（触らない）'!$AS49:$EP49,MIN(('計算（触らない）'!$V49+0),101)+1))*'計算（触らない）'!$N49,6)+'計算（触らない）'!$B$4)))</f>
        <v/>
      </c>
      <c r="E49" s="52">
        <f>IF('計算（触らない）'!$U49=0,"",IF(('計算（触らない）'!$V49+1)&lt;0,"",INT(ROUND((IF(('計算（触らない）'!$V49+1)=0,'計算（触らない）'!$C49,INDEX('計算（触らない）'!$AS49:$EP49,MIN(('計算（触らない）'!$V49+1),102)))-INDEX('計算（触らない）'!$AS49:$EP49,MIN(('計算（触らない）'!$V49+1),101)+1))*'計算（触らない）'!$N49,6)+'計算（触らない）'!$B$4)))</f>
        <v/>
      </c>
      <c r="F49" s="52">
        <f>IF('計算（触らない）'!$U49=0,"",IF(('計算（触らない）'!$V49+2)&lt;0,"",INT(ROUND((IF(('計算（触らない）'!$V49+2)=0,'計算（触らない）'!$C49,INDEX('計算（触らない）'!$AS49:$EP49,MIN(('計算（触らない）'!$V49+2),102)))-INDEX('計算（触らない）'!$AS49:$EP49,MIN(('計算（触らない）'!$V49+2),101)+1))*'計算（触らない）'!$N49,6)+'計算（触らない）'!$B$4)))</f>
        <v/>
      </c>
      <c r="G49" s="52">
        <f>IF('計算（触らない）'!$U49=0,"",IF(('計算（触らない）'!$V49+3)&lt;0,"",INT(ROUND((IF(('計算（触らない）'!$V49+3)=0,'計算（触らない）'!$C49,INDEX('計算（触らない）'!$AS49:$EP49,MIN(('計算（触らない）'!$V49+3),102)))-INDEX('計算（触らない）'!$AS49:$EP49,MIN(('計算（触らない）'!$V49+3),101)+1))*'計算（触らない）'!$N49,6)+'計算（触らない）'!$B$4)))</f>
        <v/>
      </c>
      <c r="H49" s="52">
        <f>IF('計算（触らない）'!$U49=0,"",IF(('計算（触らない）'!$V49+4)&lt;0,"",INT(ROUND((IF(('計算（触らない）'!$V49+4)=0,'計算（触らない）'!$C49,INDEX('計算（触らない）'!$AS49:$EP49,MIN(('計算（触らない）'!$V49+4),102)))-INDEX('計算（触らない）'!$AS49:$EP49,MIN(('計算（触らない）'!$V49+4),101)+1))*'計算（触らない）'!$N49,6)+'計算（触らない）'!$B$4)))</f>
        <v/>
      </c>
      <c r="I49" s="52">
        <f>IF('計算（触らない）'!$U49=0,"",IF(('計算（触らない）'!$V49+5)&lt;0,"",INT(ROUND((IF(('計算（触らない）'!$V49+5)=0,'計算（触らない）'!$C49,INDEX('計算（触らない）'!$AS49:$EP49,MIN(('計算（触らない）'!$V49+5),102)))-INDEX('計算（触らない）'!$AS49:$EP49,MIN(('計算（触らない）'!$V49+5),101)+1))*'計算（触らない）'!$N49,6)+'計算（触らない）'!$B$4)))</f>
        <v/>
      </c>
      <c r="J49" s="52">
        <f>IF('計算（触らない）'!$U49=0,"",IF(('計算（触らない）'!$V49+6)&lt;0,"",INT(ROUND((IF(('計算（触らない）'!$V49+6)=0,'計算（触らない）'!$C49,INDEX('計算（触らない）'!$AS49:$EP49,MIN(('計算（触らない）'!$V49+6),102)))-INDEX('計算（触らない）'!$AS49:$EP49,MIN(('計算（触らない）'!$V49+6),101)+1))*'計算（触らない）'!$N49,6)+'計算（触らない）'!$B$4)))</f>
        <v/>
      </c>
      <c r="K49" s="52">
        <f>IF('計算（触らない）'!$U49=0,"",IF(('計算（触らない）'!$V49+7)&lt;0,"",INT(ROUND((IF(('計算（触らない）'!$V49+7)=0,'計算（触らない）'!$C49,INDEX('計算（触らない）'!$AS49:$EP49,MIN(('計算（触らない）'!$V49+7),102)))-INDEX('計算（触らない）'!$AS49:$EP49,MIN(('計算（触らない）'!$V49+7),101)+1))*'計算（触らない）'!$N49,6)+'計算（触らない）'!$B$4)))</f>
        <v/>
      </c>
      <c r="L49" s="52">
        <f>IF('計算（触らない）'!$U49=0,"",IF(('計算（触らない）'!$V49+8)&lt;0,"",INT(ROUND((IF(('計算（触らない）'!$V49+8)=0,'計算（触らない）'!$C49,INDEX('計算（触らない）'!$AS49:$EP49,MIN(('計算（触らない）'!$V49+8),102)))-INDEX('計算（触らない）'!$AS49:$EP49,MIN(('計算（触らない）'!$V49+8),101)+1))*'計算（触らない）'!$N49,6)+'計算（触らない）'!$B$4)))</f>
        <v/>
      </c>
      <c r="M49" s="52">
        <f>IF('計算（触らない）'!$U49=0,"",IF(('計算（触らない）'!$V49+9)&lt;0,"",INT(ROUND((IF(('計算（触らない）'!$V49+9)=0,'計算（触らない）'!$C49,INDEX('計算（触らない）'!$AS49:$EP49,MIN(('計算（触らない）'!$V49+9),102)))-INDEX('計算（触らない）'!$AS49:$EP49,MIN(('計算（触らない）'!$V49+9),101)+1))*'計算（触らない）'!$N49,6)+'計算（触らない）'!$B$4)))</f>
        <v/>
      </c>
      <c r="N49" s="68" t="n"/>
      <c r="O49" s="52">
        <f>IF('計算（触らない）'!$U49=0,"",IF(('計算（触らない）'!$V49+0)&lt;0,"",IF(AND('計算（触らない）'!$F49&lt;=2,('計算（触らない）'!$V49+0)&gt;'計算（触らない）'!$R49),0,INDEX('計算（触らない）'!$AS49:$EP49,MIN(('計算（触らない）'!$V49+0),101)+1))))</f>
        <v/>
      </c>
      <c r="P49" s="52">
        <f>IF('計算（触らない）'!$U49=0,"",IF(('計算（触らない）'!$V49+1)&lt;0,"",IF(AND('計算（触らない）'!$F49&lt;=2,('計算（触らない）'!$V49+1)&gt;'計算（触らない）'!$R49),0,INDEX('計算（触らない）'!$AS49:$EP49,MIN(('計算（触らない）'!$V49+1),101)+1))))</f>
        <v/>
      </c>
      <c r="Q49" s="52">
        <f>IF('計算（触らない）'!$U49=0,"",IF(('計算（触らない）'!$V49+2)&lt;0,"",IF(AND('計算（触らない）'!$F49&lt;=2,('計算（触らない）'!$V49+2)&gt;'計算（触らない）'!$R49),0,INDEX('計算（触らない）'!$AS49:$EP49,MIN(('計算（触らない）'!$V49+2),101)+1))))</f>
        <v/>
      </c>
      <c r="R49" s="52">
        <f>IF('計算（触らない）'!$U49=0,"",IF(('計算（触らない）'!$V49+3)&lt;0,"",IF(AND('計算（触らない）'!$F49&lt;=2,('計算（触らない）'!$V49+3)&gt;'計算（触らない）'!$R49),0,INDEX('計算（触らない）'!$AS49:$EP49,MIN(('計算（触らない）'!$V49+3),101)+1))))</f>
        <v/>
      </c>
      <c r="S49" s="52">
        <f>IF('計算（触らない）'!$U49=0,"",IF(('計算（触らない）'!$V49+4)&lt;0,"",IF(AND('計算（触らない）'!$F49&lt;=2,('計算（触らない）'!$V49+4)&gt;'計算（触らない）'!$R49),0,INDEX('計算（触らない）'!$AS49:$EP49,MIN(('計算（触らない）'!$V49+4),101)+1))))</f>
        <v/>
      </c>
      <c r="T49" s="52">
        <f>IF('計算（触らない）'!$U49=0,"",IF(('計算（触らない）'!$V49+5)&lt;0,"",IF(AND('計算（触らない）'!$F49&lt;=2,('計算（触らない）'!$V49+5)&gt;'計算（触らない）'!$R49),0,INDEX('計算（触らない）'!$AS49:$EP49,MIN(('計算（触らない）'!$V49+5),101)+1))))</f>
        <v/>
      </c>
      <c r="U49" s="52">
        <f>IF('計算（触らない）'!$U49=0,"",IF(('計算（触らない）'!$V49+6)&lt;0,"",IF(AND('計算（触らない）'!$F49&lt;=2,('計算（触らない）'!$V49+6)&gt;'計算（触らない）'!$R49),0,INDEX('計算（触らない）'!$AS49:$EP49,MIN(('計算（触らない）'!$V49+6),101)+1))))</f>
        <v/>
      </c>
      <c r="V49" s="52">
        <f>IF('計算（触らない）'!$U49=0,"",IF(('計算（触らない）'!$V49+7)&lt;0,"",IF(AND('計算（触らない）'!$F49&lt;=2,('計算（触らない）'!$V49+7)&gt;'計算（触らない）'!$R49),0,INDEX('計算（触らない）'!$AS49:$EP49,MIN(('計算（触らない）'!$V49+7),101)+1))))</f>
        <v/>
      </c>
      <c r="W49" s="52">
        <f>IF('計算（触らない）'!$U49=0,"",IF(('計算（触らない）'!$V49+8)&lt;0,"",IF(AND('計算（触らない）'!$F49&lt;=2,('計算（触らない）'!$V49+8)&gt;'計算（触らない）'!$R49),0,INDEX('計算（触らない）'!$AS49:$EP49,MIN(('計算（触らない）'!$V49+8),101)+1))))</f>
        <v/>
      </c>
      <c r="X49" s="52">
        <f>IF('計算（触らない）'!$U49=0,"",IF(('計算（触らない）'!$V49+9)&lt;0,"",IF(AND('計算（触らない）'!$F49&lt;=2,('計算（触らない）'!$V49+9)&gt;'計算（触らない）'!$R49),0,INDEX('計算（触らない）'!$AS49:$EP49,MIN(('計算（触らない）'!$V49+9),101)+1))))</f>
        <v/>
      </c>
    </row>
    <row r="50" ht="17" customHeight="1">
      <c r="A50" s="21" t="n">
        <v>45</v>
      </c>
      <c r="B50" s="38">
        <f>IF('計算（触らない）'!$B50=0,"",'固定資産台帳'!$B50&amp;"")</f>
        <v/>
      </c>
      <c r="C50" s="38">
        <f>IF('計算（触らない）'!$B50=0,"",'固定資産台帳'!$H50&amp;"")</f>
        <v/>
      </c>
      <c r="D50" s="52">
        <f>IF('計算（触らない）'!$U50=0,"",IF(('計算（触らない）'!$V50+0)&lt;0,"",INT(ROUND((IF(('計算（触らない）'!$V50+0)=0,'計算（触らない）'!$C50,INDEX('計算（触らない）'!$AS50:$EP50,MIN(('計算（触らない）'!$V50+0),102)))-INDEX('計算（触らない）'!$AS50:$EP50,MIN(('計算（触らない）'!$V50+0),101)+1))*'計算（触らない）'!$N50,6)+'計算（触らない）'!$B$4)))</f>
        <v/>
      </c>
      <c r="E50" s="52">
        <f>IF('計算（触らない）'!$U50=0,"",IF(('計算（触らない）'!$V50+1)&lt;0,"",INT(ROUND((IF(('計算（触らない）'!$V50+1)=0,'計算（触らない）'!$C50,INDEX('計算（触らない）'!$AS50:$EP50,MIN(('計算（触らない）'!$V50+1),102)))-INDEX('計算（触らない）'!$AS50:$EP50,MIN(('計算（触らない）'!$V50+1),101)+1))*'計算（触らない）'!$N50,6)+'計算（触らない）'!$B$4)))</f>
        <v/>
      </c>
      <c r="F50" s="52">
        <f>IF('計算（触らない）'!$U50=0,"",IF(('計算（触らない）'!$V50+2)&lt;0,"",INT(ROUND((IF(('計算（触らない）'!$V50+2)=0,'計算（触らない）'!$C50,INDEX('計算（触らない）'!$AS50:$EP50,MIN(('計算（触らない）'!$V50+2),102)))-INDEX('計算（触らない）'!$AS50:$EP50,MIN(('計算（触らない）'!$V50+2),101)+1))*'計算（触らない）'!$N50,6)+'計算（触らない）'!$B$4)))</f>
        <v/>
      </c>
      <c r="G50" s="52">
        <f>IF('計算（触らない）'!$U50=0,"",IF(('計算（触らない）'!$V50+3)&lt;0,"",INT(ROUND((IF(('計算（触らない）'!$V50+3)=0,'計算（触らない）'!$C50,INDEX('計算（触らない）'!$AS50:$EP50,MIN(('計算（触らない）'!$V50+3),102)))-INDEX('計算（触らない）'!$AS50:$EP50,MIN(('計算（触らない）'!$V50+3),101)+1))*'計算（触らない）'!$N50,6)+'計算（触らない）'!$B$4)))</f>
        <v/>
      </c>
      <c r="H50" s="52">
        <f>IF('計算（触らない）'!$U50=0,"",IF(('計算（触らない）'!$V50+4)&lt;0,"",INT(ROUND((IF(('計算（触らない）'!$V50+4)=0,'計算（触らない）'!$C50,INDEX('計算（触らない）'!$AS50:$EP50,MIN(('計算（触らない）'!$V50+4),102)))-INDEX('計算（触らない）'!$AS50:$EP50,MIN(('計算（触らない）'!$V50+4),101)+1))*'計算（触らない）'!$N50,6)+'計算（触らない）'!$B$4)))</f>
        <v/>
      </c>
      <c r="I50" s="52">
        <f>IF('計算（触らない）'!$U50=0,"",IF(('計算（触らない）'!$V50+5)&lt;0,"",INT(ROUND((IF(('計算（触らない）'!$V50+5)=0,'計算（触らない）'!$C50,INDEX('計算（触らない）'!$AS50:$EP50,MIN(('計算（触らない）'!$V50+5),102)))-INDEX('計算（触らない）'!$AS50:$EP50,MIN(('計算（触らない）'!$V50+5),101)+1))*'計算（触らない）'!$N50,6)+'計算（触らない）'!$B$4)))</f>
        <v/>
      </c>
      <c r="J50" s="52">
        <f>IF('計算（触らない）'!$U50=0,"",IF(('計算（触らない）'!$V50+6)&lt;0,"",INT(ROUND((IF(('計算（触らない）'!$V50+6)=0,'計算（触らない）'!$C50,INDEX('計算（触らない）'!$AS50:$EP50,MIN(('計算（触らない）'!$V50+6),102)))-INDEX('計算（触らない）'!$AS50:$EP50,MIN(('計算（触らない）'!$V50+6),101)+1))*'計算（触らない）'!$N50,6)+'計算（触らない）'!$B$4)))</f>
        <v/>
      </c>
      <c r="K50" s="52">
        <f>IF('計算（触らない）'!$U50=0,"",IF(('計算（触らない）'!$V50+7)&lt;0,"",INT(ROUND((IF(('計算（触らない）'!$V50+7)=0,'計算（触らない）'!$C50,INDEX('計算（触らない）'!$AS50:$EP50,MIN(('計算（触らない）'!$V50+7),102)))-INDEX('計算（触らない）'!$AS50:$EP50,MIN(('計算（触らない）'!$V50+7),101)+1))*'計算（触らない）'!$N50,6)+'計算（触らない）'!$B$4)))</f>
        <v/>
      </c>
      <c r="L50" s="52">
        <f>IF('計算（触らない）'!$U50=0,"",IF(('計算（触らない）'!$V50+8)&lt;0,"",INT(ROUND((IF(('計算（触らない）'!$V50+8)=0,'計算（触らない）'!$C50,INDEX('計算（触らない）'!$AS50:$EP50,MIN(('計算（触らない）'!$V50+8),102)))-INDEX('計算（触らない）'!$AS50:$EP50,MIN(('計算（触らない）'!$V50+8),101)+1))*'計算（触らない）'!$N50,6)+'計算（触らない）'!$B$4)))</f>
        <v/>
      </c>
      <c r="M50" s="52">
        <f>IF('計算（触らない）'!$U50=0,"",IF(('計算（触らない）'!$V50+9)&lt;0,"",INT(ROUND((IF(('計算（触らない）'!$V50+9)=0,'計算（触らない）'!$C50,INDEX('計算（触らない）'!$AS50:$EP50,MIN(('計算（触らない）'!$V50+9),102)))-INDEX('計算（触らない）'!$AS50:$EP50,MIN(('計算（触らない）'!$V50+9),101)+1))*'計算（触らない）'!$N50,6)+'計算（触らない）'!$B$4)))</f>
        <v/>
      </c>
      <c r="N50" s="68" t="n"/>
      <c r="O50" s="52">
        <f>IF('計算（触らない）'!$U50=0,"",IF(('計算（触らない）'!$V50+0)&lt;0,"",IF(AND('計算（触らない）'!$F50&lt;=2,('計算（触らない）'!$V50+0)&gt;'計算（触らない）'!$R50),0,INDEX('計算（触らない）'!$AS50:$EP50,MIN(('計算（触らない）'!$V50+0),101)+1))))</f>
        <v/>
      </c>
      <c r="P50" s="52">
        <f>IF('計算（触らない）'!$U50=0,"",IF(('計算（触らない）'!$V50+1)&lt;0,"",IF(AND('計算（触らない）'!$F50&lt;=2,('計算（触らない）'!$V50+1)&gt;'計算（触らない）'!$R50),0,INDEX('計算（触らない）'!$AS50:$EP50,MIN(('計算（触らない）'!$V50+1),101)+1))))</f>
        <v/>
      </c>
      <c r="Q50" s="52">
        <f>IF('計算（触らない）'!$U50=0,"",IF(('計算（触らない）'!$V50+2)&lt;0,"",IF(AND('計算（触らない）'!$F50&lt;=2,('計算（触らない）'!$V50+2)&gt;'計算（触らない）'!$R50),0,INDEX('計算（触らない）'!$AS50:$EP50,MIN(('計算（触らない）'!$V50+2),101)+1))))</f>
        <v/>
      </c>
      <c r="R50" s="52">
        <f>IF('計算（触らない）'!$U50=0,"",IF(('計算（触らない）'!$V50+3)&lt;0,"",IF(AND('計算（触らない）'!$F50&lt;=2,('計算（触らない）'!$V50+3)&gt;'計算（触らない）'!$R50),0,INDEX('計算（触らない）'!$AS50:$EP50,MIN(('計算（触らない）'!$V50+3),101)+1))))</f>
        <v/>
      </c>
      <c r="S50" s="52">
        <f>IF('計算（触らない）'!$U50=0,"",IF(('計算（触らない）'!$V50+4)&lt;0,"",IF(AND('計算（触らない）'!$F50&lt;=2,('計算（触らない）'!$V50+4)&gt;'計算（触らない）'!$R50),0,INDEX('計算（触らない）'!$AS50:$EP50,MIN(('計算（触らない）'!$V50+4),101)+1))))</f>
        <v/>
      </c>
      <c r="T50" s="52">
        <f>IF('計算（触らない）'!$U50=0,"",IF(('計算（触らない）'!$V50+5)&lt;0,"",IF(AND('計算（触らない）'!$F50&lt;=2,('計算（触らない）'!$V50+5)&gt;'計算（触らない）'!$R50),0,INDEX('計算（触らない）'!$AS50:$EP50,MIN(('計算（触らない）'!$V50+5),101)+1))))</f>
        <v/>
      </c>
      <c r="U50" s="52">
        <f>IF('計算（触らない）'!$U50=0,"",IF(('計算（触らない）'!$V50+6)&lt;0,"",IF(AND('計算（触らない）'!$F50&lt;=2,('計算（触らない）'!$V50+6)&gt;'計算（触らない）'!$R50),0,INDEX('計算（触らない）'!$AS50:$EP50,MIN(('計算（触らない）'!$V50+6),101)+1))))</f>
        <v/>
      </c>
      <c r="V50" s="52">
        <f>IF('計算（触らない）'!$U50=0,"",IF(('計算（触らない）'!$V50+7)&lt;0,"",IF(AND('計算（触らない）'!$F50&lt;=2,('計算（触らない）'!$V50+7)&gt;'計算（触らない）'!$R50),0,INDEX('計算（触らない）'!$AS50:$EP50,MIN(('計算（触らない）'!$V50+7),101)+1))))</f>
        <v/>
      </c>
      <c r="W50" s="52">
        <f>IF('計算（触らない）'!$U50=0,"",IF(('計算（触らない）'!$V50+8)&lt;0,"",IF(AND('計算（触らない）'!$F50&lt;=2,('計算（触らない）'!$V50+8)&gt;'計算（触らない）'!$R50),0,INDEX('計算（触らない）'!$AS50:$EP50,MIN(('計算（触らない）'!$V50+8),101)+1))))</f>
        <v/>
      </c>
      <c r="X50" s="52">
        <f>IF('計算（触らない）'!$U50=0,"",IF(('計算（触らない）'!$V50+9)&lt;0,"",IF(AND('計算（触らない）'!$F50&lt;=2,('計算（触らない）'!$V50+9)&gt;'計算（触らない）'!$R50),0,INDEX('計算（触らない）'!$AS50:$EP50,MIN(('計算（触らない）'!$V50+9),101)+1))))</f>
        <v/>
      </c>
    </row>
    <row r="51" ht="17" customHeight="1">
      <c r="A51" s="21" t="n">
        <v>46</v>
      </c>
      <c r="B51" s="38">
        <f>IF('計算（触らない）'!$B51=0,"",'固定資産台帳'!$B51&amp;"")</f>
        <v/>
      </c>
      <c r="C51" s="38">
        <f>IF('計算（触らない）'!$B51=0,"",'固定資産台帳'!$H51&amp;"")</f>
        <v/>
      </c>
      <c r="D51" s="52">
        <f>IF('計算（触らない）'!$U51=0,"",IF(('計算（触らない）'!$V51+0)&lt;0,"",INT(ROUND((IF(('計算（触らない）'!$V51+0)=0,'計算（触らない）'!$C51,INDEX('計算（触らない）'!$AS51:$EP51,MIN(('計算（触らない）'!$V51+0),102)))-INDEX('計算（触らない）'!$AS51:$EP51,MIN(('計算（触らない）'!$V51+0),101)+1))*'計算（触らない）'!$N51,6)+'計算（触らない）'!$B$4)))</f>
        <v/>
      </c>
      <c r="E51" s="52">
        <f>IF('計算（触らない）'!$U51=0,"",IF(('計算（触らない）'!$V51+1)&lt;0,"",INT(ROUND((IF(('計算（触らない）'!$V51+1)=0,'計算（触らない）'!$C51,INDEX('計算（触らない）'!$AS51:$EP51,MIN(('計算（触らない）'!$V51+1),102)))-INDEX('計算（触らない）'!$AS51:$EP51,MIN(('計算（触らない）'!$V51+1),101)+1))*'計算（触らない）'!$N51,6)+'計算（触らない）'!$B$4)))</f>
        <v/>
      </c>
      <c r="F51" s="52">
        <f>IF('計算（触らない）'!$U51=0,"",IF(('計算（触らない）'!$V51+2)&lt;0,"",INT(ROUND((IF(('計算（触らない）'!$V51+2)=0,'計算（触らない）'!$C51,INDEX('計算（触らない）'!$AS51:$EP51,MIN(('計算（触らない）'!$V51+2),102)))-INDEX('計算（触らない）'!$AS51:$EP51,MIN(('計算（触らない）'!$V51+2),101)+1))*'計算（触らない）'!$N51,6)+'計算（触らない）'!$B$4)))</f>
        <v/>
      </c>
      <c r="G51" s="52">
        <f>IF('計算（触らない）'!$U51=0,"",IF(('計算（触らない）'!$V51+3)&lt;0,"",INT(ROUND((IF(('計算（触らない）'!$V51+3)=0,'計算（触らない）'!$C51,INDEX('計算（触らない）'!$AS51:$EP51,MIN(('計算（触らない）'!$V51+3),102)))-INDEX('計算（触らない）'!$AS51:$EP51,MIN(('計算（触らない）'!$V51+3),101)+1))*'計算（触らない）'!$N51,6)+'計算（触らない）'!$B$4)))</f>
        <v/>
      </c>
      <c r="H51" s="52">
        <f>IF('計算（触らない）'!$U51=0,"",IF(('計算（触らない）'!$V51+4)&lt;0,"",INT(ROUND((IF(('計算（触らない）'!$V51+4)=0,'計算（触らない）'!$C51,INDEX('計算（触らない）'!$AS51:$EP51,MIN(('計算（触らない）'!$V51+4),102)))-INDEX('計算（触らない）'!$AS51:$EP51,MIN(('計算（触らない）'!$V51+4),101)+1))*'計算（触らない）'!$N51,6)+'計算（触らない）'!$B$4)))</f>
        <v/>
      </c>
      <c r="I51" s="52">
        <f>IF('計算（触らない）'!$U51=0,"",IF(('計算（触らない）'!$V51+5)&lt;0,"",INT(ROUND((IF(('計算（触らない）'!$V51+5)=0,'計算（触らない）'!$C51,INDEX('計算（触らない）'!$AS51:$EP51,MIN(('計算（触らない）'!$V51+5),102)))-INDEX('計算（触らない）'!$AS51:$EP51,MIN(('計算（触らない）'!$V51+5),101)+1))*'計算（触らない）'!$N51,6)+'計算（触らない）'!$B$4)))</f>
        <v/>
      </c>
      <c r="J51" s="52">
        <f>IF('計算（触らない）'!$U51=0,"",IF(('計算（触らない）'!$V51+6)&lt;0,"",INT(ROUND((IF(('計算（触らない）'!$V51+6)=0,'計算（触らない）'!$C51,INDEX('計算（触らない）'!$AS51:$EP51,MIN(('計算（触らない）'!$V51+6),102)))-INDEX('計算（触らない）'!$AS51:$EP51,MIN(('計算（触らない）'!$V51+6),101)+1))*'計算（触らない）'!$N51,6)+'計算（触らない）'!$B$4)))</f>
        <v/>
      </c>
      <c r="K51" s="52">
        <f>IF('計算（触らない）'!$U51=0,"",IF(('計算（触らない）'!$V51+7)&lt;0,"",INT(ROUND((IF(('計算（触らない）'!$V51+7)=0,'計算（触らない）'!$C51,INDEX('計算（触らない）'!$AS51:$EP51,MIN(('計算（触らない）'!$V51+7),102)))-INDEX('計算（触らない）'!$AS51:$EP51,MIN(('計算（触らない）'!$V51+7),101)+1))*'計算（触らない）'!$N51,6)+'計算（触らない）'!$B$4)))</f>
        <v/>
      </c>
      <c r="L51" s="52">
        <f>IF('計算（触らない）'!$U51=0,"",IF(('計算（触らない）'!$V51+8)&lt;0,"",INT(ROUND((IF(('計算（触らない）'!$V51+8)=0,'計算（触らない）'!$C51,INDEX('計算（触らない）'!$AS51:$EP51,MIN(('計算（触らない）'!$V51+8),102)))-INDEX('計算（触らない）'!$AS51:$EP51,MIN(('計算（触らない）'!$V51+8),101)+1))*'計算（触らない）'!$N51,6)+'計算（触らない）'!$B$4)))</f>
        <v/>
      </c>
      <c r="M51" s="52">
        <f>IF('計算（触らない）'!$U51=0,"",IF(('計算（触らない）'!$V51+9)&lt;0,"",INT(ROUND((IF(('計算（触らない）'!$V51+9)=0,'計算（触らない）'!$C51,INDEX('計算（触らない）'!$AS51:$EP51,MIN(('計算（触らない）'!$V51+9),102)))-INDEX('計算（触らない）'!$AS51:$EP51,MIN(('計算（触らない）'!$V51+9),101)+1))*'計算（触らない）'!$N51,6)+'計算（触らない）'!$B$4)))</f>
        <v/>
      </c>
      <c r="N51" s="68" t="n"/>
      <c r="O51" s="52">
        <f>IF('計算（触らない）'!$U51=0,"",IF(('計算（触らない）'!$V51+0)&lt;0,"",IF(AND('計算（触らない）'!$F51&lt;=2,('計算（触らない）'!$V51+0)&gt;'計算（触らない）'!$R51),0,INDEX('計算（触らない）'!$AS51:$EP51,MIN(('計算（触らない）'!$V51+0),101)+1))))</f>
        <v/>
      </c>
      <c r="P51" s="52">
        <f>IF('計算（触らない）'!$U51=0,"",IF(('計算（触らない）'!$V51+1)&lt;0,"",IF(AND('計算（触らない）'!$F51&lt;=2,('計算（触らない）'!$V51+1)&gt;'計算（触らない）'!$R51),0,INDEX('計算（触らない）'!$AS51:$EP51,MIN(('計算（触らない）'!$V51+1),101)+1))))</f>
        <v/>
      </c>
      <c r="Q51" s="52">
        <f>IF('計算（触らない）'!$U51=0,"",IF(('計算（触らない）'!$V51+2)&lt;0,"",IF(AND('計算（触らない）'!$F51&lt;=2,('計算（触らない）'!$V51+2)&gt;'計算（触らない）'!$R51),0,INDEX('計算（触らない）'!$AS51:$EP51,MIN(('計算（触らない）'!$V51+2),101)+1))))</f>
        <v/>
      </c>
      <c r="R51" s="52">
        <f>IF('計算（触らない）'!$U51=0,"",IF(('計算（触らない）'!$V51+3)&lt;0,"",IF(AND('計算（触らない）'!$F51&lt;=2,('計算（触らない）'!$V51+3)&gt;'計算（触らない）'!$R51),0,INDEX('計算（触らない）'!$AS51:$EP51,MIN(('計算（触らない）'!$V51+3),101)+1))))</f>
        <v/>
      </c>
      <c r="S51" s="52">
        <f>IF('計算（触らない）'!$U51=0,"",IF(('計算（触らない）'!$V51+4)&lt;0,"",IF(AND('計算（触らない）'!$F51&lt;=2,('計算（触らない）'!$V51+4)&gt;'計算（触らない）'!$R51),0,INDEX('計算（触らない）'!$AS51:$EP51,MIN(('計算（触らない）'!$V51+4),101)+1))))</f>
        <v/>
      </c>
      <c r="T51" s="52">
        <f>IF('計算（触らない）'!$U51=0,"",IF(('計算（触らない）'!$V51+5)&lt;0,"",IF(AND('計算（触らない）'!$F51&lt;=2,('計算（触らない）'!$V51+5)&gt;'計算（触らない）'!$R51),0,INDEX('計算（触らない）'!$AS51:$EP51,MIN(('計算（触らない）'!$V51+5),101)+1))))</f>
        <v/>
      </c>
      <c r="U51" s="52">
        <f>IF('計算（触らない）'!$U51=0,"",IF(('計算（触らない）'!$V51+6)&lt;0,"",IF(AND('計算（触らない）'!$F51&lt;=2,('計算（触らない）'!$V51+6)&gt;'計算（触らない）'!$R51),0,INDEX('計算（触らない）'!$AS51:$EP51,MIN(('計算（触らない）'!$V51+6),101)+1))))</f>
        <v/>
      </c>
      <c r="V51" s="52">
        <f>IF('計算（触らない）'!$U51=0,"",IF(('計算（触らない）'!$V51+7)&lt;0,"",IF(AND('計算（触らない）'!$F51&lt;=2,('計算（触らない）'!$V51+7)&gt;'計算（触らない）'!$R51),0,INDEX('計算（触らない）'!$AS51:$EP51,MIN(('計算（触らない）'!$V51+7),101)+1))))</f>
        <v/>
      </c>
      <c r="W51" s="52">
        <f>IF('計算（触らない）'!$U51=0,"",IF(('計算（触らない）'!$V51+8)&lt;0,"",IF(AND('計算（触らない）'!$F51&lt;=2,('計算（触らない）'!$V51+8)&gt;'計算（触らない）'!$R51),0,INDEX('計算（触らない）'!$AS51:$EP51,MIN(('計算（触らない）'!$V51+8),101)+1))))</f>
        <v/>
      </c>
      <c r="X51" s="52">
        <f>IF('計算（触らない）'!$U51=0,"",IF(('計算（触らない）'!$V51+9)&lt;0,"",IF(AND('計算（触らない）'!$F51&lt;=2,('計算（触らない）'!$V51+9)&gt;'計算（触らない）'!$R51),0,INDEX('計算（触らない）'!$AS51:$EP51,MIN(('計算（触らない）'!$V51+9),101)+1))))</f>
        <v/>
      </c>
    </row>
    <row r="52" ht="17" customHeight="1">
      <c r="A52" s="21" t="n">
        <v>47</v>
      </c>
      <c r="B52" s="38">
        <f>IF('計算（触らない）'!$B52=0,"",'固定資産台帳'!$B52&amp;"")</f>
        <v/>
      </c>
      <c r="C52" s="38">
        <f>IF('計算（触らない）'!$B52=0,"",'固定資産台帳'!$H52&amp;"")</f>
        <v/>
      </c>
      <c r="D52" s="52">
        <f>IF('計算（触らない）'!$U52=0,"",IF(('計算（触らない）'!$V52+0)&lt;0,"",INT(ROUND((IF(('計算（触らない）'!$V52+0)=0,'計算（触らない）'!$C52,INDEX('計算（触らない）'!$AS52:$EP52,MIN(('計算（触らない）'!$V52+0),102)))-INDEX('計算（触らない）'!$AS52:$EP52,MIN(('計算（触らない）'!$V52+0),101)+1))*'計算（触らない）'!$N52,6)+'計算（触らない）'!$B$4)))</f>
        <v/>
      </c>
      <c r="E52" s="52">
        <f>IF('計算（触らない）'!$U52=0,"",IF(('計算（触らない）'!$V52+1)&lt;0,"",INT(ROUND((IF(('計算（触らない）'!$V52+1)=0,'計算（触らない）'!$C52,INDEX('計算（触らない）'!$AS52:$EP52,MIN(('計算（触らない）'!$V52+1),102)))-INDEX('計算（触らない）'!$AS52:$EP52,MIN(('計算（触らない）'!$V52+1),101)+1))*'計算（触らない）'!$N52,6)+'計算（触らない）'!$B$4)))</f>
        <v/>
      </c>
      <c r="F52" s="52">
        <f>IF('計算（触らない）'!$U52=0,"",IF(('計算（触らない）'!$V52+2)&lt;0,"",INT(ROUND((IF(('計算（触らない）'!$V52+2)=0,'計算（触らない）'!$C52,INDEX('計算（触らない）'!$AS52:$EP52,MIN(('計算（触らない）'!$V52+2),102)))-INDEX('計算（触らない）'!$AS52:$EP52,MIN(('計算（触らない）'!$V52+2),101)+1))*'計算（触らない）'!$N52,6)+'計算（触らない）'!$B$4)))</f>
        <v/>
      </c>
      <c r="G52" s="52">
        <f>IF('計算（触らない）'!$U52=0,"",IF(('計算（触らない）'!$V52+3)&lt;0,"",INT(ROUND((IF(('計算（触らない）'!$V52+3)=0,'計算（触らない）'!$C52,INDEX('計算（触らない）'!$AS52:$EP52,MIN(('計算（触らない）'!$V52+3),102)))-INDEX('計算（触らない）'!$AS52:$EP52,MIN(('計算（触らない）'!$V52+3),101)+1))*'計算（触らない）'!$N52,6)+'計算（触らない）'!$B$4)))</f>
        <v/>
      </c>
      <c r="H52" s="52">
        <f>IF('計算（触らない）'!$U52=0,"",IF(('計算（触らない）'!$V52+4)&lt;0,"",INT(ROUND((IF(('計算（触らない）'!$V52+4)=0,'計算（触らない）'!$C52,INDEX('計算（触らない）'!$AS52:$EP52,MIN(('計算（触らない）'!$V52+4),102)))-INDEX('計算（触らない）'!$AS52:$EP52,MIN(('計算（触らない）'!$V52+4),101)+1))*'計算（触らない）'!$N52,6)+'計算（触らない）'!$B$4)))</f>
        <v/>
      </c>
      <c r="I52" s="52">
        <f>IF('計算（触らない）'!$U52=0,"",IF(('計算（触らない）'!$V52+5)&lt;0,"",INT(ROUND((IF(('計算（触らない）'!$V52+5)=0,'計算（触らない）'!$C52,INDEX('計算（触らない）'!$AS52:$EP52,MIN(('計算（触らない）'!$V52+5),102)))-INDEX('計算（触らない）'!$AS52:$EP52,MIN(('計算（触らない）'!$V52+5),101)+1))*'計算（触らない）'!$N52,6)+'計算（触らない）'!$B$4)))</f>
        <v/>
      </c>
      <c r="J52" s="52">
        <f>IF('計算（触らない）'!$U52=0,"",IF(('計算（触らない）'!$V52+6)&lt;0,"",INT(ROUND((IF(('計算（触らない）'!$V52+6)=0,'計算（触らない）'!$C52,INDEX('計算（触らない）'!$AS52:$EP52,MIN(('計算（触らない）'!$V52+6),102)))-INDEX('計算（触らない）'!$AS52:$EP52,MIN(('計算（触らない）'!$V52+6),101)+1))*'計算（触らない）'!$N52,6)+'計算（触らない）'!$B$4)))</f>
        <v/>
      </c>
      <c r="K52" s="52">
        <f>IF('計算（触らない）'!$U52=0,"",IF(('計算（触らない）'!$V52+7)&lt;0,"",INT(ROUND((IF(('計算（触らない）'!$V52+7)=0,'計算（触らない）'!$C52,INDEX('計算（触らない）'!$AS52:$EP52,MIN(('計算（触らない）'!$V52+7),102)))-INDEX('計算（触らない）'!$AS52:$EP52,MIN(('計算（触らない）'!$V52+7),101)+1))*'計算（触らない）'!$N52,6)+'計算（触らない）'!$B$4)))</f>
        <v/>
      </c>
      <c r="L52" s="52">
        <f>IF('計算（触らない）'!$U52=0,"",IF(('計算（触らない）'!$V52+8)&lt;0,"",INT(ROUND((IF(('計算（触らない）'!$V52+8)=0,'計算（触らない）'!$C52,INDEX('計算（触らない）'!$AS52:$EP52,MIN(('計算（触らない）'!$V52+8),102)))-INDEX('計算（触らない）'!$AS52:$EP52,MIN(('計算（触らない）'!$V52+8),101)+1))*'計算（触らない）'!$N52,6)+'計算（触らない）'!$B$4)))</f>
        <v/>
      </c>
      <c r="M52" s="52">
        <f>IF('計算（触らない）'!$U52=0,"",IF(('計算（触らない）'!$V52+9)&lt;0,"",INT(ROUND((IF(('計算（触らない）'!$V52+9)=0,'計算（触らない）'!$C52,INDEX('計算（触らない）'!$AS52:$EP52,MIN(('計算（触らない）'!$V52+9),102)))-INDEX('計算（触らない）'!$AS52:$EP52,MIN(('計算（触らない）'!$V52+9),101)+1))*'計算（触らない）'!$N52,6)+'計算（触らない）'!$B$4)))</f>
        <v/>
      </c>
      <c r="N52" s="68" t="n"/>
      <c r="O52" s="52">
        <f>IF('計算（触らない）'!$U52=0,"",IF(('計算（触らない）'!$V52+0)&lt;0,"",IF(AND('計算（触らない）'!$F52&lt;=2,('計算（触らない）'!$V52+0)&gt;'計算（触らない）'!$R52),0,INDEX('計算（触らない）'!$AS52:$EP52,MIN(('計算（触らない）'!$V52+0),101)+1))))</f>
        <v/>
      </c>
      <c r="P52" s="52">
        <f>IF('計算（触らない）'!$U52=0,"",IF(('計算（触らない）'!$V52+1)&lt;0,"",IF(AND('計算（触らない）'!$F52&lt;=2,('計算（触らない）'!$V52+1)&gt;'計算（触らない）'!$R52),0,INDEX('計算（触らない）'!$AS52:$EP52,MIN(('計算（触らない）'!$V52+1),101)+1))))</f>
        <v/>
      </c>
      <c r="Q52" s="52">
        <f>IF('計算（触らない）'!$U52=0,"",IF(('計算（触らない）'!$V52+2)&lt;0,"",IF(AND('計算（触らない）'!$F52&lt;=2,('計算（触らない）'!$V52+2)&gt;'計算（触らない）'!$R52),0,INDEX('計算（触らない）'!$AS52:$EP52,MIN(('計算（触らない）'!$V52+2),101)+1))))</f>
        <v/>
      </c>
      <c r="R52" s="52">
        <f>IF('計算（触らない）'!$U52=0,"",IF(('計算（触らない）'!$V52+3)&lt;0,"",IF(AND('計算（触らない）'!$F52&lt;=2,('計算（触らない）'!$V52+3)&gt;'計算（触らない）'!$R52),0,INDEX('計算（触らない）'!$AS52:$EP52,MIN(('計算（触らない）'!$V52+3),101)+1))))</f>
        <v/>
      </c>
      <c r="S52" s="52">
        <f>IF('計算（触らない）'!$U52=0,"",IF(('計算（触らない）'!$V52+4)&lt;0,"",IF(AND('計算（触らない）'!$F52&lt;=2,('計算（触らない）'!$V52+4)&gt;'計算（触らない）'!$R52),0,INDEX('計算（触らない）'!$AS52:$EP52,MIN(('計算（触らない）'!$V52+4),101)+1))))</f>
        <v/>
      </c>
      <c r="T52" s="52">
        <f>IF('計算（触らない）'!$U52=0,"",IF(('計算（触らない）'!$V52+5)&lt;0,"",IF(AND('計算（触らない）'!$F52&lt;=2,('計算（触らない）'!$V52+5)&gt;'計算（触らない）'!$R52),0,INDEX('計算（触らない）'!$AS52:$EP52,MIN(('計算（触らない）'!$V52+5),101)+1))))</f>
        <v/>
      </c>
      <c r="U52" s="52">
        <f>IF('計算（触らない）'!$U52=0,"",IF(('計算（触らない）'!$V52+6)&lt;0,"",IF(AND('計算（触らない）'!$F52&lt;=2,('計算（触らない）'!$V52+6)&gt;'計算（触らない）'!$R52),0,INDEX('計算（触らない）'!$AS52:$EP52,MIN(('計算（触らない）'!$V52+6),101)+1))))</f>
        <v/>
      </c>
      <c r="V52" s="52">
        <f>IF('計算（触らない）'!$U52=0,"",IF(('計算（触らない）'!$V52+7)&lt;0,"",IF(AND('計算（触らない）'!$F52&lt;=2,('計算（触らない）'!$V52+7)&gt;'計算（触らない）'!$R52),0,INDEX('計算（触らない）'!$AS52:$EP52,MIN(('計算（触らない）'!$V52+7),101)+1))))</f>
        <v/>
      </c>
      <c r="W52" s="52">
        <f>IF('計算（触らない）'!$U52=0,"",IF(('計算（触らない）'!$V52+8)&lt;0,"",IF(AND('計算（触らない）'!$F52&lt;=2,('計算（触らない）'!$V52+8)&gt;'計算（触らない）'!$R52),0,INDEX('計算（触らない）'!$AS52:$EP52,MIN(('計算（触らない）'!$V52+8),101)+1))))</f>
        <v/>
      </c>
      <c r="X52" s="52">
        <f>IF('計算（触らない）'!$U52=0,"",IF(('計算（触らない）'!$V52+9)&lt;0,"",IF(AND('計算（触らない）'!$F52&lt;=2,('計算（触らない）'!$V52+9)&gt;'計算（触らない）'!$R52),0,INDEX('計算（触らない）'!$AS52:$EP52,MIN(('計算（触らない）'!$V52+9),101)+1))))</f>
        <v/>
      </c>
    </row>
    <row r="53" ht="17" customHeight="1">
      <c r="A53" s="21" t="n">
        <v>48</v>
      </c>
      <c r="B53" s="38">
        <f>IF('計算（触らない）'!$B53=0,"",'固定資産台帳'!$B53&amp;"")</f>
        <v/>
      </c>
      <c r="C53" s="38">
        <f>IF('計算（触らない）'!$B53=0,"",'固定資産台帳'!$H53&amp;"")</f>
        <v/>
      </c>
      <c r="D53" s="52">
        <f>IF('計算（触らない）'!$U53=0,"",IF(('計算（触らない）'!$V53+0)&lt;0,"",INT(ROUND((IF(('計算（触らない）'!$V53+0)=0,'計算（触らない）'!$C53,INDEX('計算（触らない）'!$AS53:$EP53,MIN(('計算（触らない）'!$V53+0),102)))-INDEX('計算（触らない）'!$AS53:$EP53,MIN(('計算（触らない）'!$V53+0),101)+1))*'計算（触らない）'!$N53,6)+'計算（触らない）'!$B$4)))</f>
        <v/>
      </c>
      <c r="E53" s="52">
        <f>IF('計算（触らない）'!$U53=0,"",IF(('計算（触らない）'!$V53+1)&lt;0,"",INT(ROUND((IF(('計算（触らない）'!$V53+1)=0,'計算（触らない）'!$C53,INDEX('計算（触らない）'!$AS53:$EP53,MIN(('計算（触らない）'!$V53+1),102)))-INDEX('計算（触らない）'!$AS53:$EP53,MIN(('計算（触らない）'!$V53+1),101)+1))*'計算（触らない）'!$N53,6)+'計算（触らない）'!$B$4)))</f>
        <v/>
      </c>
      <c r="F53" s="52">
        <f>IF('計算（触らない）'!$U53=0,"",IF(('計算（触らない）'!$V53+2)&lt;0,"",INT(ROUND((IF(('計算（触らない）'!$V53+2)=0,'計算（触らない）'!$C53,INDEX('計算（触らない）'!$AS53:$EP53,MIN(('計算（触らない）'!$V53+2),102)))-INDEX('計算（触らない）'!$AS53:$EP53,MIN(('計算（触らない）'!$V53+2),101)+1))*'計算（触らない）'!$N53,6)+'計算（触らない）'!$B$4)))</f>
        <v/>
      </c>
      <c r="G53" s="52">
        <f>IF('計算（触らない）'!$U53=0,"",IF(('計算（触らない）'!$V53+3)&lt;0,"",INT(ROUND((IF(('計算（触らない）'!$V53+3)=0,'計算（触らない）'!$C53,INDEX('計算（触らない）'!$AS53:$EP53,MIN(('計算（触らない）'!$V53+3),102)))-INDEX('計算（触らない）'!$AS53:$EP53,MIN(('計算（触らない）'!$V53+3),101)+1))*'計算（触らない）'!$N53,6)+'計算（触らない）'!$B$4)))</f>
        <v/>
      </c>
      <c r="H53" s="52">
        <f>IF('計算（触らない）'!$U53=0,"",IF(('計算（触らない）'!$V53+4)&lt;0,"",INT(ROUND((IF(('計算（触らない）'!$V53+4)=0,'計算（触らない）'!$C53,INDEX('計算（触らない）'!$AS53:$EP53,MIN(('計算（触らない）'!$V53+4),102)))-INDEX('計算（触らない）'!$AS53:$EP53,MIN(('計算（触らない）'!$V53+4),101)+1))*'計算（触らない）'!$N53,6)+'計算（触らない）'!$B$4)))</f>
        <v/>
      </c>
      <c r="I53" s="52">
        <f>IF('計算（触らない）'!$U53=0,"",IF(('計算（触らない）'!$V53+5)&lt;0,"",INT(ROUND((IF(('計算（触らない）'!$V53+5)=0,'計算（触らない）'!$C53,INDEX('計算（触らない）'!$AS53:$EP53,MIN(('計算（触らない）'!$V53+5),102)))-INDEX('計算（触らない）'!$AS53:$EP53,MIN(('計算（触らない）'!$V53+5),101)+1))*'計算（触らない）'!$N53,6)+'計算（触らない）'!$B$4)))</f>
        <v/>
      </c>
      <c r="J53" s="52">
        <f>IF('計算（触らない）'!$U53=0,"",IF(('計算（触らない）'!$V53+6)&lt;0,"",INT(ROUND((IF(('計算（触らない）'!$V53+6)=0,'計算（触らない）'!$C53,INDEX('計算（触らない）'!$AS53:$EP53,MIN(('計算（触らない）'!$V53+6),102)))-INDEX('計算（触らない）'!$AS53:$EP53,MIN(('計算（触らない）'!$V53+6),101)+1))*'計算（触らない）'!$N53,6)+'計算（触らない）'!$B$4)))</f>
        <v/>
      </c>
      <c r="K53" s="52">
        <f>IF('計算（触らない）'!$U53=0,"",IF(('計算（触らない）'!$V53+7)&lt;0,"",INT(ROUND((IF(('計算（触らない）'!$V53+7)=0,'計算（触らない）'!$C53,INDEX('計算（触らない）'!$AS53:$EP53,MIN(('計算（触らない）'!$V53+7),102)))-INDEX('計算（触らない）'!$AS53:$EP53,MIN(('計算（触らない）'!$V53+7),101)+1))*'計算（触らない）'!$N53,6)+'計算（触らない）'!$B$4)))</f>
        <v/>
      </c>
      <c r="L53" s="52">
        <f>IF('計算（触らない）'!$U53=0,"",IF(('計算（触らない）'!$V53+8)&lt;0,"",INT(ROUND((IF(('計算（触らない）'!$V53+8)=0,'計算（触らない）'!$C53,INDEX('計算（触らない）'!$AS53:$EP53,MIN(('計算（触らない）'!$V53+8),102)))-INDEX('計算（触らない）'!$AS53:$EP53,MIN(('計算（触らない）'!$V53+8),101)+1))*'計算（触らない）'!$N53,6)+'計算（触らない）'!$B$4)))</f>
        <v/>
      </c>
      <c r="M53" s="52">
        <f>IF('計算（触らない）'!$U53=0,"",IF(('計算（触らない）'!$V53+9)&lt;0,"",INT(ROUND((IF(('計算（触らない）'!$V53+9)=0,'計算（触らない）'!$C53,INDEX('計算（触らない）'!$AS53:$EP53,MIN(('計算（触らない）'!$V53+9),102)))-INDEX('計算（触らない）'!$AS53:$EP53,MIN(('計算（触らない）'!$V53+9),101)+1))*'計算（触らない）'!$N53,6)+'計算（触らない）'!$B$4)))</f>
        <v/>
      </c>
      <c r="N53" s="68" t="n"/>
      <c r="O53" s="52">
        <f>IF('計算（触らない）'!$U53=0,"",IF(('計算（触らない）'!$V53+0)&lt;0,"",IF(AND('計算（触らない）'!$F53&lt;=2,('計算（触らない）'!$V53+0)&gt;'計算（触らない）'!$R53),0,INDEX('計算（触らない）'!$AS53:$EP53,MIN(('計算（触らない）'!$V53+0),101)+1))))</f>
        <v/>
      </c>
      <c r="P53" s="52">
        <f>IF('計算（触らない）'!$U53=0,"",IF(('計算（触らない）'!$V53+1)&lt;0,"",IF(AND('計算（触らない）'!$F53&lt;=2,('計算（触らない）'!$V53+1)&gt;'計算（触らない）'!$R53),0,INDEX('計算（触らない）'!$AS53:$EP53,MIN(('計算（触らない）'!$V53+1),101)+1))))</f>
        <v/>
      </c>
      <c r="Q53" s="52">
        <f>IF('計算（触らない）'!$U53=0,"",IF(('計算（触らない）'!$V53+2)&lt;0,"",IF(AND('計算（触らない）'!$F53&lt;=2,('計算（触らない）'!$V53+2)&gt;'計算（触らない）'!$R53),0,INDEX('計算（触らない）'!$AS53:$EP53,MIN(('計算（触らない）'!$V53+2),101)+1))))</f>
        <v/>
      </c>
      <c r="R53" s="52">
        <f>IF('計算（触らない）'!$U53=0,"",IF(('計算（触らない）'!$V53+3)&lt;0,"",IF(AND('計算（触らない）'!$F53&lt;=2,('計算（触らない）'!$V53+3)&gt;'計算（触らない）'!$R53),0,INDEX('計算（触らない）'!$AS53:$EP53,MIN(('計算（触らない）'!$V53+3),101)+1))))</f>
        <v/>
      </c>
      <c r="S53" s="52">
        <f>IF('計算（触らない）'!$U53=0,"",IF(('計算（触らない）'!$V53+4)&lt;0,"",IF(AND('計算（触らない）'!$F53&lt;=2,('計算（触らない）'!$V53+4)&gt;'計算（触らない）'!$R53),0,INDEX('計算（触らない）'!$AS53:$EP53,MIN(('計算（触らない）'!$V53+4),101)+1))))</f>
        <v/>
      </c>
      <c r="T53" s="52">
        <f>IF('計算（触らない）'!$U53=0,"",IF(('計算（触らない）'!$V53+5)&lt;0,"",IF(AND('計算（触らない）'!$F53&lt;=2,('計算（触らない）'!$V53+5)&gt;'計算（触らない）'!$R53),0,INDEX('計算（触らない）'!$AS53:$EP53,MIN(('計算（触らない）'!$V53+5),101)+1))))</f>
        <v/>
      </c>
      <c r="U53" s="52">
        <f>IF('計算（触らない）'!$U53=0,"",IF(('計算（触らない）'!$V53+6)&lt;0,"",IF(AND('計算（触らない）'!$F53&lt;=2,('計算（触らない）'!$V53+6)&gt;'計算（触らない）'!$R53),0,INDEX('計算（触らない）'!$AS53:$EP53,MIN(('計算（触らない）'!$V53+6),101)+1))))</f>
        <v/>
      </c>
      <c r="V53" s="52">
        <f>IF('計算（触らない）'!$U53=0,"",IF(('計算（触らない）'!$V53+7)&lt;0,"",IF(AND('計算（触らない）'!$F53&lt;=2,('計算（触らない）'!$V53+7)&gt;'計算（触らない）'!$R53),0,INDEX('計算（触らない）'!$AS53:$EP53,MIN(('計算（触らない）'!$V53+7),101)+1))))</f>
        <v/>
      </c>
      <c r="W53" s="52">
        <f>IF('計算（触らない）'!$U53=0,"",IF(('計算（触らない）'!$V53+8)&lt;0,"",IF(AND('計算（触らない）'!$F53&lt;=2,('計算（触らない）'!$V53+8)&gt;'計算（触らない）'!$R53),0,INDEX('計算（触らない）'!$AS53:$EP53,MIN(('計算（触らない）'!$V53+8),101)+1))))</f>
        <v/>
      </c>
      <c r="X53" s="52">
        <f>IF('計算（触らない）'!$U53=0,"",IF(('計算（触らない）'!$V53+9)&lt;0,"",IF(AND('計算（触らない）'!$F53&lt;=2,('計算（触らない）'!$V53+9)&gt;'計算（触らない）'!$R53),0,INDEX('計算（触らない）'!$AS53:$EP53,MIN(('計算（触らない）'!$V53+9),101)+1))))</f>
        <v/>
      </c>
    </row>
    <row r="54" ht="17" customHeight="1">
      <c r="A54" s="21" t="n">
        <v>49</v>
      </c>
      <c r="B54" s="38">
        <f>IF('計算（触らない）'!$B54=0,"",'固定資産台帳'!$B54&amp;"")</f>
        <v/>
      </c>
      <c r="C54" s="38">
        <f>IF('計算（触らない）'!$B54=0,"",'固定資産台帳'!$H54&amp;"")</f>
        <v/>
      </c>
      <c r="D54" s="52">
        <f>IF('計算（触らない）'!$U54=0,"",IF(('計算（触らない）'!$V54+0)&lt;0,"",INT(ROUND((IF(('計算（触らない）'!$V54+0)=0,'計算（触らない）'!$C54,INDEX('計算（触らない）'!$AS54:$EP54,MIN(('計算（触らない）'!$V54+0),102)))-INDEX('計算（触らない）'!$AS54:$EP54,MIN(('計算（触らない）'!$V54+0),101)+1))*'計算（触らない）'!$N54,6)+'計算（触らない）'!$B$4)))</f>
        <v/>
      </c>
      <c r="E54" s="52">
        <f>IF('計算（触らない）'!$U54=0,"",IF(('計算（触らない）'!$V54+1)&lt;0,"",INT(ROUND((IF(('計算（触らない）'!$V54+1)=0,'計算（触らない）'!$C54,INDEX('計算（触らない）'!$AS54:$EP54,MIN(('計算（触らない）'!$V54+1),102)))-INDEX('計算（触らない）'!$AS54:$EP54,MIN(('計算（触らない）'!$V54+1),101)+1))*'計算（触らない）'!$N54,6)+'計算（触らない）'!$B$4)))</f>
        <v/>
      </c>
      <c r="F54" s="52">
        <f>IF('計算（触らない）'!$U54=0,"",IF(('計算（触らない）'!$V54+2)&lt;0,"",INT(ROUND((IF(('計算（触らない）'!$V54+2)=0,'計算（触らない）'!$C54,INDEX('計算（触らない）'!$AS54:$EP54,MIN(('計算（触らない）'!$V54+2),102)))-INDEX('計算（触らない）'!$AS54:$EP54,MIN(('計算（触らない）'!$V54+2),101)+1))*'計算（触らない）'!$N54,6)+'計算（触らない）'!$B$4)))</f>
        <v/>
      </c>
      <c r="G54" s="52">
        <f>IF('計算（触らない）'!$U54=0,"",IF(('計算（触らない）'!$V54+3)&lt;0,"",INT(ROUND((IF(('計算（触らない）'!$V54+3)=0,'計算（触らない）'!$C54,INDEX('計算（触らない）'!$AS54:$EP54,MIN(('計算（触らない）'!$V54+3),102)))-INDEX('計算（触らない）'!$AS54:$EP54,MIN(('計算（触らない）'!$V54+3),101)+1))*'計算（触らない）'!$N54,6)+'計算（触らない）'!$B$4)))</f>
        <v/>
      </c>
      <c r="H54" s="52">
        <f>IF('計算（触らない）'!$U54=0,"",IF(('計算（触らない）'!$V54+4)&lt;0,"",INT(ROUND((IF(('計算（触らない）'!$V54+4)=0,'計算（触らない）'!$C54,INDEX('計算（触らない）'!$AS54:$EP54,MIN(('計算（触らない）'!$V54+4),102)))-INDEX('計算（触らない）'!$AS54:$EP54,MIN(('計算（触らない）'!$V54+4),101)+1))*'計算（触らない）'!$N54,6)+'計算（触らない）'!$B$4)))</f>
        <v/>
      </c>
      <c r="I54" s="52">
        <f>IF('計算（触らない）'!$U54=0,"",IF(('計算（触らない）'!$V54+5)&lt;0,"",INT(ROUND((IF(('計算（触らない）'!$V54+5)=0,'計算（触らない）'!$C54,INDEX('計算（触らない）'!$AS54:$EP54,MIN(('計算（触らない）'!$V54+5),102)))-INDEX('計算（触らない）'!$AS54:$EP54,MIN(('計算（触らない）'!$V54+5),101)+1))*'計算（触らない）'!$N54,6)+'計算（触らない）'!$B$4)))</f>
        <v/>
      </c>
      <c r="J54" s="52">
        <f>IF('計算（触らない）'!$U54=0,"",IF(('計算（触らない）'!$V54+6)&lt;0,"",INT(ROUND((IF(('計算（触らない）'!$V54+6)=0,'計算（触らない）'!$C54,INDEX('計算（触らない）'!$AS54:$EP54,MIN(('計算（触らない）'!$V54+6),102)))-INDEX('計算（触らない）'!$AS54:$EP54,MIN(('計算（触らない）'!$V54+6),101)+1))*'計算（触らない）'!$N54,6)+'計算（触らない）'!$B$4)))</f>
        <v/>
      </c>
      <c r="K54" s="52">
        <f>IF('計算（触らない）'!$U54=0,"",IF(('計算（触らない）'!$V54+7)&lt;0,"",INT(ROUND((IF(('計算（触らない）'!$V54+7)=0,'計算（触らない）'!$C54,INDEX('計算（触らない）'!$AS54:$EP54,MIN(('計算（触らない）'!$V54+7),102)))-INDEX('計算（触らない）'!$AS54:$EP54,MIN(('計算（触らない）'!$V54+7),101)+1))*'計算（触らない）'!$N54,6)+'計算（触らない）'!$B$4)))</f>
        <v/>
      </c>
      <c r="L54" s="52">
        <f>IF('計算（触らない）'!$U54=0,"",IF(('計算（触らない）'!$V54+8)&lt;0,"",INT(ROUND((IF(('計算（触らない）'!$V54+8)=0,'計算（触らない）'!$C54,INDEX('計算（触らない）'!$AS54:$EP54,MIN(('計算（触らない）'!$V54+8),102)))-INDEX('計算（触らない）'!$AS54:$EP54,MIN(('計算（触らない）'!$V54+8),101)+1))*'計算（触らない）'!$N54,6)+'計算（触らない）'!$B$4)))</f>
        <v/>
      </c>
      <c r="M54" s="52">
        <f>IF('計算（触らない）'!$U54=0,"",IF(('計算（触らない）'!$V54+9)&lt;0,"",INT(ROUND((IF(('計算（触らない）'!$V54+9)=0,'計算（触らない）'!$C54,INDEX('計算（触らない）'!$AS54:$EP54,MIN(('計算（触らない）'!$V54+9),102)))-INDEX('計算（触らない）'!$AS54:$EP54,MIN(('計算（触らない）'!$V54+9),101)+1))*'計算（触らない）'!$N54,6)+'計算（触らない）'!$B$4)))</f>
        <v/>
      </c>
      <c r="N54" s="68" t="n"/>
      <c r="O54" s="52">
        <f>IF('計算（触らない）'!$U54=0,"",IF(('計算（触らない）'!$V54+0)&lt;0,"",IF(AND('計算（触らない）'!$F54&lt;=2,('計算（触らない）'!$V54+0)&gt;'計算（触らない）'!$R54),0,INDEX('計算（触らない）'!$AS54:$EP54,MIN(('計算（触らない）'!$V54+0),101)+1))))</f>
        <v/>
      </c>
      <c r="P54" s="52">
        <f>IF('計算（触らない）'!$U54=0,"",IF(('計算（触らない）'!$V54+1)&lt;0,"",IF(AND('計算（触らない）'!$F54&lt;=2,('計算（触らない）'!$V54+1)&gt;'計算（触らない）'!$R54),0,INDEX('計算（触らない）'!$AS54:$EP54,MIN(('計算（触らない）'!$V54+1),101)+1))))</f>
        <v/>
      </c>
      <c r="Q54" s="52">
        <f>IF('計算（触らない）'!$U54=0,"",IF(('計算（触らない）'!$V54+2)&lt;0,"",IF(AND('計算（触らない）'!$F54&lt;=2,('計算（触らない）'!$V54+2)&gt;'計算（触らない）'!$R54),0,INDEX('計算（触らない）'!$AS54:$EP54,MIN(('計算（触らない）'!$V54+2),101)+1))))</f>
        <v/>
      </c>
      <c r="R54" s="52">
        <f>IF('計算（触らない）'!$U54=0,"",IF(('計算（触らない）'!$V54+3)&lt;0,"",IF(AND('計算（触らない）'!$F54&lt;=2,('計算（触らない）'!$V54+3)&gt;'計算（触らない）'!$R54),0,INDEX('計算（触らない）'!$AS54:$EP54,MIN(('計算（触らない）'!$V54+3),101)+1))))</f>
        <v/>
      </c>
      <c r="S54" s="52">
        <f>IF('計算（触らない）'!$U54=0,"",IF(('計算（触らない）'!$V54+4)&lt;0,"",IF(AND('計算（触らない）'!$F54&lt;=2,('計算（触らない）'!$V54+4)&gt;'計算（触らない）'!$R54),0,INDEX('計算（触らない）'!$AS54:$EP54,MIN(('計算（触らない）'!$V54+4),101)+1))))</f>
        <v/>
      </c>
      <c r="T54" s="52">
        <f>IF('計算（触らない）'!$U54=0,"",IF(('計算（触らない）'!$V54+5)&lt;0,"",IF(AND('計算（触らない）'!$F54&lt;=2,('計算（触らない）'!$V54+5)&gt;'計算（触らない）'!$R54),0,INDEX('計算（触らない）'!$AS54:$EP54,MIN(('計算（触らない）'!$V54+5),101)+1))))</f>
        <v/>
      </c>
      <c r="U54" s="52">
        <f>IF('計算（触らない）'!$U54=0,"",IF(('計算（触らない）'!$V54+6)&lt;0,"",IF(AND('計算（触らない）'!$F54&lt;=2,('計算（触らない）'!$V54+6)&gt;'計算（触らない）'!$R54),0,INDEX('計算（触らない）'!$AS54:$EP54,MIN(('計算（触らない）'!$V54+6),101)+1))))</f>
        <v/>
      </c>
      <c r="V54" s="52">
        <f>IF('計算（触らない）'!$U54=0,"",IF(('計算（触らない）'!$V54+7)&lt;0,"",IF(AND('計算（触らない）'!$F54&lt;=2,('計算（触らない）'!$V54+7)&gt;'計算（触らない）'!$R54),0,INDEX('計算（触らない）'!$AS54:$EP54,MIN(('計算（触らない）'!$V54+7),101)+1))))</f>
        <v/>
      </c>
      <c r="W54" s="52">
        <f>IF('計算（触らない）'!$U54=0,"",IF(('計算（触らない）'!$V54+8)&lt;0,"",IF(AND('計算（触らない）'!$F54&lt;=2,('計算（触らない）'!$V54+8)&gt;'計算（触らない）'!$R54),0,INDEX('計算（触らない）'!$AS54:$EP54,MIN(('計算（触らない）'!$V54+8),101)+1))))</f>
        <v/>
      </c>
      <c r="X54" s="52">
        <f>IF('計算（触らない）'!$U54=0,"",IF(('計算（触らない）'!$V54+9)&lt;0,"",IF(AND('計算（触らない）'!$F54&lt;=2,('計算（触らない）'!$V54+9)&gt;'計算（触らない）'!$R54),0,INDEX('計算（触らない）'!$AS54:$EP54,MIN(('計算（触らない）'!$V54+9),101)+1))))</f>
        <v/>
      </c>
    </row>
    <row r="55" ht="17" customHeight="1">
      <c r="A55" s="21" t="n">
        <v>50</v>
      </c>
      <c r="B55" s="38">
        <f>IF('計算（触らない）'!$B55=0,"",'固定資産台帳'!$B55&amp;"")</f>
        <v/>
      </c>
      <c r="C55" s="38">
        <f>IF('計算（触らない）'!$B55=0,"",'固定資産台帳'!$H55&amp;"")</f>
        <v/>
      </c>
      <c r="D55" s="52">
        <f>IF('計算（触らない）'!$U55=0,"",IF(('計算（触らない）'!$V55+0)&lt;0,"",INT(ROUND((IF(('計算（触らない）'!$V55+0)=0,'計算（触らない）'!$C55,INDEX('計算（触らない）'!$AS55:$EP55,MIN(('計算（触らない）'!$V55+0),102)))-INDEX('計算（触らない）'!$AS55:$EP55,MIN(('計算（触らない）'!$V55+0),101)+1))*'計算（触らない）'!$N55,6)+'計算（触らない）'!$B$4)))</f>
        <v/>
      </c>
      <c r="E55" s="52">
        <f>IF('計算（触らない）'!$U55=0,"",IF(('計算（触らない）'!$V55+1)&lt;0,"",INT(ROUND((IF(('計算（触らない）'!$V55+1)=0,'計算（触らない）'!$C55,INDEX('計算（触らない）'!$AS55:$EP55,MIN(('計算（触らない）'!$V55+1),102)))-INDEX('計算（触らない）'!$AS55:$EP55,MIN(('計算（触らない）'!$V55+1),101)+1))*'計算（触らない）'!$N55,6)+'計算（触らない）'!$B$4)))</f>
        <v/>
      </c>
      <c r="F55" s="52">
        <f>IF('計算（触らない）'!$U55=0,"",IF(('計算（触らない）'!$V55+2)&lt;0,"",INT(ROUND((IF(('計算（触らない）'!$V55+2)=0,'計算（触らない）'!$C55,INDEX('計算（触らない）'!$AS55:$EP55,MIN(('計算（触らない）'!$V55+2),102)))-INDEX('計算（触らない）'!$AS55:$EP55,MIN(('計算（触らない）'!$V55+2),101)+1))*'計算（触らない）'!$N55,6)+'計算（触らない）'!$B$4)))</f>
        <v/>
      </c>
      <c r="G55" s="52">
        <f>IF('計算（触らない）'!$U55=0,"",IF(('計算（触らない）'!$V55+3)&lt;0,"",INT(ROUND((IF(('計算（触らない）'!$V55+3)=0,'計算（触らない）'!$C55,INDEX('計算（触らない）'!$AS55:$EP55,MIN(('計算（触らない）'!$V55+3),102)))-INDEX('計算（触らない）'!$AS55:$EP55,MIN(('計算（触らない）'!$V55+3),101)+1))*'計算（触らない）'!$N55,6)+'計算（触らない）'!$B$4)))</f>
        <v/>
      </c>
      <c r="H55" s="52">
        <f>IF('計算（触らない）'!$U55=0,"",IF(('計算（触らない）'!$V55+4)&lt;0,"",INT(ROUND((IF(('計算（触らない）'!$V55+4)=0,'計算（触らない）'!$C55,INDEX('計算（触らない）'!$AS55:$EP55,MIN(('計算（触らない）'!$V55+4),102)))-INDEX('計算（触らない）'!$AS55:$EP55,MIN(('計算（触らない）'!$V55+4),101)+1))*'計算（触らない）'!$N55,6)+'計算（触らない）'!$B$4)))</f>
        <v/>
      </c>
      <c r="I55" s="52">
        <f>IF('計算（触らない）'!$U55=0,"",IF(('計算（触らない）'!$V55+5)&lt;0,"",INT(ROUND((IF(('計算（触らない）'!$V55+5)=0,'計算（触らない）'!$C55,INDEX('計算（触らない）'!$AS55:$EP55,MIN(('計算（触らない）'!$V55+5),102)))-INDEX('計算（触らない）'!$AS55:$EP55,MIN(('計算（触らない）'!$V55+5),101)+1))*'計算（触らない）'!$N55,6)+'計算（触らない）'!$B$4)))</f>
        <v/>
      </c>
      <c r="J55" s="52">
        <f>IF('計算（触らない）'!$U55=0,"",IF(('計算（触らない）'!$V55+6)&lt;0,"",INT(ROUND((IF(('計算（触らない）'!$V55+6)=0,'計算（触らない）'!$C55,INDEX('計算（触らない）'!$AS55:$EP55,MIN(('計算（触らない）'!$V55+6),102)))-INDEX('計算（触らない）'!$AS55:$EP55,MIN(('計算（触らない）'!$V55+6),101)+1))*'計算（触らない）'!$N55,6)+'計算（触らない）'!$B$4)))</f>
        <v/>
      </c>
      <c r="K55" s="52">
        <f>IF('計算（触らない）'!$U55=0,"",IF(('計算（触らない）'!$V55+7)&lt;0,"",INT(ROUND((IF(('計算（触らない）'!$V55+7)=0,'計算（触らない）'!$C55,INDEX('計算（触らない）'!$AS55:$EP55,MIN(('計算（触らない）'!$V55+7),102)))-INDEX('計算（触らない）'!$AS55:$EP55,MIN(('計算（触らない）'!$V55+7),101)+1))*'計算（触らない）'!$N55,6)+'計算（触らない）'!$B$4)))</f>
        <v/>
      </c>
      <c r="L55" s="52">
        <f>IF('計算（触らない）'!$U55=0,"",IF(('計算（触らない）'!$V55+8)&lt;0,"",INT(ROUND((IF(('計算（触らない）'!$V55+8)=0,'計算（触らない）'!$C55,INDEX('計算（触らない）'!$AS55:$EP55,MIN(('計算（触らない）'!$V55+8),102)))-INDEX('計算（触らない）'!$AS55:$EP55,MIN(('計算（触らない）'!$V55+8),101)+1))*'計算（触らない）'!$N55,6)+'計算（触らない）'!$B$4)))</f>
        <v/>
      </c>
      <c r="M55" s="52">
        <f>IF('計算（触らない）'!$U55=0,"",IF(('計算（触らない）'!$V55+9)&lt;0,"",INT(ROUND((IF(('計算（触らない）'!$V55+9)=0,'計算（触らない）'!$C55,INDEX('計算（触らない）'!$AS55:$EP55,MIN(('計算（触らない）'!$V55+9),102)))-INDEX('計算（触らない）'!$AS55:$EP55,MIN(('計算（触らない）'!$V55+9),101)+1))*'計算（触らない）'!$N55,6)+'計算（触らない）'!$B$4)))</f>
        <v/>
      </c>
      <c r="N55" s="68" t="n"/>
      <c r="O55" s="52">
        <f>IF('計算（触らない）'!$U55=0,"",IF(('計算（触らない）'!$V55+0)&lt;0,"",IF(AND('計算（触らない）'!$F55&lt;=2,('計算（触らない）'!$V55+0)&gt;'計算（触らない）'!$R55),0,INDEX('計算（触らない）'!$AS55:$EP55,MIN(('計算（触らない）'!$V55+0),101)+1))))</f>
        <v/>
      </c>
      <c r="P55" s="52">
        <f>IF('計算（触らない）'!$U55=0,"",IF(('計算（触らない）'!$V55+1)&lt;0,"",IF(AND('計算（触らない）'!$F55&lt;=2,('計算（触らない）'!$V55+1)&gt;'計算（触らない）'!$R55),0,INDEX('計算（触らない）'!$AS55:$EP55,MIN(('計算（触らない）'!$V55+1),101)+1))))</f>
        <v/>
      </c>
      <c r="Q55" s="52">
        <f>IF('計算（触らない）'!$U55=0,"",IF(('計算（触らない）'!$V55+2)&lt;0,"",IF(AND('計算（触らない）'!$F55&lt;=2,('計算（触らない）'!$V55+2)&gt;'計算（触らない）'!$R55),0,INDEX('計算（触らない）'!$AS55:$EP55,MIN(('計算（触らない）'!$V55+2),101)+1))))</f>
        <v/>
      </c>
      <c r="R55" s="52">
        <f>IF('計算（触らない）'!$U55=0,"",IF(('計算（触らない）'!$V55+3)&lt;0,"",IF(AND('計算（触らない）'!$F55&lt;=2,('計算（触らない）'!$V55+3)&gt;'計算（触らない）'!$R55),0,INDEX('計算（触らない）'!$AS55:$EP55,MIN(('計算（触らない）'!$V55+3),101)+1))))</f>
        <v/>
      </c>
      <c r="S55" s="52">
        <f>IF('計算（触らない）'!$U55=0,"",IF(('計算（触らない）'!$V55+4)&lt;0,"",IF(AND('計算（触らない）'!$F55&lt;=2,('計算（触らない）'!$V55+4)&gt;'計算（触らない）'!$R55),0,INDEX('計算（触らない）'!$AS55:$EP55,MIN(('計算（触らない）'!$V55+4),101)+1))))</f>
        <v/>
      </c>
      <c r="T55" s="52">
        <f>IF('計算（触らない）'!$U55=0,"",IF(('計算（触らない）'!$V55+5)&lt;0,"",IF(AND('計算（触らない）'!$F55&lt;=2,('計算（触らない）'!$V55+5)&gt;'計算（触らない）'!$R55),0,INDEX('計算（触らない）'!$AS55:$EP55,MIN(('計算（触らない）'!$V55+5),101)+1))))</f>
        <v/>
      </c>
      <c r="U55" s="52">
        <f>IF('計算（触らない）'!$U55=0,"",IF(('計算（触らない）'!$V55+6)&lt;0,"",IF(AND('計算（触らない）'!$F55&lt;=2,('計算（触らない）'!$V55+6)&gt;'計算（触らない）'!$R55),0,INDEX('計算（触らない）'!$AS55:$EP55,MIN(('計算（触らない）'!$V55+6),101)+1))))</f>
        <v/>
      </c>
      <c r="V55" s="52">
        <f>IF('計算（触らない）'!$U55=0,"",IF(('計算（触らない）'!$V55+7)&lt;0,"",IF(AND('計算（触らない）'!$F55&lt;=2,('計算（触らない）'!$V55+7)&gt;'計算（触らない）'!$R55),0,INDEX('計算（触らない）'!$AS55:$EP55,MIN(('計算（触らない）'!$V55+7),101)+1))))</f>
        <v/>
      </c>
      <c r="W55" s="52">
        <f>IF('計算（触らない）'!$U55=0,"",IF(('計算（触らない）'!$V55+8)&lt;0,"",IF(AND('計算（触らない）'!$F55&lt;=2,('計算（触らない）'!$V55+8)&gt;'計算（触らない）'!$R55),0,INDEX('計算（触らない）'!$AS55:$EP55,MIN(('計算（触らない）'!$V55+8),101)+1))))</f>
        <v/>
      </c>
      <c r="X55" s="52">
        <f>IF('計算（触らない）'!$U55=0,"",IF(('計算（触らない）'!$V55+9)&lt;0,"",IF(AND('計算（触らない）'!$F55&lt;=2,('計算（触らない）'!$V55+9)&gt;'計算（触らない）'!$R55),0,INDEX('計算（触らない）'!$AS55:$EP55,MIN(('計算（触らない）'!$V55+9),101)+1))))</f>
        <v/>
      </c>
    </row>
    <row r="56" ht="17" customHeight="1">
      <c r="A56" s="21" t="n">
        <v>51</v>
      </c>
      <c r="B56" s="38">
        <f>IF('計算（触らない）'!$B56=0,"",'固定資産台帳'!$B56&amp;"")</f>
        <v/>
      </c>
      <c r="C56" s="38">
        <f>IF('計算（触らない）'!$B56=0,"",'固定資産台帳'!$H56&amp;"")</f>
        <v/>
      </c>
      <c r="D56" s="52">
        <f>IF('計算（触らない）'!$U56=0,"",IF(('計算（触らない）'!$V56+0)&lt;0,"",INT(ROUND((IF(('計算（触らない）'!$V56+0)=0,'計算（触らない）'!$C56,INDEX('計算（触らない）'!$AS56:$EP56,MIN(('計算（触らない）'!$V56+0),102)))-INDEX('計算（触らない）'!$AS56:$EP56,MIN(('計算（触らない）'!$V56+0),101)+1))*'計算（触らない）'!$N56,6)+'計算（触らない）'!$B$4)))</f>
        <v/>
      </c>
      <c r="E56" s="52">
        <f>IF('計算（触らない）'!$U56=0,"",IF(('計算（触らない）'!$V56+1)&lt;0,"",INT(ROUND((IF(('計算（触らない）'!$V56+1)=0,'計算（触らない）'!$C56,INDEX('計算（触らない）'!$AS56:$EP56,MIN(('計算（触らない）'!$V56+1),102)))-INDEX('計算（触らない）'!$AS56:$EP56,MIN(('計算（触らない）'!$V56+1),101)+1))*'計算（触らない）'!$N56,6)+'計算（触らない）'!$B$4)))</f>
        <v/>
      </c>
      <c r="F56" s="52">
        <f>IF('計算（触らない）'!$U56=0,"",IF(('計算（触らない）'!$V56+2)&lt;0,"",INT(ROUND((IF(('計算（触らない）'!$V56+2)=0,'計算（触らない）'!$C56,INDEX('計算（触らない）'!$AS56:$EP56,MIN(('計算（触らない）'!$V56+2),102)))-INDEX('計算（触らない）'!$AS56:$EP56,MIN(('計算（触らない）'!$V56+2),101)+1))*'計算（触らない）'!$N56,6)+'計算（触らない）'!$B$4)))</f>
        <v/>
      </c>
      <c r="G56" s="52">
        <f>IF('計算（触らない）'!$U56=0,"",IF(('計算（触らない）'!$V56+3)&lt;0,"",INT(ROUND((IF(('計算（触らない）'!$V56+3)=0,'計算（触らない）'!$C56,INDEX('計算（触らない）'!$AS56:$EP56,MIN(('計算（触らない）'!$V56+3),102)))-INDEX('計算（触らない）'!$AS56:$EP56,MIN(('計算（触らない）'!$V56+3),101)+1))*'計算（触らない）'!$N56,6)+'計算（触らない）'!$B$4)))</f>
        <v/>
      </c>
      <c r="H56" s="52">
        <f>IF('計算（触らない）'!$U56=0,"",IF(('計算（触らない）'!$V56+4)&lt;0,"",INT(ROUND((IF(('計算（触らない）'!$V56+4)=0,'計算（触らない）'!$C56,INDEX('計算（触らない）'!$AS56:$EP56,MIN(('計算（触らない）'!$V56+4),102)))-INDEX('計算（触らない）'!$AS56:$EP56,MIN(('計算（触らない）'!$V56+4),101)+1))*'計算（触らない）'!$N56,6)+'計算（触らない）'!$B$4)))</f>
        <v/>
      </c>
      <c r="I56" s="52">
        <f>IF('計算（触らない）'!$U56=0,"",IF(('計算（触らない）'!$V56+5)&lt;0,"",INT(ROUND((IF(('計算（触らない）'!$V56+5)=0,'計算（触らない）'!$C56,INDEX('計算（触らない）'!$AS56:$EP56,MIN(('計算（触らない）'!$V56+5),102)))-INDEX('計算（触らない）'!$AS56:$EP56,MIN(('計算（触らない）'!$V56+5),101)+1))*'計算（触らない）'!$N56,6)+'計算（触らない）'!$B$4)))</f>
        <v/>
      </c>
      <c r="J56" s="52">
        <f>IF('計算（触らない）'!$U56=0,"",IF(('計算（触らない）'!$V56+6)&lt;0,"",INT(ROUND((IF(('計算（触らない）'!$V56+6)=0,'計算（触らない）'!$C56,INDEX('計算（触らない）'!$AS56:$EP56,MIN(('計算（触らない）'!$V56+6),102)))-INDEX('計算（触らない）'!$AS56:$EP56,MIN(('計算（触らない）'!$V56+6),101)+1))*'計算（触らない）'!$N56,6)+'計算（触らない）'!$B$4)))</f>
        <v/>
      </c>
      <c r="K56" s="52">
        <f>IF('計算（触らない）'!$U56=0,"",IF(('計算（触らない）'!$V56+7)&lt;0,"",INT(ROUND((IF(('計算（触らない）'!$V56+7)=0,'計算（触らない）'!$C56,INDEX('計算（触らない）'!$AS56:$EP56,MIN(('計算（触らない）'!$V56+7),102)))-INDEX('計算（触らない）'!$AS56:$EP56,MIN(('計算（触らない）'!$V56+7),101)+1))*'計算（触らない）'!$N56,6)+'計算（触らない）'!$B$4)))</f>
        <v/>
      </c>
      <c r="L56" s="52">
        <f>IF('計算（触らない）'!$U56=0,"",IF(('計算（触らない）'!$V56+8)&lt;0,"",INT(ROUND((IF(('計算（触らない）'!$V56+8)=0,'計算（触らない）'!$C56,INDEX('計算（触らない）'!$AS56:$EP56,MIN(('計算（触らない）'!$V56+8),102)))-INDEX('計算（触らない）'!$AS56:$EP56,MIN(('計算（触らない）'!$V56+8),101)+1))*'計算（触らない）'!$N56,6)+'計算（触らない）'!$B$4)))</f>
        <v/>
      </c>
      <c r="M56" s="52">
        <f>IF('計算（触らない）'!$U56=0,"",IF(('計算（触らない）'!$V56+9)&lt;0,"",INT(ROUND((IF(('計算（触らない）'!$V56+9)=0,'計算（触らない）'!$C56,INDEX('計算（触らない）'!$AS56:$EP56,MIN(('計算（触らない）'!$V56+9),102)))-INDEX('計算（触らない）'!$AS56:$EP56,MIN(('計算（触らない）'!$V56+9),101)+1))*'計算（触らない）'!$N56,6)+'計算（触らない）'!$B$4)))</f>
        <v/>
      </c>
      <c r="N56" s="68" t="n"/>
      <c r="O56" s="52">
        <f>IF('計算（触らない）'!$U56=0,"",IF(('計算（触らない）'!$V56+0)&lt;0,"",IF(AND('計算（触らない）'!$F56&lt;=2,('計算（触らない）'!$V56+0)&gt;'計算（触らない）'!$R56),0,INDEX('計算（触らない）'!$AS56:$EP56,MIN(('計算（触らない）'!$V56+0),101)+1))))</f>
        <v/>
      </c>
      <c r="P56" s="52">
        <f>IF('計算（触らない）'!$U56=0,"",IF(('計算（触らない）'!$V56+1)&lt;0,"",IF(AND('計算（触らない）'!$F56&lt;=2,('計算（触らない）'!$V56+1)&gt;'計算（触らない）'!$R56),0,INDEX('計算（触らない）'!$AS56:$EP56,MIN(('計算（触らない）'!$V56+1),101)+1))))</f>
        <v/>
      </c>
      <c r="Q56" s="52">
        <f>IF('計算（触らない）'!$U56=0,"",IF(('計算（触らない）'!$V56+2)&lt;0,"",IF(AND('計算（触らない）'!$F56&lt;=2,('計算（触らない）'!$V56+2)&gt;'計算（触らない）'!$R56),0,INDEX('計算（触らない）'!$AS56:$EP56,MIN(('計算（触らない）'!$V56+2),101)+1))))</f>
        <v/>
      </c>
      <c r="R56" s="52">
        <f>IF('計算（触らない）'!$U56=0,"",IF(('計算（触らない）'!$V56+3)&lt;0,"",IF(AND('計算（触らない）'!$F56&lt;=2,('計算（触らない）'!$V56+3)&gt;'計算（触らない）'!$R56),0,INDEX('計算（触らない）'!$AS56:$EP56,MIN(('計算（触らない）'!$V56+3),101)+1))))</f>
        <v/>
      </c>
      <c r="S56" s="52">
        <f>IF('計算（触らない）'!$U56=0,"",IF(('計算（触らない）'!$V56+4)&lt;0,"",IF(AND('計算（触らない）'!$F56&lt;=2,('計算（触らない）'!$V56+4)&gt;'計算（触らない）'!$R56),0,INDEX('計算（触らない）'!$AS56:$EP56,MIN(('計算（触らない）'!$V56+4),101)+1))))</f>
        <v/>
      </c>
      <c r="T56" s="52">
        <f>IF('計算（触らない）'!$U56=0,"",IF(('計算（触らない）'!$V56+5)&lt;0,"",IF(AND('計算（触らない）'!$F56&lt;=2,('計算（触らない）'!$V56+5)&gt;'計算（触らない）'!$R56),0,INDEX('計算（触らない）'!$AS56:$EP56,MIN(('計算（触らない）'!$V56+5),101)+1))))</f>
        <v/>
      </c>
      <c r="U56" s="52">
        <f>IF('計算（触らない）'!$U56=0,"",IF(('計算（触らない）'!$V56+6)&lt;0,"",IF(AND('計算（触らない）'!$F56&lt;=2,('計算（触らない）'!$V56+6)&gt;'計算（触らない）'!$R56),0,INDEX('計算（触らない）'!$AS56:$EP56,MIN(('計算（触らない）'!$V56+6),101)+1))))</f>
        <v/>
      </c>
      <c r="V56" s="52">
        <f>IF('計算（触らない）'!$U56=0,"",IF(('計算（触らない）'!$V56+7)&lt;0,"",IF(AND('計算（触らない）'!$F56&lt;=2,('計算（触らない）'!$V56+7)&gt;'計算（触らない）'!$R56),0,INDEX('計算（触らない）'!$AS56:$EP56,MIN(('計算（触らない）'!$V56+7),101)+1))))</f>
        <v/>
      </c>
      <c r="W56" s="52">
        <f>IF('計算（触らない）'!$U56=0,"",IF(('計算（触らない）'!$V56+8)&lt;0,"",IF(AND('計算（触らない）'!$F56&lt;=2,('計算（触らない）'!$V56+8)&gt;'計算（触らない）'!$R56),0,INDEX('計算（触らない）'!$AS56:$EP56,MIN(('計算（触らない）'!$V56+8),101)+1))))</f>
        <v/>
      </c>
      <c r="X56" s="52">
        <f>IF('計算（触らない）'!$U56=0,"",IF(('計算（触らない）'!$V56+9)&lt;0,"",IF(AND('計算（触らない）'!$F56&lt;=2,('計算（触らない）'!$V56+9)&gt;'計算（触らない）'!$R56),0,INDEX('計算（触らない）'!$AS56:$EP56,MIN(('計算（触らない）'!$V56+9),101)+1))))</f>
        <v/>
      </c>
    </row>
    <row r="57" ht="17" customHeight="1">
      <c r="A57" s="21" t="n">
        <v>52</v>
      </c>
      <c r="B57" s="38">
        <f>IF('計算（触らない）'!$B57=0,"",'固定資産台帳'!$B57&amp;"")</f>
        <v/>
      </c>
      <c r="C57" s="38">
        <f>IF('計算（触らない）'!$B57=0,"",'固定資産台帳'!$H57&amp;"")</f>
        <v/>
      </c>
      <c r="D57" s="52">
        <f>IF('計算（触らない）'!$U57=0,"",IF(('計算（触らない）'!$V57+0)&lt;0,"",INT(ROUND((IF(('計算（触らない）'!$V57+0)=0,'計算（触らない）'!$C57,INDEX('計算（触らない）'!$AS57:$EP57,MIN(('計算（触らない）'!$V57+0),102)))-INDEX('計算（触らない）'!$AS57:$EP57,MIN(('計算（触らない）'!$V57+0),101)+1))*'計算（触らない）'!$N57,6)+'計算（触らない）'!$B$4)))</f>
        <v/>
      </c>
      <c r="E57" s="52">
        <f>IF('計算（触らない）'!$U57=0,"",IF(('計算（触らない）'!$V57+1)&lt;0,"",INT(ROUND((IF(('計算（触らない）'!$V57+1)=0,'計算（触らない）'!$C57,INDEX('計算（触らない）'!$AS57:$EP57,MIN(('計算（触らない）'!$V57+1),102)))-INDEX('計算（触らない）'!$AS57:$EP57,MIN(('計算（触らない）'!$V57+1),101)+1))*'計算（触らない）'!$N57,6)+'計算（触らない）'!$B$4)))</f>
        <v/>
      </c>
      <c r="F57" s="52">
        <f>IF('計算（触らない）'!$U57=0,"",IF(('計算（触らない）'!$V57+2)&lt;0,"",INT(ROUND((IF(('計算（触らない）'!$V57+2)=0,'計算（触らない）'!$C57,INDEX('計算（触らない）'!$AS57:$EP57,MIN(('計算（触らない）'!$V57+2),102)))-INDEX('計算（触らない）'!$AS57:$EP57,MIN(('計算（触らない）'!$V57+2),101)+1))*'計算（触らない）'!$N57,6)+'計算（触らない）'!$B$4)))</f>
        <v/>
      </c>
      <c r="G57" s="52">
        <f>IF('計算（触らない）'!$U57=0,"",IF(('計算（触らない）'!$V57+3)&lt;0,"",INT(ROUND((IF(('計算（触らない）'!$V57+3)=0,'計算（触らない）'!$C57,INDEX('計算（触らない）'!$AS57:$EP57,MIN(('計算（触らない）'!$V57+3),102)))-INDEX('計算（触らない）'!$AS57:$EP57,MIN(('計算（触らない）'!$V57+3),101)+1))*'計算（触らない）'!$N57,6)+'計算（触らない）'!$B$4)))</f>
        <v/>
      </c>
      <c r="H57" s="52">
        <f>IF('計算（触らない）'!$U57=0,"",IF(('計算（触らない）'!$V57+4)&lt;0,"",INT(ROUND((IF(('計算（触らない）'!$V57+4)=0,'計算（触らない）'!$C57,INDEX('計算（触らない）'!$AS57:$EP57,MIN(('計算（触らない）'!$V57+4),102)))-INDEX('計算（触らない）'!$AS57:$EP57,MIN(('計算（触らない）'!$V57+4),101)+1))*'計算（触らない）'!$N57,6)+'計算（触らない）'!$B$4)))</f>
        <v/>
      </c>
      <c r="I57" s="52">
        <f>IF('計算（触らない）'!$U57=0,"",IF(('計算（触らない）'!$V57+5)&lt;0,"",INT(ROUND((IF(('計算（触らない）'!$V57+5)=0,'計算（触らない）'!$C57,INDEX('計算（触らない）'!$AS57:$EP57,MIN(('計算（触らない）'!$V57+5),102)))-INDEX('計算（触らない）'!$AS57:$EP57,MIN(('計算（触らない）'!$V57+5),101)+1))*'計算（触らない）'!$N57,6)+'計算（触らない）'!$B$4)))</f>
        <v/>
      </c>
      <c r="J57" s="52">
        <f>IF('計算（触らない）'!$U57=0,"",IF(('計算（触らない）'!$V57+6)&lt;0,"",INT(ROUND((IF(('計算（触らない）'!$V57+6)=0,'計算（触らない）'!$C57,INDEX('計算（触らない）'!$AS57:$EP57,MIN(('計算（触らない）'!$V57+6),102)))-INDEX('計算（触らない）'!$AS57:$EP57,MIN(('計算（触らない）'!$V57+6),101)+1))*'計算（触らない）'!$N57,6)+'計算（触らない）'!$B$4)))</f>
        <v/>
      </c>
      <c r="K57" s="52">
        <f>IF('計算（触らない）'!$U57=0,"",IF(('計算（触らない）'!$V57+7)&lt;0,"",INT(ROUND((IF(('計算（触らない）'!$V57+7)=0,'計算（触らない）'!$C57,INDEX('計算（触らない）'!$AS57:$EP57,MIN(('計算（触らない）'!$V57+7),102)))-INDEX('計算（触らない）'!$AS57:$EP57,MIN(('計算（触らない）'!$V57+7),101)+1))*'計算（触らない）'!$N57,6)+'計算（触らない）'!$B$4)))</f>
        <v/>
      </c>
      <c r="L57" s="52">
        <f>IF('計算（触らない）'!$U57=0,"",IF(('計算（触らない）'!$V57+8)&lt;0,"",INT(ROUND((IF(('計算（触らない）'!$V57+8)=0,'計算（触らない）'!$C57,INDEX('計算（触らない）'!$AS57:$EP57,MIN(('計算（触らない）'!$V57+8),102)))-INDEX('計算（触らない）'!$AS57:$EP57,MIN(('計算（触らない）'!$V57+8),101)+1))*'計算（触らない）'!$N57,6)+'計算（触らない）'!$B$4)))</f>
        <v/>
      </c>
      <c r="M57" s="52">
        <f>IF('計算（触らない）'!$U57=0,"",IF(('計算（触らない）'!$V57+9)&lt;0,"",INT(ROUND((IF(('計算（触らない）'!$V57+9)=0,'計算（触らない）'!$C57,INDEX('計算（触らない）'!$AS57:$EP57,MIN(('計算（触らない）'!$V57+9),102)))-INDEX('計算（触らない）'!$AS57:$EP57,MIN(('計算（触らない）'!$V57+9),101)+1))*'計算（触らない）'!$N57,6)+'計算（触らない）'!$B$4)))</f>
        <v/>
      </c>
      <c r="N57" s="68" t="n"/>
      <c r="O57" s="52">
        <f>IF('計算（触らない）'!$U57=0,"",IF(('計算（触らない）'!$V57+0)&lt;0,"",IF(AND('計算（触らない）'!$F57&lt;=2,('計算（触らない）'!$V57+0)&gt;'計算（触らない）'!$R57),0,INDEX('計算（触らない）'!$AS57:$EP57,MIN(('計算（触らない）'!$V57+0),101)+1))))</f>
        <v/>
      </c>
      <c r="P57" s="52">
        <f>IF('計算（触らない）'!$U57=0,"",IF(('計算（触らない）'!$V57+1)&lt;0,"",IF(AND('計算（触らない）'!$F57&lt;=2,('計算（触らない）'!$V57+1)&gt;'計算（触らない）'!$R57),0,INDEX('計算（触らない）'!$AS57:$EP57,MIN(('計算（触らない）'!$V57+1),101)+1))))</f>
        <v/>
      </c>
      <c r="Q57" s="52">
        <f>IF('計算（触らない）'!$U57=0,"",IF(('計算（触らない）'!$V57+2)&lt;0,"",IF(AND('計算（触らない）'!$F57&lt;=2,('計算（触らない）'!$V57+2)&gt;'計算（触らない）'!$R57),0,INDEX('計算（触らない）'!$AS57:$EP57,MIN(('計算（触らない）'!$V57+2),101)+1))))</f>
        <v/>
      </c>
      <c r="R57" s="52">
        <f>IF('計算（触らない）'!$U57=0,"",IF(('計算（触らない）'!$V57+3)&lt;0,"",IF(AND('計算（触らない）'!$F57&lt;=2,('計算（触らない）'!$V57+3)&gt;'計算（触らない）'!$R57),0,INDEX('計算（触らない）'!$AS57:$EP57,MIN(('計算（触らない）'!$V57+3),101)+1))))</f>
        <v/>
      </c>
      <c r="S57" s="52">
        <f>IF('計算（触らない）'!$U57=0,"",IF(('計算（触らない）'!$V57+4)&lt;0,"",IF(AND('計算（触らない）'!$F57&lt;=2,('計算（触らない）'!$V57+4)&gt;'計算（触らない）'!$R57),0,INDEX('計算（触らない）'!$AS57:$EP57,MIN(('計算（触らない）'!$V57+4),101)+1))))</f>
        <v/>
      </c>
      <c r="T57" s="52">
        <f>IF('計算（触らない）'!$U57=0,"",IF(('計算（触らない）'!$V57+5)&lt;0,"",IF(AND('計算（触らない）'!$F57&lt;=2,('計算（触らない）'!$V57+5)&gt;'計算（触らない）'!$R57),0,INDEX('計算（触らない）'!$AS57:$EP57,MIN(('計算（触らない）'!$V57+5),101)+1))))</f>
        <v/>
      </c>
      <c r="U57" s="52">
        <f>IF('計算（触らない）'!$U57=0,"",IF(('計算（触らない）'!$V57+6)&lt;0,"",IF(AND('計算（触らない）'!$F57&lt;=2,('計算（触らない）'!$V57+6)&gt;'計算（触らない）'!$R57),0,INDEX('計算（触らない）'!$AS57:$EP57,MIN(('計算（触らない）'!$V57+6),101)+1))))</f>
        <v/>
      </c>
      <c r="V57" s="52">
        <f>IF('計算（触らない）'!$U57=0,"",IF(('計算（触らない）'!$V57+7)&lt;0,"",IF(AND('計算（触らない）'!$F57&lt;=2,('計算（触らない）'!$V57+7)&gt;'計算（触らない）'!$R57),0,INDEX('計算（触らない）'!$AS57:$EP57,MIN(('計算（触らない）'!$V57+7),101)+1))))</f>
        <v/>
      </c>
      <c r="W57" s="52">
        <f>IF('計算（触らない）'!$U57=0,"",IF(('計算（触らない）'!$V57+8)&lt;0,"",IF(AND('計算（触らない）'!$F57&lt;=2,('計算（触らない）'!$V57+8)&gt;'計算（触らない）'!$R57),0,INDEX('計算（触らない）'!$AS57:$EP57,MIN(('計算（触らない）'!$V57+8),101)+1))))</f>
        <v/>
      </c>
      <c r="X57" s="52">
        <f>IF('計算（触らない）'!$U57=0,"",IF(('計算（触らない）'!$V57+9)&lt;0,"",IF(AND('計算（触らない）'!$F57&lt;=2,('計算（触らない）'!$V57+9)&gt;'計算（触らない）'!$R57),0,INDEX('計算（触らない）'!$AS57:$EP57,MIN(('計算（触らない）'!$V57+9),101)+1))))</f>
        <v/>
      </c>
    </row>
    <row r="58" ht="17" customHeight="1">
      <c r="A58" s="21" t="n">
        <v>53</v>
      </c>
      <c r="B58" s="38">
        <f>IF('計算（触らない）'!$B58=0,"",'固定資産台帳'!$B58&amp;"")</f>
        <v/>
      </c>
      <c r="C58" s="38">
        <f>IF('計算（触らない）'!$B58=0,"",'固定資産台帳'!$H58&amp;"")</f>
        <v/>
      </c>
      <c r="D58" s="52">
        <f>IF('計算（触らない）'!$U58=0,"",IF(('計算（触らない）'!$V58+0)&lt;0,"",INT(ROUND((IF(('計算（触らない）'!$V58+0)=0,'計算（触らない）'!$C58,INDEX('計算（触らない）'!$AS58:$EP58,MIN(('計算（触らない）'!$V58+0),102)))-INDEX('計算（触らない）'!$AS58:$EP58,MIN(('計算（触らない）'!$V58+0),101)+1))*'計算（触らない）'!$N58,6)+'計算（触らない）'!$B$4)))</f>
        <v/>
      </c>
      <c r="E58" s="52">
        <f>IF('計算（触らない）'!$U58=0,"",IF(('計算（触らない）'!$V58+1)&lt;0,"",INT(ROUND((IF(('計算（触らない）'!$V58+1)=0,'計算（触らない）'!$C58,INDEX('計算（触らない）'!$AS58:$EP58,MIN(('計算（触らない）'!$V58+1),102)))-INDEX('計算（触らない）'!$AS58:$EP58,MIN(('計算（触らない）'!$V58+1),101)+1))*'計算（触らない）'!$N58,6)+'計算（触らない）'!$B$4)))</f>
        <v/>
      </c>
      <c r="F58" s="52">
        <f>IF('計算（触らない）'!$U58=0,"",IF(('計算（触らない）'!$V58+2)&lt;0,"",INT(ROUND((IF(('計算（触らない）'!$V58+2)=0,'計算（触らない）'!$C58,INDEX('計算（触らない）'!$AS58:$EP58,MIN(('計算（触らない）'!$V58+2),102)))-INDEX('計算（触らない）'!$AS58:$EP58,MIN(('計算（触らない）'!$V58+2),101)+1))*'計算（触らない）'!$N58,6)+'計算（触らない）'!$B$4)))</f>
        <v/>
      </c>
      <c r="G58" s="52">
        <f>IF('計算（触らない）'!$U58=0,"",IF(('計算（触らない）'!$V58+3)&lt;0,"",INT(ROUND((IF(('計算（触らない）'!$V58+3)=0,'計算（触らない）'!$C58,INDEX('計算（触らない）'!$AS58:$EP58,MIN(('計算（触らない）'!$V58+3),102)))-INDEX('計算（触らない）'!$AS58:$EP58,MIN(('計算（触らない）'!$V58+3),101)+1))*'計算（触らない）'!$N58,6)+'計算（触らない）'!$B$4)))</f>
        <v/>
      </c>
      <c r="H58" s="52">
        <f>IF('計算（触らない）'!$U58=0,"",IF(('計算（触らない）'!$V58+4)&lt;0,"",INT(ROUND((IF(('計算（触らない）'!$V58+4)=0,'計算（触らない）'!$C58,INDEX('計算（触らない）'!$AS58:$EP58,MIN(('計算（触らない）'!$V58+4),102)))-INDEX('計算（触らない）'!$AS58:$EP58,MIN(('計算（触らない）'!$V58+4),101)+1))*'計算（触らない）'!$N58,6)+'計算（触らない）'!$B$4)))</f>
        <v/>
      </c>
      <c r="I58" s="52">
        <f>IF('計算（触らない）'!$U58=0,"",IF(('計算（触らない）'!$V58+5)&lt;0,"",INT(ROUND((IF(('計算（触らない）'!$V58+5)=0,'計算（触らない）'!$C58,INDEX('計算（触らない）'!$AS58:$EP58,MIN(('計算（触らない）'!$V58+5),102)))-INDEX('計算（触らない）'!$AS58:$EP58,MIN(('計算（触らない）'!$V58+5),101)+1))*'計算（触らない）'!$N58,6)+'計算（触らない）'!$B$4)))</f>
        <v/>
      </c>
      <c r="J58" s="52">
        <f>IF('計算（触らない）'!$U58=0,"",IF(('計算（触らない）'!$V58+6)&lt;0,"",INT(ROUND((IF(('計算（触らない）'!$V58+6)=0,'計算（触らない）'!$C58,INDEX('計算（触らない）'!$AS58:$EP58,MIN(('計算（触らない）'!$V58+6),102)))-INDEX('計算（触らない）'!$AS58:$EP58,MIN(('計算（触らない）'!$V58+6),101)+1))*'計算（触らない）'!$N58,6)+'計算（触らない）'!$B$4)))</f>
        <v/>
      </c>
      <c r="K58" s="52">
        <f>IF('計算（触らない）'!$U58=0,"",IF(('計算（触らない）'!$V58+7)&lt;0,"",INT(ROUND((IF(('計算（触らない）'!$V58+7)=0,'計算（触らない）'!$C58,INDEX('計算（触らない）'!$AS58:$EP58,MIN(('計算（触らない）'!$V58+7),102)))-INDEX('計算（触らない）'!$AS58:$EP58,MIN(('計算（触らない）'!$V58+7),101)+1))*'計算（触らない）'!$N58,6)+'計算（触らない）'!$B$4)))</f>
        <v/>
      </c>
      <c r="L58" s="52">
        <f>IF('計算（触らない）'!$U58=0,"",IF(('計算（触らない）'!$V58+8)&lt;0,"",INT(ROUND((IF(('計算（触らない）'!$V58+8)=0,'計算（触らない）'!$C58,INDEX('計算（触らない）'!$AS58:$EP58,MIN(('計算（触らない）'!$V58+8),102)))-INDEX('計算（触らない）'!$AS58:$EP58,MIN(('計算（触らない）'!$V58+8),101)+1))*'計算（触らない）'!$N58,6)+'計算（触らない）'!$B$4)))</f>
        <v/>
      </c>
      <c r="M58" s="52">
        <f>IF('計算（触らない）'!$U58=0,"",IF(('計算（触らない）'!$V58+9)&lt;0,"",INT(ROUND((IF(('計算（触らない）'!$V58+9)=0,'計算（触らない）'!$C58,INDEX('計算（触らない）'!$AS58:$EP58,MIN(('計算（触らない）'!$V58+9),102)))-INDEX('計算（触らない）'!$AS58:$EP58,MIN(('計算（触らない）'!$V58+9),101)+1))*'計算（触らない）'!$N58,6)+'計算（触らない）'!$B$4)))</f>
        <v/>
      </c>
      <c r="N58" s="68" t="n"/>
      <c r="O58" s="52">
        <f>IF('計算（触らない）'!$U58=0,"",IF(('計算（触らない）'!$V58+0)&lt;0,"",IF(AND('計算（触らない）'!$F58&lt;=2,('計算（触らない）'!$V58+0)&gt;'計算（触らない）'!$R58),0,INDEX('計算（触らない）'!$AS58:$EP58,MIN(('計算（触らない）'!$V58+0),101)+1))))</f>
        <v/>
      </c>
      <c r="P58" s="52">
        <f>IF('計算（触らない）'!$U58=0,"",IF(('計算（触らない）'!$V58+1)&lt;0,"",IF(AND('計算（触らない）'!$F58&lt;=2,('計算（触らない）'!$V58+1)&gt;'計算（触らない）'!$R58),0,INDEX('計算（触らない）'!$AS58:$EP58,MIN(('計算（触らない）'!$V58+1),101)+1))))</f>
        <v/>
      </c>
      <c r="Q58" s="52">
        <f>IF('計算（触らない）'!$U58=0,"",IF(('計算（触らない）'!$V58+2)&lt;0,"",IF(AND('計算（触らない）'!$F58&lt;=2,('計算（触らない）'!$V58+2)&gt;'計算（触らない）'!$R58),0,INDEX('計算（触らない）'!$AS58:$EP58,MIN(('計算（触らない）'!$V58+2),101)+1))))</f>
        <v/>
      </c>
      <c r="R58" s="52">
        <f>IF('計算（触らない）'!$U58=0,"",IF(('計算（触らない）'!$V58+3)&lt;0,"",IF(AND('計算（触らない）'!$F58&lt;=2,('計算（触らない）'!$V58+3)&gt;'計算（触らない）'!$R58),0,INDEX('計算（触らない）'!$AS58:$EP58,MIN(('計算（触らない）'!$V58+3),101)+1))))</f>
        <v/>
      </c>
      <c r="S58" s="52">
        <f>IF('計算（触らない）'!$U58=0,"",IF(('計算（触らない）'!$V58+4)&lt;0,"",IF(AND('計算（触らない）'!$F58&lt;=2,('計算（触らない）'!$V58+4)&gt;'計算（触らない）'!$R58),0,INDEX('計算（触らない）'!$AS58:$EP58,MIN(('計算（触らない）'!$V58+4),101)+1))))</f>
        <v/>
      </c>
      <c r="T58" s="52">
        <f>IF('計算（触らない）'!$U58=0,"",IF(('計算（触らない）'!$V58+5)&lt;0,"",IF(AND('計算（触らない）'!$F58&lt;=2,('計算（触らない）'!$V58+5)&gt;'計算（触らない）'!$R58),0,INDEX('計算（触らない）'!$AS58:$EP58,MIN(('計算（触らない）'!$V58+5),101)+1))))</f>
        <v/>
      </c>
      <c r="U58" s="52">
        <f>IF('計算（触らない）'!$U58=0,"",IF(('計算（触らない）'!$V58+6)&lt;0,"",IF(AND('計算（触らない）'!$F58&lt;=2,('計算（触らない）'!$V58+6)&gt;'計算（触らない）'!$R58),0,INDEX('計算（触らない）'!$AS58:$EP58,MIN(('計算（触らない）'!$V58+6),101)+1))))</f>
        <v/>
      </c>
      <c r="V58" s="52">
        <f>IF('計算（触らない）'!$U58=0,"",IF(('計算（触らない）'!$V58+7)&lt;0,"",IF(AND('計算（触らない）'!$F58&lt;=2,('計算（触らない）'!$V58+7)&gt;'計算（触らない）'!$R58),0,INDEX('計算（触らない）'!$AS58:$EP58,MIN(('計算（触らない）'!$V58+7),101)+1))))</f>
        <v/>
      </c>
      <c r="W58" s="52">
        <f>IF('計算（触らない）'!$U58=0,"",IF(('計算（触らない）'!$V58+8)&lt;0,"",IF(AND('計算（触らない）'!$F58&lt;=2,('計算（触らない）'!$V58+8)&gt;'計算（触らない）'!$R58),0,INDEX('計算（触らない）'!$AS58:$EP58,MIN(('計算（触らない）'!$V58+8),101)+1))))</f>
        <v/>
      </c>
      <c r="X58" s="52">
        <f>IF('計算（触らない）'!$U58=0,"",IF(('計算（触らない）'!$V58+9)&lt;0,"",IF(AND('計算（触らない）'!$F58&lt;=2,('計算（触らない）'!$V58+9)&gt;'計算（触らない）'!$R58),0,INDEX('計算（触らない）'!$AS58:$EP58,MIN(('計算（触らない）'!$V58+9),101)+1))))</f>
        <v/>
      </c>
    </row>
    <row r="59" ht="17" customHeight="1">
      <c r="A59" s="21" t="n">
        <v>54</v>
      </c>
      <c r="B59" s="38">
        <f>IF('計算（触らない）'!$B59=0,"",'固定資産台帳'!$B59&amp;"")</f>
        <v/>
      </c>
      <c r="C59" s="38">
        <f>IF('計算（触らない）'!$B59=0,"",'固定資産台帳'!$H59&amp;"")</f>
        <v/>
      </c>
      <c r="D59" s="52">
        <f>IF('計算（触らない）'!$U59=0,"",IF(('計算（触らない）'!$V59+0)&lt;0,"",INT(ROUND((IF(('計算（触らない）'!$V59+0)=0,'計算（触らない）'!$C59,INDEX('計算（触らない）'!$AS59:$EP59,MIN(('計算（触らない）'!$V59+0),102)))-INDEX('計算（触らない）'!$AS59:$EP59,MIN(('計算（触らない）'!$V59+0),101)+1))*'計算（触らない）'!$N59,6)+'計算（触らない）'!$B$4)))</f>
        <v/>
      </c>
      <c r="E59" s="52">
        <f>IF('計算（触らない）'!$U59=0,"",IF(('計算（触らない）'!$V59+1)&lt;0,"",INT(ROUND((IF(('計算（触らない）'!$V59+1)=0,'計算（触らない）'!$C59,INDEX('計算（触らない）'!$AS59:$EP59,MIN(('計算（触らない）'!$V59+1),102)))-INDEX('計算（触らない）'!$AS59:$EP59,MIN(('計算（触らない）'!$V59+1),101)+1))*'計算（触らない）'!$N59,6)+'計算（触らない）'!$B$4)))</f>
        <v/>
      </c>
      <c r="F59" s="52">
        <f>IF('計算（触らない）'!$U59=0,"",IF(('計算（触らない）'!$V59+2)&lt;0,"",INT(ROUND((IF(('計算（触らない）'!$V59+2)=0,'計算（触らない）'!$C59,INDEX('計算（触らない）'!$AS59:$EP59,MIN(('計算（触らない）'!$V59+2),102)))-INDEX('計算（触らない）'!$AS59:$EP59,MIN(('計算（触らない）'!$V59+2),101)+1))*'計算（触らない）'!$N59,6)+'計算（触らない）'!$B$4)))</f>
        <v/>
      </c>
      <c r="G59" s="52">
        <f>IF('計算（触らない）'!$U59=0,"",IF(('計算（触らない）'!$V59+3)&lt;0,"",INT(ROUND((IF(('計算（触らない）'!$V59+3)=0,'計算（触らない）'!$C59,INDEX('計算（触らない）'!$AS59:$EP59,MIN(('計算（触らない）'!$V59+3),102)))-INDEX('計算（触らない）'!$AS59:$EP59,MIN(('計算（触らない）'!$V59+3),101)+1))*'計算（触らない）'!$N59,6)+'計算（触らない）'!$B$4)))</f>
        <v/>
      </c>
      <c r="H59" s="52">
        <f>IF('計算（触らない）'!$U59=0,"",IF(('計算（触らない）'!$V59+4)&lt;0,"",INT(ROUND((IF(('計算（触らない）'!$V59+4)=0,'計算（触らない）'!$C59,INDEX('計算（触らない）'!$AS59:$EP59,MIN(('計算（触らない）'!$V59+4),102)))-INDEX('計算（触らない）'!$AS59:$EP59,MIN(('計算（触らない）'!$V59+4),101)+1))*'計算（触らない）'!$N59,6)+'計算（触らない）'!$B$4)))</f>
        <v/>
      </c>
      <c r="I59" s="52">
        <f>IF('計算（触らない）'!$U59=0,"",IF(('計算（触らない）'!$V59+5)&lt;0,"",INT(ROUND((IF(('計算（触らない）'!$V59+5)=0,'計算（触らない）'!$C59,INDEX('計算（触らない）'!$AS59:$EP59,MIN(('計算（触らない）'!$V59+5),102)))-INDEX('計算（触らない）'!$AS59:$EP59,MIN(('計算（触らない）'!$V59+5),101)+1))*'計算（触らない）'!$N59,6)+'計算（触らない）'!$B$4)))</f>
        <v/>
      </c>
      <c r="J59" s="52">
        <f>IF('計算（触らない）'!$U59=0,"",IF(('計算（触らない）'!$V59+6)&lt;0,"",INT(ROUND((IF(('計算（触らない）'!$V59+6)=0,'計算（触らない）'!$C59,INDEX('計算（触らない）'!$AS59:$EP59,MIN(('計算（触らない）'!$V59+6),102)))-INDEX('計算（触らない）'!$AS59:$EP59,MIN(('計算（触らない）'!$V59+6),101)+1))*'計算（触らない）'!$N59,6)+'計算（触らない）'!$B$4)))</f>
        <v/>
      </c>
      <c r="K59" s="52">
        <f>IF('計算（触らない）'!$U59=0,"",IF(('計算（触らない）'!$V59+7)&lt;0,"",INT(ROUND((IF(('計算（触らない）'!$V59+7)=0,'計算（触らない）'!$C59,INDEX('計算（触らない）'!$AS59:$EP59,MIN(('計算（触らない）'!$V59+7),102)))-INDEX('計算（触らない）'!$AS59:$EP59,MIN(('計算（触らない）'!$V59+7),101)+1))*'計算（触らない）'!$N59,6)+'計算（触らない）'!$B$4)))</f>
        <v/>
      </c>
      <c r="L59" s="52">
        <f>IF('計算（触らない）'!$U59=0,"",IF(('計算（触らない）'!$V59+8)&lt;0,"",INT(ROUND((IF(('計算（触らない）'!$V59+8)=0,'計算（触らない）'!$C59,INDEX('計算（触らない）'!$AS59:$EP59,MIN(('計算（触らない）'!$V59+8),102)))-INDEX('計算（触らない）'!$AS59:$EP59,MIN(('計算（触らない）'!$V59+8),101)+1))*'計算（触らない）'!$N59,6)+'計算（触らない）'!$B$4)))</f>
        <v/>
      </c>
      <c r="M59" s="52">
        <f>IF('計算（触らない）'!$U59=0,"",IF(('計算（触らない）'!$V59+9)&lt;0,"",INT(ROUND((IF(('計算（触らない）'!$V59+9)=0,'計算（触らない）'!$C59,INDEX('計算（触らない）'!$AS59:$EP59,MIN(('計算（触らない）'!$V59+9),102)))-INDEX('計算（触らない）'!$AS59:$EP59,MIN(('計算（触らない）'!$V59+9),101)+1))*'計算（触らない）'!$N59,6)+'計算（触らない）'!$B$4)))</f>
        <v/>
      </c>
      <c r="N59" s="68" t="n"/>
      <c r="O59" s="52">
        <f>IF('計算（触らない）'!$U59=0,"",IF(('計算（触らない）'!$V59+0)&lt;0,"",IF(AND('計算（触らない）'!$F59&lt;=2,('計算（触らない）'!$V59+0)&gt;'計算（触らない）'!$R59),0,INDEX('計算（触らない）'!$AS59:$EP59,MIN(('計算（触らない）'!$V59+0),101)+1))))</f>
        <v/>
      </c>
      <c r="P59" s="52">
        <f>IF('計算（触らない）'!$U59=0,"",IF(('計算（触らない）'!$V59+1)&lt;0,"",IF(AND('計算（触らない）'!$F59&lt;=2,('計算（触らない）'!$V59+1)&gt;'計算（触らない）'!$R59),0,INDEX('計算（触らない）'!$AS59:$EP59,MIN(('計算（触らない）'!$V59+1),101)+1))))</f>
        <v/>
      </c>
      <c r="Q59" s="52">
        <f>IF('計算（触らない）'!$U59=0,"",IF(('計算（触らない）'!$V59+2)&lt;0,"",IF(AND('計算（触らない）'!$F59&lt;=2,('計算（触らない）'!$V59+2)&gt;'計算（触らない）'!$R59),0,INDEX('計算（触らない）'!$AS59:$EP59,MIN(('計算（触らない）'!$V59+2),101)+1))))</f>
        <v/>
      </c>
      <c r="R59" s="52">
        <f>IF('計算（触らない）'!$U59=0,"",IF(('計算（触らない）'!$V59+3)&lt;0,"",IF(AND('計算（触らない）'!$F59&lt;=2,('計算（触らない）'!$V59+3)&gt;'計算（触らない）'!$R59),0,INDEX('計算（触らない）'!$AS59:$EP59,MIN(('計算（触らない）'!$V59+3),101)+1))))</f>
        <v/>
      </c>
      <c r="S59" s="52">
        <f>IF('計算（触らない）'!$U59=0,"",IF(('計算（触らない）'!$V59+4)&lt;0,"",IF(AND('計算（触らない）'!$F59&lt;=2,('計算（触らない）'!$V59+4)&gt;'計算（触らない）'!$R59),0,INDEX('計算（触らない）'!$AS59:$EP59,MIN(('計算（触らない）'!$V59+4),101)+1))))</f>
        <v/>
      </c>
      <c r="T59" s="52">
        <f>IF('計算（触らない）'!$U59=0,"",IF(('計算（触らない）'!$V59+5)&lt;0,"",IF(AND('計算（触らない）'!$F59&lt;=2,('計算（触らない）'!$V59+5)&gt;'計算（触らない）'!$R59),0,INDEX('計算（触らない）'!$AS59:$EP59,MIN(('計算（触らない）'!$V59+5),101)+1))))</f>
        <v/>
      </c>
      <c r="U59" s="52">
        <f>IF('計算（触らない）'!$U59=0,"",IF(('計算（触らない）'!$V59+6)&lt;0,"",IF(AND('計算（触らない）'!$F59&lt;=2,('計算（触らない）'!$V59+6)&gt;'計算（触らない）'!$R59),0,INDEX('計算（触らない）'!$AS59:$EP59,MIN(('計算（触らない）'!$V59+6),101)+1))))</f>
        <v/>
      </c>
      <c r="V59" s="52">
        <f>IF('計算（触らない）'!$U59=0,"",IF(('計算（触らない）'!$V59+7)&lt;0,"",IF(AND('計算（触らない）'!$F59&lt;=2,('計算（触らない）'!$V59+7)&gt;'計算（触らない）'!$R59),0,INDEX('計算（触らない）'!$AS59:$EP59,MIN(('計算（触らない）'!$V59+7),101)+1))))</f>
        <v/>
      </c>
      <c r="W59" s="52">
        <f>IF('計算（触らない）'!$U59=0,"",IF(('計算（触らない）'!$V59+8)&lt;0,"",IF(AND('計算（触らない）'!$F59&lt;=2,('計算（触らない）'!$V59+8)&gt;'計算（触らない）'!$R59),0,INDEX('計算（触らない）'!$AS59:$EP59,MIN(('計算（触らない）'!$V59+8),101)+1))))</f>
        <v/>
      </c>
      <c r="X59" s="52">
        <f>IF('計算（触らない）'!$U59=0,"",IF(('計算（触らない）'!$V59+9)&lt;0,"",IF(AND('計算（触らない）'!$F59&lt;=2,('計算（触らない）'!$V59+9)&gt;'計算（触らない）'!$R59),0,INDEX('計算（触らない）'!$AS59:$EP59,MIN(('計算（触らない）'!$V59+9),101)+1))))</f>
        <v/>
      </c>
    </row>
    <row r="60" ht="17" customHeight="1">
      <c r="A60" s="21" t="n">
        <v>55</v>
      </c>
      <c r="B60" s="38">
        <f>IF('計算（触らない）'!$B60=0,"",'固定資産台帳'!$B60&amp;"")</f>
        <v/>
      </c>
      <c r="C60" s="38">
        <f>IF('計算（触らない）'!$B60=0,"",'固定資産台帳'!$H60&amp;"")</f>
        <v/>
      </c>
      <c r="D60" s="52">
        <f>IF('計算（触らない）'!$U60=0,"",IF(('計算（触らない）'!$V60+0)&lt;0,"",INT(ROUND((IF(('計算（触らない）'!$V60+0)=0,'計算（触らない）'!$C60,INDEX('計算（触らない）'!$AS60:$EP60,MIN(('計算（触らない）'!$V60+0),102)))-INDEX('計算（触らない）'!$AS60:$EP60,MIN(('計算（触らない）'!$V60+0),101)+1))*'計算（触らない）'!$N60,6)+'計算（触らない）'!$B$4)))</f>
        <v/>
      </c>
      <c r="E60" s="52">
        <f>IF('計算（触らない）'!$U60=0,"",IF(('計算（触らない）'!$V60+1)&lt;0,"",INT(ROUND((IF(('計算（触らない）'!$V60+1)=0,'計算（触らない）'!$C60,INDEX('計算（触らない）'!$AS60:$EP60,MIN(('計算（触らない）'!$V60+1),102)))-INDEX('計算（触らない）'!$AS60:$EP60,MIN(('計算（触らない）'!$V60+1),101)+1))*'計算（触らない）'!$N60,6)+'計算（触らない）'!$B$4)))</f>
        <v/>
      </c>
      <c r="F60" s="52">
        <f>IF('計算（触らない）'!$U60=0,"",IF(('計算（触らない）'!$V60+2)&lt;0,"",INT(ROUND((IF(('計算（触らない）'!$V60+2)=0,'計算（触らない）'!$C60,INDEX('計算（触らない）'!$AS60:$EP60,MIN(('計算（触らない）'!$V60+2),102)))-INDEX('計算（触らない）'!$AS60:$EP60,MIN(('計算（触らない）'!$V60+2),101)+1))*'計算（触らない）'!$N60,6)+'計算（触らない）'!$B$4)))</f>
        <v/>
      </c>
      <c r="G60" s="52">
        <f>IF('計算（触らない）'!$U60=0,"",IF(('計算（触らない）'!$V60+3)&lt;0,"",INT(ROUND((IF(('計算（触らない）'!$V60+3)=0,'計算（触らない）'!$C60,INDEX('計算（触らない）'!$AS60:$EP60,MIN(('計算（触らない）'!$V60+3),102)))-INDEX('計算（触らない）'!$AS60:$EP60,MIN(('計算（触らない）'!$V60+3),101)+1))*'計算（触らない）'!$N60,6)+'計算（触らない）'!$B$4)))</f>
        <v/>
      </c>
      <c r="H60" s="52">
        <f>IF('計算（触らない）'!$U60=0,"",IF(('計算（触らない）'!$V60+4)&lt;0,"",INT(ROUND((IF(('計算（触らない）'!$V60+4)=0,'計算（触らない）'!$C60,INDEX('計算（触らない）'!$AS60:$EP60,MIN(('計算（触らない）'!$V60+4),102)))-INDEX('計算（触らない）'!$AS60:$EP60,MIN(('計算（触らない）'!$V60+4),101)+1))*'計算（触らない）'!$N60,6)+'計算（触らない）'!$B$4)))</f>
        <v/>
      </c>
      <c r="I60" s="52">
        <f>IF('計算（触らない）'!$U60=0,"",IF(('計算（触らない）'!$V60+5)&lt;0,"",INT(ROUND((IF(('計算（触らない）'!$V60+5)=0,'計算（触らない）'!$C60,INDEX('計算（触らない）'!$AS60:$EP60,MIN(('計算（触らない）'!$V60+5),102)))-INDEX('計算（触らない）'!$AS60:$EP60,MIN(('計算（触らない）'!$V60+5),101)+1))*'計算（触らない）'!$N60,6)+'計算（触らない）'!$B$4)))</f>
        <v/>
      </c>
      <c r="J60" s="52">
        <f>IF('計算（触らない）'!$U60=0,"",IF(('計算（触らない）'!$V60+6)&lt;0,"",INT(ROUND((IF(('計算（触らない）'!$V60+6)=0,'計算（触らない）'!$C60,INDEX('計算（触らない）'!$AS60:$EP60,MIN(('計算（触らない）'!$V60+6),102)))-INDEX('計算（触らない）'!$AS60:$EP60,MIN(('計算（触らない）'!$V60+6),101)+1))*'計算（触らない）'!$N60,6)+'計算（触らない）'!$B$4)))</f>
        <v/>
      </c>
      <c r="K60" s="52">
        <f>IF('計算（触らない）'!$U60=0,"",IF(('計算（触らない）'!$V60+7)&lt;0,"",INT(ROUND((IF(('計算（触らない）'!$V60+7)=0,'計算（触らない）'!$C60,INDEX('計算（触らない）'!$AS60:$EP60,MIN(('計算（触らない）'!$V60+7),102)))-INDEX('計算（触らない）'!$AS60:$EP60,MIN(('計算（触らない）'!$V60+7),101)+1))*'計算（触らない）'!$N60,6)+'計算（触らない）'!$B$4)))</f>
        <v/>
      </c>
      <c r="L60" s="52">
        <f>IF('計算（触らない）'!$U60=0,"",IF(('計算（触らない）'!$V60+8)&lt;0,"",INT(ROUND((IF(('計算（触らない）'!$V60+8)=0,'計算（触らない）'!$C60,INDEX('計算（触らない）'!$AS60:$EP60,MIN(('計算（触らない）'!$V60+8),102)))-INDEX('計算（触らない）'!$AS60:$EP60,MIN(('計算（触らない）'!$V60+8),101)+1))*'計算（触らない）'!$N60,6)+'計算（触らない）'!$B$4)))</f>
        <v/>
      </c>
      <c r="M60" s="52">
        <f>IF('計算（触らない）'!$U60=0,"",IF(('計算（触らない）'!$V60+9)&lt;0,"",INT(ROUND((IF(('計算（触らない）'!$V60+9)=0,'計算（触らない）'!$C60,INDEX('計算（触らない）'!$AS60:$EP60,MIN(('計算（触らない）'!$V60+9),102)))-INDEX('計算（触らない）'!$AS60:$EP60,MIN(('計算（触らない）'!$V60+9),101)+1))*'計算（触らない）'!$N60,6)+'計算（触らない）'!$B$4)))</f>
        <v/>
      </c>
      <c r="N60" s="68" t="n"/>
      <c r="O60" s="52">
        <f>IF('計算（触らない）'!$U60=0,"",IF(('計算（触らない）'!$V60+0)&lt;0,"",IF(AND('計算（触らない）'!$F60&lt;=2,('計算（触らない）'!$V60+0)&gt;'計算（触らない）'!$R60),0,INDEX('計算（触らない）'!$AS60:$EP60,MIN(('計算（触らない）'!$V60+0),101)+1))))</f>
        <v/>
      </c>
      <c r="P60" s="52">
        <f>IF('計算（触らない）'!$U60=0,"",IF(('計算（触らない）'!$V60+1)&lt;0,"",IF(AND('計算（触らない）'!$F60&lt;=2,('計算（触らない）'!$V60+1)&gt;'計算（触らない）'!$R60),0,INDEX('計算（触らない）'!$AS60:$EP60,MIN(('計算（触らない）'!$V60+1),101)+1))))</f>
        <v/>
      </c>
      <c r="Q60" s="52">
        <f>IF('計算（触らない）'!$U60=0,"",IF(('計算（触らない）'!$V60+2)&lt;0,"",IF(AND('計算（触らない）'!$F60&lt;=2,('計算（触らない）'!$V60+2)&gt;'計算（触らない）'!$R60),0,INDEX('計算（触らない）'!$AS60:$EP60,MIN(('計算（触らない）'!$V60+2),101)+1))))</f>
        <v/>
      </c>
      <c r="R60" s="52">
        <f>IF('計算（触らない）'!$U60=0,"",IF(('計算（触らない）'!$V60+3)&lt;0,"",IF(AND('計算（触らない）'!$F60&lt;=2,('計算（触らない）'!$V60+3)&gt;'計算（触らない）'!$R60),0,INDEX('計算（触らない）'!$AS60:$EP60,MIN(('計算（触らない）'!$V60+3),101)+1))))</f>
        <v/>
      </c>
      <c r="S60" s="52">
        <f>IF('計算（触らない）'!$U60=0,"",IF(('計算（触らない）'!$V60+4)&lt;0,"",IF(AND('計算（触らない）'!$F60&lt;=2,('計算（触らない）'!$V60+4)&gt;'計算（触らない）'!$R60),0,INDEX('計算（触らない）'!$AS60:$EP60,MIN(('計算（触らない）'!$V60+4),101)+1))))</f>
        <v/>
      </c>
      <c r="T60" s="52">
        <f>IF('計算（触らない）'!$U60=0,"",IF(('計算（触らない）'!$V60+5)&lt;0,"",IF(AND('計算（触らない）'!$F60&lt;=2,('計算（触らない）'!$V60+5)&gt;'計算（触らない）'!$R60),0,INDEX('計算（触らない）'!$AS60:$EP60,MIN(('計算（触らない）'!$V60+5),101)+1))))</f>
        <v/>
      </c>
      <c r="U60" s="52">
        <f>IF('計算（触らない）'!$U60=0,"",IF(('計算（触らない）'!$V60+6)&lt;0,"",IF(AND('計算（触らない）'!$F60&lt;=2,('計算（触らない）'!$V60+6)&gt;'計算（触らない）'!$R60),0,INDEX('計算（触らない）'!$AS60:$EP60,MIN(('計算（触らない）'!$V60+6),101)+1))))</f>
        <v/>
      </c>
      <c r="V60" s="52">
        <f>IF('計算（触らない）'!$U60=0,"",IF(('計算（触らない）'!$V60+7)&lt;0,"",IF(AND('計算（触らない）'!$F60&lt;=2,('計算（触らない）'!$V60+7)&gt;'計算（触らない）'!$R60),0,INDEX('計算（触らない）'!$AS60:$EP60,MIN(('計算（触らない）'!$V60+7),101)+1))))</f>
        <v/>
      </c>
      <c r="W60" s="52">
        <f>IF('計算（触らない）'!$U60=0,"",IF(('計算（触らない）'!$V60+8)&lt;0,"",IF(AND('計算（触らない）'!$F60&lt;=2,('計算（触らない）'!$V60+8)&gt;'計算（触らない）'!$R60),0,INDEX('計算（触らない）'!$AS60:$EP60,MIN(('計算（触らない）'!$V60+8),101)+1))))</f>
        <v/>
      </c>
      <c r="X60" s="52">
        <f>IF('計算（触らない）'!$U60=0,"",IF(('計算（触らない）'!$V60+9)&lt;0,"",IF(AND('計算（触らない）'!$F60&lt;=2,('計算（触らない）'!$V60+9)&gt;'計算（触らない）'!$R60),0,INDEX('計算（触らない）'!$AS60:$EP60,MIN(('計算（触らない）'!$V60+9),101)+1))))</f>
        <v/>
      </c>
    </row>
    <row r="61" ht="17" customHeight="1">
      <c r="A61" s="21" t="n">
        <v>56</v>
      </c>
      <c r="B61" s="38">
        <f>IF('計算（触らない）'!$B61=0,"",'固定資産台帳'!$B61&amp;"")</f>
        <v/>
      </c>
      <c r="C61" s="38">
        <f>IF('計算（触らない）'!$B61=0,"",'固定資産台帳'!$H61&amp;"")</f>
        <v/>
      </c>
      <c r="D61" s="52">
        <f>IF('計算（触らない）'!$U61=0,"",IF(('計算（触らない）'!$V61+0)&lt;0,"",INT(ROUND((IF(('計算（触らない）'!$V61+0)=0,'計算（触らない）'!$C61,INDEX('計算（触らない）'!$AS61:$EP61,MIN(('計算（触らない）'!$V61+0),102)))-INDEX('計算（触らない）'!$AS61:$EP61,MIN(('計算（触らない）'!$V61+0),101)+1))*'計算（触らない）'!$N61,6)+'計算（触らない）'!$B$4)))</f>
        <v/>
      </c>
      <c r="E61" s="52">
        <f>IF('計算（触らない）'!$U61=0,"",IF(('計算（触らない）'!$V61+1)&lt;0,"",INT(ROUND((IF(('計算（触らない）'!$V61+1)=0,'計算（触らない）'!$C61,INDEX('計算（触らない）'!$AS61:$EP61,MIN(('計算（触らない）'!$V61+1),102)))-INDEX('計算（触らない）'!$AS61:$EP61,MIN(('計算（触らない）'!$V61+1),101)+1))*'計算（触らない）'!$N61,6)+'計算（触らない）'!$B$4)))</f>
        <v/>
      </c>
      <c r="F61" s="52">
        <f>IF('計算（触らない）'!$U61=0,"",IF(('計算（触らない）'!$V61+2)&lt;0,"",INT(ROUND((IF(('計算（触らない）'!$V61+2)=0,'計算（触らない）'!$C61,INDEX('計算（触らない）'!$AS61:$EP61,MIN(('計算（触らない）'!$V61+2),102)))-INDEX('計算（触らない）'!$AS61:$EP61,MIN(('計算（触らない）'!$V61+2),101)+1))*'計算（触らない）'!$N61,6)+'計算（触らない）'!$B$4)))</f>
        <v/>
      </c>
      <c r="G61" s="52">
        <f>IF('計算（触らない）'!$U61=0,"",IF(('計算（触らない）'!$V61+3)&lt;0,"",INT(ROUND((IF(('計算（触らない）'!$V61+3)=0,'計算（触らない）'!$C61,INDEX('計算（触らない）'!$AS61:$EP61,MIN(('計算（触らない）'!$V61+3),102)))-INDEX('計算（触らない）'!$AS61:$EP61,MIN(('計算（触らない）'!$V61+3),101)+1))*'計算（触らない）'!$N61,6)+'計算（触らない）'!$B$4)))</f>
        <v/>
      </c>
      <c r="H61" s="52">
        <f>IF('計算（触らない）'!$U61=0,"",IF(('計算（触らない）'!$V61+4)&lt;0,"",INT(ROUND((IF(('計算（触らない）'!$V61+4)=0,'計算（触らない）'!$C61,INDEX('計算（触らない）'!$AS61:$EP61,MIN(('計算（触らない）'!$V61+4),102)))-INDEX('計算（触らない）'!$AS61:$EP61,MIN(('計算（触らない）'!$V61+4),101)+1))*'計算（触らない）'!$N61,6)+'計算（触らない）'!$B$4)))</f>
        <v/>
      </c>
      <c r="I61" s="52">
        <f>IF('計算（触らない）'!$U61=0,"",IF(('計算（触らない）'!$V61+5)&lt;0,"",INT(ROUND((IF(('計算（触らない）'!$V61+5)=0,'計算（触らない）'!$C61,INDEX('計算（触らない）'!$AS61:$EP61,MIN(('計算（触らない）'!$V61+5),102)))-INDEX('計算（触らない）'!$AS61:$EP61,MIN(('計算（触らない）'!$V61+5),101)+1))*'計算（触らない）'!$N61,6)+'計算（触らない）'!$B$4)))</f>
        <v/>
      </c>
      <c r="J61" s="52">
        <f>IF('計算（触らない）'!$U61=0,"",IF(('計算（触らない）'!$V61+6)&lt;0,"",INT(ROUND((IF(('計算（触らない）'!$V61+6)=0,'計算（触らない）'!$C61,INDEX('計算（触らない）'!$AS61:$EP61,MIN(('計算（触らない）'!$V61+6),102)))-INDEX('計算（触らない）'!$AS61:$EP61,MIN(('計算（触らない）'!$V61+6),101)+1))*'計算（触らない）'!$N61,6)+'計算（触らない）'!$B$4)))</f>
        <v/>
      </c>
      <c r="K61" s="52">
        <f>IF('計算（触らない）'!$U61=0,"",IF(('計算（触らない）'!$V61+7)&lt;0,"",INT(ROUND((IF(('計算（触らない）'!$V61+7)=0,'計算（触らない）'!$C61,INDEX('計算（触らない）'!$AS61:$EP61,MIN(('計算（触らない）'!$V61+7),102)))-INDEX('計算（触らない）'!$AS61:$EP61,MIN(('計算（触らない）'!$V61+7),101)+1))*'計算（触らない）'!$N61,6)+'計算（触らない）'!$B$4)))</f>
        <v/>
      </c>
      <c r="L61" s="52">
        <f>IF('計算（触らない）'!$U61=0,"",IF(('計算（触らない）'!$V61+8)&lt;0,"",INT(ROUND((IF(('計算（触らない）'!$V61+8)=0,'計算（触らない）'!$C61,INDEX('計算（触らない）'!$AS61:$EP61,MIN(('計算（触らない）'!$V61+8),102)))-INDEX('計算（触らない）'!$AS61:$EP61,MIN(('計算（触らない）'!$V61+8),101)+1))*'計算（触らない）'!$N61,6)+'計算（触らない）'!$B$4)))</f>
        <v/>
      </c>
      <c r="M61" s="52">
        <f>IF('計算（触らない）'!$U61=0,"",IF(('計算（触らない）'!$V61+9)&lt;0,"",INT(ROUND((IF(('計算（触らない）'!$V61+9)=0,'計算（触らない）'!$C61,INDEX('計算（触らない）'!$AS61:$EP61,MIN(('計算（触らない）'!$V61+9),102)))-INDEX('計算（触らない）'!$AS61:$EP61,MIN(('計算（触らない）'!$V61+9),101)+1))*'計算（触らない）'!$N61,6)+'計算（触らない）'!$B$4)))</f>
        <v/>
      </c>
      <c r="N61" s="68" t="n"/>
      <c r="O61" s="52">
        <f>IF('計算（触らない）'!$U61=0,"",IF(('計算（触らない）'!$V61+0)&lt;0,"",IF(AND('計算（触らない）'!$F61&lt;=2,('計算（触らない）'!$V61+0)&gt;'計算（触らない）'!$R61),0,INDEX('計算（触らない）'!$AS61:$EP61,MIN(('計算（触らない）'!$V61+0),101)+1))))</f>
        <v/>
      </c>
      <c r="P61" s="52">
        <f>IF('計算（触らない）'!$U61=0,"",IF(('計算（触らない）'!$V61+1)&lt;0,"",IF(AND('計算（触らない）'!$F61&lt;=2,('計算（触らない）'!$V61+1)&gt;'計算（触らない）'!$R61),0,INDEX('計算（触らない）'!$AS61:$EP61,MIN(('計算（触らない）'!$V61+1),101)+1))))</f>
        <v/>
      </c>
      <c r="Q61" s="52">
        <f>IF('計算（触らない）'!$U61=0,"",IF(('計算（触らない）'!$V61+2)&lt;0,"",IF(AND('計算（触らない）'!$F61&lt;=2,('計算（触らない）'!$V61+2)&gt;'計算（触らない）'!$R61),0,INDEX('計算（触らない）'!$AS61:$EP61,MIN(('計算（触らない）'!$V61+2),101)+1))))</f>
        <v/>
      </c>
      <c r="R61" s="52">
        <f>IF('計算（触らない）'!$U61=0,"",IF(('計算（触らない）'!$V61+3)&lt;0,"",IF(AND('計算（触らない）'!$F61&lt;=2,('計算（触らない）'!$V61+3)&gt;'計算（触らない）'!$R61),0,INDEX('計算（触らない）'!$AS61:$EP61,MIN(('計算（触らない）'!$V61+3),101)+1))))</f>
        <v/>
      </c>
      <c r="S61" s="52">
        <f>IF('計算（触らない）'!$U61=0,"",IF(('計算（触らない）'!$V61+4)&lt;0,"",IF(AND('計算（触らない）'!$F61&lt;=2,('計算（触らない）'!$V61+4)&gt;'計算（触らない）'!$R61),0,INDEX('計算（触らない）'!$AS61:$EP61,MIN(('計算（触らない）'!$V61+4),101)+1))))</f>
        <v/>
      </c>
      <c r="T61" s="52">
        <f>IF('計算（触らない）'!$U61=0,"",IF(('計算（触らない）'!$V61+5)&lt;0,"",IF(AND('計算（触らない）'!$F61&lt;=2,('計算（触らない）'!$V61+5)&gt;'計算（触らない）'!$R61),0,INDEX('計算（触らない）'!$AS61:$EP61,MIN(('計算（触らない）'!$V61+5),101)+1))))</f>
        <v/>
      </c>
      <c r="U61" s="52">
        <f>IF('計算（触らない）'!$U61=0,"",IF(('計算（触らない）'!$V61+6)&lt;0,"",IF(AND('計算（触らない）'!$F61&lt;=2,('計算（触らない）'!$V61+6)&gt;'計算（触らない）'!$R61),0,INDEX('計算（触らない）'!$AS61:$EP61,MIN(('計算（触らない）'!$V61+6),101)+1))))</f>
        <v/>
      </c>
      <c r="V61" s="52">
        <f>IF('計算（触らない）'!$U61=0,"",IF(('計算（触らない）'!$V61+7)&lt;0,"",IF(AND('計算（触らない）'!$F61&lt;=2,('計算（触らない）'!$V61+7)&gt;'計算（触らない）'!$R61),0,INDEX('計算（触らない）'!$AS61:$EP61,MIN(('計算（触らない）'!$V61+7),101)+1))))</f>
        <v/>
      </c>
      <c r="W61" s="52">
        <f>IF('計算（触らない）'!$U61=0,"",IF(('計算（触らない）'!$V61+8)&lt;0,"",IF(AND('計算（触らない）'!$F61&lt;=2,('計算（触らない）'!$V61+8)&gt;'計算（触らない）'!$R61),0,INDEX('計算（触らない）'!$AS61:$EP61,MIN(('計算（触らない）'!$V61+8),101)+1))))</f>
        <v/>
      </c>
      <c r="X61" s="52">
        <f>IF('計算（触らない）'!$U61=0,"",IF(('計算（触らない）'!$V61+9)&lt;0,"",IF(AND('計算（触らない）'!$F61&lt;=2,('計算（触らない）'!$V61+9)&gt;'計算（触らない）'!$R61),0,INDEX('計算（触らない）'!$AS61:$EP61,MIN(('計算（触らない）'!$V61+9),101)+1))))</f>
        <v/>
      </c>
    </row>
    <row r="62" ht="17" customHeight="1">
      <c r="A62" s="21" t="n">
        <v>57</v>
      </c>
      <c r="B62" s="38">
        <f>IF('計算（触らない）'!$B62=0,"",'固定資産台帳'!$B62&amp;"")</f>
        <v/>
      </c>
      <c r="C62" s="38">
        <f>IF('計算（触らない）'!$B62=0,"",'固定資産台帳'!$H62&amp;"")</f>
        <v/>
      </c>
      <c r="D62" s="52">
        <f>IF('計算（触らない）'!$U62=0,"",IF(('計算（触らない）'!$V62+0)&lt;0,"",INT(ROUND((IF(('計算（触らない）'!$V62+0)=0,'計算（触らない）'!$C62,INDEX('計算（触らない）'!$AS62:$EP62,MIN(('計算（触らない）'!$V62+0),102)))-INDEX('計算（触らない）'!$AS62:$EP62,MIN(('計算（触らない）'!$V62+0),101)+1))*'計算（触らない）'!$N62,6)+'計算（触らない）'!$B$4)))</f>
        <v/>
      </c>
      <c r="E62" s="52">
        <f>IF('計算（触らない）'!$U62=0,"",IF(('計算（触らない）'!$V62+1)&lt;0,"",INT(ROUND((IF(('計算（触らない）'!$V62+1)=0,'計算（触らない）'!$C62,INDEX('計算（触らない）'!$AS62:$EP62,MIN(('計算（触らない）'!$V62+1),102)))-INDEX('計算（触らない）'!$AS62:$EP62,MIN(('計算（触らない）'!$V62+1),101)+1))*'計算（触らない）'!$N62,6)+'計算（触らない）'!$B$4)))</f>
        <v/>
      </c>
      <c r="F62" s="52">
        <f>IF('計算（触らない）'!$U62=0,"",IF(('計算（触らない）'!$V62+2)&lt;0,"",INT(ROUND((IF(('計算（触らない）'!$V62+2)=0,'計算（触らない）'!$C62,INDEX('計算（触らない）'!$AS62:$EP62,MIN(('計算（触らない）'!$V62+2),102)))-INDEX('計算（触らない）'!$AS62:$EP62,MIN(('計算（触らない）'!$V62+2),101)+1))*'計算（触らない）'!$N62,6)+'計算（触らない）'!$B$4)))</f>
        <v/>
      </c>
      <c r="G62" s="52">
        <f>IF('計算（触らない）'!$U62=0,"",IF(('計算（触らない）'!$V62+3)&lt;0,"",INT(ROUND((IF(('計算（触らない）'!$V62+3)=0,'計算（触らない）'!$C62,INDEX('計算（触らない）'!$AS62:$EP62,MIN(('計算（触らない）'!$V62+3),102)))-INDEX('計算（触らない）'!$AS62:$EP62,MIN(('計算（触らない）'!$V62+3),101)+1))*'計算（触らない）'!$N62,6)+'計算（触らない）'!$B$4)))</f>
        <v/>
      </c>
      <c r="H62" s="52">
        <f>IF('計算（触らない）'!$U62=0,"",IF(('計算（触らない）'!$V62+4)&lt;0,"",INT(ROUND((IF(('計算（触らない）'!$V62+4)=0,'計算（触らない）'!$C62,INDEX('計算（触らない）'!$AS62:$EP62,MIN(('計算（触らない）'!$V62+4),102)))-INDEX('計算（触らない）'!$AS62:$EP62,MIN(('計算（触らない）'!$V62+4),101)+1))*'計算（触らない）'!$N62,6)+'計算（触らない）'!$B$4)))</f>
        <v/>
      </c>
      <c r="I62" s="52">
        <f>IF('計算（触らない）'!$U62=0,"",IF(('計算（触らない）'!$V62+5)&lt;0,"",INT(ROUND((IF(('計算（触らない）'!$V62+5)=0,'計算（触らない）'!$C62,INDEX('計算（触らない）'!$AS62:$EP62,MIN(('計算（触らない）'!$V62+5),102)))-INDEX('計算（触らない）'!$AS62:$EP62,MIN(('計算（触らない）'!$V62+5),101)+1))*'計算（触らない）'!$N62,6)+'計算（触らない）'!$B$4)))</f>
        <v/>
      </c>
      <c r="J62" s="52">
        <f>IF('計算（触らない）'!$U62=0,"",IF(('計算（触らない）'!$V62+6)&lt;0,"",INT(ROUND((IF(('計算（触らない）'!$V62+6)=0,'計算（触らない）'!$C62,INDEX('計算（触らない）'!$AS62:$EP62,MIN(('計算（触らない）'!$V62+6),102)))-INDEX('計算（触らない）'!$AS62:$EP62,MIN(('計算（触らない）'!$V62+6),101)+1))*'計算（触らない）'!$N62,6)+'計算（触らない）'!$B$4)))</f>
        <v/>
      </c>
      <c r="K62" s="52">
        <f>IF('計算（触らない）'!$U62=0,"",IF(('計算（触らない）'!$V62+7)&lt;0,"",INT(ROUND((IF(('計算（触らない）'!$V62+7)=0,'計算（触らない）'!$C62,INDEX('計算（触らない）'!$AS62:$EP62,MIN(('計算（触らない）'!$V62+7),102)))-INDEX('計算（触らない）'!$AS62:$EP62,MIN(('計算（触らない）'!$V62+7),101)+1))*'計算（触らない）'!$N62,6)+'計算（触らない）'!$B$4)))</f>
        <v/>
      </c>
      <c r="L62" s="52">
        <f>IF('計算（触らない）'!$U62=0,"",IF(('計算（触らない）'!$V62+8)&lt;0,"",INT(ROUND((IF(('計算（触らない）'!$V62+8)=0,'計算（触らない）'!$C62,INDEX('計算（触らない）'!$AS62:$EP62,MIN(('計算（触らない）'!$V62+8),102)))-INDEX('計算（触らない）'!$AS62:$EP62,MIN(('計算（触らない）'!$V62+8),101)+1))*'計算（触らない）'!$N62,6)+'計算（触らない）'!$B$4)))</f>
        <v/>
      </c>
      <c r="M62" s="52">
        <f>IF('計算（触らない）'!$U62=0,"",IF(('計算（触らない）'!$V62+9)&lt;0,"",INT(ROUND((IF(('計算（触らない）'!$V62+9)=0,'計算（触らない）'!$C62,INDEX('計算（触らない）'!$AS62:$EP62,MIN(('計算（触らない）'!$V62+9),102)))-INDEX('計算（触らない）'!$AS62:$EP62,MIN(('計算（触らない）'!$V62+9),101)+1))*'計算（触らない）'!$N62,6)+'計算（触らない）'!$B$4)))</f>
        <v/>
      </c>
      <c r="N62" s="68" t="n"/>
      <c r="O62" s="52">
        <f>IF('計算（触らない）'!$U62=0,"",IF(('計算（触らない）'!$V62+0)&lt;0,"",IF(AND('計算（触らない）'!$F62&lt;=2,('計算（触らない）'!$V62+0)&gt;'計算（触らない）'!$R62),0,INDEX('計算（触らない）'!$AS62:$EP62,MIN(('計算（触らない）'!$V62+0),101)+1))))</f>
        <v/>
      </c>
      <c r="P62" s="52">
        <f>IF('計算（触らない）'!$U62=0,"",IF(('計算（触らない）'!$V62+1)&lt;0,"",IF(AND('計算（触らない）'!$F62&lt;=2,('計算（触らない）'!$V62+1)&gt;'計算（触らない）'!$R62),0,INDEX('計算（触らない）'!$AS62:$EP62,MIN(('計算（触らない）'!$V62+1),101)+1))))</f>
        <v/>
      </c>
      <c r="Q62" s="52">
        <f>IF('計算（触らない）'!$U62=0,"",IF(('計算（触らない）'!$V62+2)&lt;0,"",IF(AND('計算（触らない）'!$F62&lt;=2,('計算（触らない）'!$V62+2)&gt;'計算（触らない）'!$R62),0,INDEX('計算（触らない）'!$AS62:$EP62,MIN(('計算（触らない）'!$V62+2),101)+1))))</f>
        <v/>
      </c>
      <c r="R62" s="52">
        <f>IF('計算（触らない）'!$U62=0,"",IF(('計算（触らない）'!$V62+3)&lt;0,"",IF(AND('計算（触らない）'!$F62&lt;=2,('計算（触らない）'!$V62+3)&gt;'計算（触らない）'!$R62),0,INDEX('計算（触らない）'!$AS62:$EP62,MIN(('計算（触らない）'!$V62+3),101)+1))))</f>
        <v/>
      </c>
      <c r="S62" s="52">
        <f>IF('計算（触らない）'!$U62=0,"",IF(('計算（触らない）'!$V62+4)&lt;0,"",IF(AND('計算（触らない）'!$F62&lt;=2,('計算（触らない）'!$V62+4)&gt;'計算（触らない）'!$R62),0,INDEX('計算（触らない）'!$AS62:$EP62,MIN(('計算（触らない）'!$V62+4),101)+1))))</f>
        <v/>
      </c>
      <c r="T62" s="52">
        <f>IF('計算（触らない）'!$U62=0,"",IF(('計算（触らない）'!$V62+5)&lt;0,"",IF(AND('計算（触らない）'!$F62&lt;=2,('計算（触らない）'!$V62+5)&gt;'計算（触らない）'!$R62),0,INDEX('計算（触らない）'!$AS62:$EP62,MIN(('計算（触らない）'!$V62+5),101)+1))))</f>
        <v/>
      </c>
      <c r="U62" s="52">
        <f>IF('計算（触らない）'!$U62=0,"",IF(('計算（触らない）'!$V62+6)&lt;0,"",IF(AND('計算（触らない）'!$F62&lt;=2,('計算（触らない）'!$V62+6)&gt;'計算（触らない）'!$R62),0,INDEX('計算（触らない）'!$AS62:$EP62,MIN(('計算（触らない）'!$V62+6),101)+1))))</f>
        <v/>
      </c>
      <c r="V62" s="52">
        <f>IF('計算（触らない）'!$U62=0,"",IF(('計算（触らない）'!$V62+7)&lt;0,"",IF(AND('計算（触らない）'!$F62&lt;=2,('計算（触らない）'!$V62+7)&gt;'計算（触らない）'!$R62),0,INDEX('計算（触らない）'!$AS62:$EP62,MIN(('計算（触らない）'!$V62+7),101)+1))))</f>
        <v/>
      </c>
      <c r="W62" s="52">
        <f>IF('計算（触らない）'!$U62=0,"",IF(('計算（触らない）'!$V62+8)&lt;0,"",IF(AND('計算（触らない）'!$F62&lt;=2,('計算（触らない）'!$V62+8)&gt;'計算（触らない）'!$R62),0,INDEX('計算（触らない）'!$AS62:$EP62,MIN(('計算（触らない）'!$V62+8),101)+1))))</f>
        <v/>
      </c>
      <c r="X62" s="52">
        <f>IF('計算（触らない）'!$U62=0,"",IF(('計算（触らない）'!$V62+9)&lt;0,"",IF(AND('計算（触らない）'!$F62&lt;=2,('計算（触らない）'!$V62+9)&gt;'計算（触らない）'!$R62),0,INDEX('計算（触らない）'!$AS62:$EP62,MIN(('計算（触らない）'!$V62+9),101)+1))))</f>
        <v/>
      </c>
    </row>
    <row r="63" ht="17" customHeight="1">
      <c r="A63" s="21" t="n">
        <v>58</v>
      </c>
      <c r="B63" s="38">
        <f>IF('計算（触らない）'!$B63=0,"",'固定資産台帳'!$B63&amp;"")</f>
        <v/>
      </c>
      <c r="C63" s="38">
        <f>IF('計算（触らない）'!$B63=0,"",'固定資産台帳'!$H63&amp;"")</f>
        <v/>
      </c>
      <c r="D63" s="52">
        <f>IF('計算（触らない）'!$U63=0,"",IF(('計算（触らない）'!$V63+0)&lt;0,"",INT(ROUND((IF(('計算（触らない）'!$V63+0)=0,'計算（触らない）'!$C63,INDEX('計算（触らない）'!$AS63:$EP63,MIN(('計算（触らない）'!$V63+0),102)))-INDEX('計算（触らない）'!$AS63:$EP63,MIN(('計算（触らない）'!$V63+0),101)+1))*'計算（触らない）'!$N63,6)+'計算（触らない）'!$B$4)))</f>
        <v/>
      </c>
      <c r="E63" s="52">
        <f>IF('計算（触らない）'!$U63=0,"",IF(('計算（触らない）'!$V63+1)&lt;0,"",INT(ROUND((IF(('計算（触らない）'!$V63+1)=0,'計算（触らない）'!$C63,INDEX('計算（触らない）'!$AS63:$EP63,MIN(('計算（触らない）'!$V63+1),102)))-INDEX('計算（触らない）'!$AS63:$EP63,MIN(('計算（触らない）'!$V63+1),101)+1))*'計算（触らない）'!$N63,6)+'計算（触らない）'!$B$4)))</f>
        <v/>
      </c>
      <c r="F63" s="52">
        <f>IF('計算（触らない）'!$U63=0,"",IF(('計算（触らない）'!$V63+2)&lt;0,"",INT(ROUND((IF(('計算（触らない）'!$V63+2)=0,'計算（触らない）'!$C63,INDEX('計算（触らない）'!$AS63:$EP63,MIN(('計算（触らない）'!$V63+2),102)))-INDEX('計算（触らない）'!$AS63:$EP63,MIN(('計算（触らない）'!$V63+2),101)+1))*'計算（触らない）'!$N63,6)+'計算（触らない）'!$B$4)))</f>
        <v/>
      </c>
      <c r="G63" s="52">
        <f>IF('計算（触らない）'!$U63=0,"",IF(('計算（触らない）'!$V63+3)&lt;0,"",INT(ROUND((IF(('計算（触らない）'!$V63+3)=0,'計算（触らない）'!$C63,INDEX('計算（触らない）'!$AS63:$EP63,MIN(('計算（触らない）'!$V63+3),102)))-INDEX('計算（触らない）'!$AS63:$EP63,MIN(('計算（触らない）'!$V63+3),101)+1))*'計算（触らない）'!$N63,6)+'計算（触らない）'!$B$4)))</f>
        <v/>
      </c>
      <c r="H63" s="52">
        <f>IF('計算（触らない）'!$U63=0,"",IF(('計算（触らない）'!$V63+4)&lt;0,"",INT(ROUND((IF(('計算（触らない）'!$V63+4)=0,'計算（触らない）'!$C63,INDEX('計算（触らない）'!$AS63:$EP63,MIN(('計算（触らない）'!$V63+4),102)))-INDEX('計算（触らない）'!$AS63:$EP63,MIN(('計算（触らない）'!$V63+4),101)+1))*'計算（触らない）'!$N63,6)+'計算（触らない）'!$B$4)))</f>
        <v/>
      </c>
      <c r="I63" s="52">
        <f>IF('計算（触らない）'!$U63=0,"",IF(('計算（触らない）'!$V63+5)&lt;0,"",INT(ROUND((IF(('計算（触らない）'!$V63+5)=0,'計算（触らない）'!$C63,INDEX('計算（触らない）'!$AS63:$EP63,MIN(('計算（触らない）'!$V63+5),102)))-INDEX('計算（触らない）'!$AS63:$EP63,MIN(('計算（触らない）'!$V63+5),101)+1))*'計算（触らない）'!$N63,6)+'計算（触らない）'!$B$4)))</f>
        <v/>
      </c>
      <c r="J63" s="52">
        <f>IF('計算（触らない）'!$U63=0,"",IF(('計算（触らない）'!$V63+6)&lt;0,"",INT(ROUND((IF(('計算（触らない）'!$V63+6)=0,'計算（触らない）'!$C63,INDEX('計算（触らない）'!$AS63:$EP63,MIN(('計算（触らない）'!$V63+6),102)))-INDEX('計算（触らない）'!$AS63:$EP63,MIN(('計算（触らない）'!$V63+6),101)+1))*'計算（触らない）'!$N63,6)+'計算（触らない）'!$B$4)))</f>
        <v/>
      </c>
      <c r="K63" s="52">
        <f>IF('計算（触らない）'!$U63=0,"",IF(('計算（触らない）'!$V63+7)&lt;0,"",INT(ROUND((IF(('計算（触らない）'!$V63+7)=0,'計算（触らない）'!$C63,INDEX('計算（触らない）'!$AS63:$EP63,MIN(('計算（触らない）'!$V63+7),102)))-INDEX('計算（触らない）'!$AS63:$EP63,MIN(('計算（触らない）'!$V63+7),101)+1))*'計算（触らない）'!$N63,6)+'計算（触らない）'!$B$4)))</f>
        <v/>
      </c>
      <c r="L63" s="52">
        <f>IF('計算（触らない）'!$U63=0,"",IF(('計算（触らない）'!$V63+8)&lt;0,"",INT(ROUND((IF(('計算（触らない）'!$V63+8)=0,'計算（触らない）'!$C63,INDEX('計算（触らない）'!$AS63:$EP63,MIN(('計算（触らない）'!$V63+8),102)))-INDEX('計算（触らない）'!$AS63:$EP63,MIN(('計算（触らない）'!$V63+8),101)+1))*'計算（触らない）'!$N63,6)+'計算（触らない）'!$B$4)))</f>
        <v/>
      </c>
      <c r="M63" s="52">
        <f>IF('計算（触らない）'!$U63=0,"",IF(('計算（触らない）'!$V63+9)&lt;0,"",INT(ROUND((IF(('計算（触らない）'!$V63+9)=0,'計算（触らない）'!$C63,INDEX('計算（触らない）'!$AS63:$EP63,MIN(('計算（触らない）'!$V63+9),102)))-INDEX('計算（触らない）'!$AS63:$EP63,MIN(('計算（触らない）'!$V63+9),101)+1))*'計算（触らない）'!$N63,6)+'計算（触らない）'!$B$4)))</f>
        <v/>
      </c>
      <c r="N63" s="68" t="n"/>
      <c r="O63" s="52">
        <f>IF('計算（触らない）'!$U63=0,"",IF(('計算（触らない）'!$V63+0)&lt;0,"",IF(AND('計算（触らない）'!$F63&lt;=2,('計算（触らない）'!$V63+0)&gt;'計算（触らない）'!$R63),0,INDEX('計算（触らない）'!$AS63:$EP63,MIN(('計算（触らない）'!$V63+0),101)+1))))</f>
        <v/>
      </c>
      <c r="P63" s="52">
        <f>IF('計算（触らない）'!$U63=0,"",IF(('計算（触らない）'!$V63+1)&lt;0,"",IF(AND('計算（触らない）'!$F63&lt;=2,('計算（触らない）'!$V63+1)&gt;'計算（触らない）'!$R63),0,INDEX('計算（触らない）'!$AS63:$EP63,MIN(('計算（触らない）'!$V63+1),101)+1))))</f>
        <v/>
      </c>
      <c r="Q63" s="52">
        <f>IF('計算（触らない）'!$U63=0,"",IF(('計算（触らない）'!$V63+2)&lt;0,"",IF(AND('計算（触らない）'!$F63&lt;=2,('計算（触らない）'!$V63+2)&gt;'計算（触らない）'!$R63),0,INDEX('計算（触らない）'!$AS63:$EP63,MIN(('計算（触らない）'!$V63+2),101)+1))))</f>
        <v/>
      </c>
      <c r="R63" s="52">
        <f>IF('計算（触らない）'!$U63=0,"",IF(('計算（触らない）'!$V63+3)&lt;0,"",IF(AND('計算（触らない）'!$F63&lt;=2,('計算（触らない）'!$V63+3)&gt;'計算（触らない）'!$R63),0,INDEX('計算（触らない）'!$AS63:$EP63,MIN(('計算（触らない）'!$V63+3),101)+1))))</f>
        <v/>
      </c>
      <c r="S63" s="52">
        <f>IF('計算（触らない）'!$U63=0,"",IF(('計算（触らない）'!$V63+4)&lt;0,"",IF(AND('計算（触らない）'!$F63&lt;=2,('計算（触らない）'!$V63+4)&gt;'計算（触らない）'!$R63),0,INDEX('計算（触らない）'!$AS63:$EP63,MIN(('計算（触らない）'!$V63+4),101)+1))))</f>
        <v/>
      </c>
      <c r="T63" s="52">
        <f>IF('計算（触らない）'!$U63=0,"",IF(('計算（触らない）'!$V63+5)&lt;0,"",IF(AND('計算（触らない）'!$F63&lt;=2,('計算（触らない）'!$V63+5)&gt;'計算（触らない）'!$R63),0,INDEX('計算（触らない）'!$AS63:$EP63,MIN(('計算（触らない）'!$V63+5),101)+1))))</f>
        <v/>
      </c>
      <c r="U63" s="52">
        <f>IF('計算（触らない）'!$U63=0,"",IF(('計算（触らない）'!$V63+6)&lt;0,"",IF(AND('計算（触らない）'!$F63&lt;=2,('計算（触らない）'!$V63+6)&gt;'計算（触らない）'!$R63),0,INDEX('計算（触らない）'!$AS63:$EP63,MIN(('計算（触らない）'!$V63+6),101)+1))))</f>
        <v/>
      </c>
      <c r="V63" s="52">
        <f>IF('計算（触らない）'!$U63=0,"",IF(('計算（触らない）'!$V63+7)&lt;0,"",IF(AND('計算（触らない）'!$F63&lt;=2,('計算（触らない）'!$V63+7)&gt;'計算（触らない）'!$R63),0,INDEX('計算（触らない）'!$AS63:$EP63,MIN(('計算（触らない）'!$V63+7),101)+1))))</f>
        <v/>
      </c>
      <c r="W63" s="52">
        <f>IF('計算（触らない）'!$U63=0,"",IF(('計算（触らない）'!$V63+8)&lt;0,"",IF(AND('計算（触らない）'!$F63&lt;=2,('計算（触らない）'!$V63+8)&gt;'計算（触らない）'!$R63),0,INDEX('計算（触らない）'!$AS63:$EP63,MIN(('計算（触らない）'!$V63+8),101)+1))))</f>
        <v/>
      </c>
      <c r="X63" s="52">
        <f>IF('計算（触らない）'!$U63=0,"",IF(('計算（触らない）'!$V63+9)&lt;0,"",IF(AND('計算（触らない）'!$F63&lt;=2,('計算（触らない）'!$V63+9)&gt;'計算（触らない）'!$R63),0,INDEX('計算（触らない）'!$AS63:$EP63,MIN(('計算（触らない）'!$V63+9),101)+1))))</f>
        <v/>
      </c>
    </row>
    <row r="64" ht="17" customHeight="1">
      <c r="A64" s="21" t="n">
        <v>59</v>
      </c>
      <c r="B64" s="38">
        <f>IF('計算（触らない）'!$B64=0,"",'固定資産台帳'!$B64&amp;"")</f>
        <v/>
      </c>
      <c r="C64" s="38">
        <f>IF('計算（触らない）'!$B64=0,"",'固定資産台帳'!$H64&amp;"")</f>
        <v/>
      </c>
      <c r="D64" s="52">
        <f>IF('計算（触らない）'!$U64=0,"",IF(('計算（触らない）'!$V64+0)&lt;0,"",INT(ROUND((IF(('計算（触らない）'!$V64+0)=0,'計算（触らない）'!$C64,INDEX('計算（触らない）'!$AS64:$EP64,MIN(('計算（触らない）'!$V64+0),102)))-INDEX('計算（触らない）'!$AS64:$EP64,MIN(('計算（触らない）'!$V64+0),101)+1))*'計算（触らない）'!$N64,6)+'計算（触らない）'!$B$4)))</f>
        <v/>
      </c>
      <c r="E64" s="52">
        <f>IF('計算（触らない）'!$U64=0,"",IF(('計算（触らない）'!$V64+1)&lt;0,"",INT(ROUND((IF(('計算（触らない）'!$V64+1)=0,'計算（触らない）'!$C64,INDEX('計算（触らない）'!$AS64:$EP64,MIN(('計算（触らない）'!$V64+1),102)))-INDEX('計算（触らない）'!$AS64:$EP64,MIN(('計算（触らない）'!$V64+1),101)+1))*'計算（触らない）'!$N64,6)+'計算（触らない）'!$B$4)))</f>
        <v/>
      </c>
      <c r="F64" s="52">
        <f>IF('計算（触らない）'!$U64=0,"",IF(('計算（触らない）'!$V64+2)&lt;0,"",INT(ROUND((IF(('計算（触らない）'!$V64+2)=0,'計算（触らない）'!$C64,INDEX('計算（触らない）'!$AS64:$EP64,MIN(('計算（触らない）'!$V64+2),102)))-INDEX('計算（触らない）'!$AS64:$EP64,MIN(('計算（触らない）'!$V64+2),101)+1))*'計算（触らない）'!$N64,6)+'計算（触らない）'!$B$4)))</f>
        <v/>
      </c>
      <c r="G64" s="52">
        <f>IF('計算（触らない）'!$U64=0,"",IF(('計算（触らない）'!$V64+3)&lt;0,"",INT(ROUND((IF(('計算（触らない）'!$V64+3)=0,'計算（触らない）'!$C64,INDEX('計算（触らない）'!$AS64:$EP64,MIN(('計算（触らない）'!$V64+3),102)))-INDEX('計算（触らない）'!$AS64:$EP64,MIN(('計算（触らない）'!$V64+3),101)+1))*'計算（触らない）'!$N64,6)+'計算（触らない）'!$B$4)))</f>
        <v/>
      </c>
      <c r="H64" s="52">
        <f>IF('計算（触らない）'!$U64=0,"",IF(('計算（触らない）'!$V64+4)&lt;0,"",INT(ROUND((IF(('計算（触らない）'!$V64+4)=0,'計算（触らない）'!$C64,INDEX('計算（触らない）'!$AS64:$EP64,MIN(('計算（触らない）'!$V64+4),102)))-INDEX('計算（触らない）'!$AS64:$EP64,MIN(('計算（触らない）'!$V64+4),101)+1))*'計算（触らない）'!$N64,6)+'計算（触らない）'!$B$4)))</f>
        <v/>
      </c>
      <c r="I64" s="52">
        <f>IF('計算（触らない）'!$U64=0,"",IF(('計算（触らない）'!$V64+5)&lt;0,"",INT(ROUND((IF(('計算（触らない）'!$V64+5)=0,'計算（触らない）'!$C64,INDEX('計算（触らない）'!$AS64:$EP64,MIN(('計算（触らない）'!$V64+5),102)))-INDEX('計算（触らない）'!$AS64:$EP64,MIN(('計算（触らない）'!$V64+5),101)+1))*'計算（触らない）'!$N64,6)+'計算（触らない）'!$B$4)))</f>
        <v/>
      </c>
      <c r="J64" s="52">
        <f>IF('計算（触らない）'!$U64=0,"",IF(('計算（触らない）'!$V64+6)&lt;0,"",INT(ROUND((IF(('計算（触らない）'!$V64+6)=0,'計算（触らない）'!$C64,INDEX('計算（触らない）'!$AS64:$EP64,MIN(('計算（触らない）'!$V64+6),102)))-INDEX('計算（触らない）'!$AS64:$EP64,MIN(('計算（触らない）'!$V64+6),101)+1))*'計算（触らない）'!$N64,6)+'計算（触らない）'!$B$4)))</f>
        <v/>
      </c>
      <c r="K64" s="52">
        <f>IF('計算（触らない）'!$U64=0,"",IF(('計算（触らない）'!$V64+7)&lt;0,"",INT(ROUND((IF(('計算（触らない）'!$V64+7)=0,'計算（触らない）'!$C64,INDEX('計算（触らない）'!$AS64:$EP64,MIN(('計算（触らない）'!$V64+7),102)))-INDEX('計算（触らない）'!$AS64:$EP64,MIN(('計算（触らない）'!$V64+7),101)+1))*'計算（触らない）'!$N64,6)+'計算（触らない）'!$B$4)))</f>
        <v/>
      </c>
      <c r="L64" s="52">
        <f>IF('計算（触らない）'!$U64=0,"",IF(('計算（触らない）'!$V64+8)&lt;0,"",INT(ROUND((IF(('計算（触らない）'!$V64+8)=0,'計算（触らない）'!$C64,INDEX('計算（触らない）'!$AS64:$EP64,MIN(('計算（触らない）'!$V64+8),102)))-INDEX('計算（触らない）'!$AS64:$EP64,MIN(('計算（触らない）'!$V64+8),101)+1))*'計算（触らない）'!$N64,6)+'計算（触らない）'!$B$4)))</f>
        <v/>
      </c>
      <c r="M64" s="52">
        <f>IF('計算（触らない）'!$U64=0,"",IF(('計算（触らない）'!$V64+9)&lt;0,"",INT(ROUND((IF(('計算（触らない）'!$V64+9)=0,'計算（触らない）'!$C64,INDEX('計算（触らない）'!$AS64:$EP64,MIN(('計算（触らない）'!$V64+9),102)))-INDEX('計算（触らない）'!$AS64:$EP64,MIN(('計算（触らない）'!$V64+9),101)+1))*'計算（触らない）'!$N64,6)+'計算（触らない）'!$B$4)))</f>
        <v/>
      </c>
      <c r="N64" s="68" t="n"/>
      <c r="O64" s="52">
        <f>IF('計算（触らない）'!$U64=0,"",IF(('計算（触らない）'!$V64+0)&lt;0,"",IF(AND('計算（触らない）'!$F64&lt;=2,('計算（触らない）'!$V64+0)&gt;'計算（触らない）'!$R64),0,INDEX('計算（触らない）'!$AS64:$EP64,MIN(('計算（触らない）'!$V64+0),101)+1))))</f>
        <v/>
      </c>
      <c r="P64" s="52">
        <f>IF('計算（触らない）'!$U64=0,"",IF(('計算（触らない）'!$V64+1)&lt;0,"",IF(AND('計算（触らない）'!$F64&lt;=2,('計算（触らない）'!$V64+1)&gt;'計算（触らない）'!$R64),0,INDEX('計算（触らない）'!$AS64:$EP64,MIN(('計算（触らない）'!$V64+1),101)+1))))</f>
        <v/>
      </c>
      <c r="Q64" s="52">
        <f>IF('計算（触らない）'!$U64=0,"",IF(('計算（触らない）'!$V64+2)&lt;0,"",IF(AND('計算（触らない）'!$F64&lt;=2,('計算（触らない）'!$V64+2)&gt;'計算（触らない）'!$R64),0,INDEX('計算（触らない）'!$AS64:$EP64,MIN(('計算（触らない）'!$V64+2),101)+1))))</f>
        <v/>
      </c>
      <c r="R64" s="52">
        <f>IF('計算（触らない）'!$U64=0,"",IF(('計算（触らない）'!$V64+3)&lt;0,"",IF(AND('計算（触らない）'!$F64&lt;=2,('計算（触らない）'!$V64+3)&gt;'計算（触らない）'!$R64),0,INDEX('計算（触らない）'!$AS64:$EP64,MIN(('計算（触らない）'!$V64+3),101)+1))))</f>
        <v/>
      </c>
      <c r="S64" s="52">
        <f>IF('計算（触らない）'!$U64=0,"",IF(('計算（触らない）'!$V64+4)&lt;0,"",IF(AND('計算（触らない）'!$F64&lt;=2,('計算（触らない）'!$V64+4)&gt;'計算（触らない）'!$R64),0,INDEX('計算（触らない）'!$AS64:$EP64,MIN(('計算（触らない）'!$V64+4),101)+1))))</f>
        <v/>
      </c>
      <c r="T64" s="52">
        <f>IF('計算（触らない）'!$U64=0,"",IF(('計算（触らない）'!$V64+5)&lt;0,"",IF(AND('計算（触らない）'!$F64&lt;=2,('計算（触らない）'!$V64+5)&gt;'計算（触らない）'!$R64),0,INDEX('計算（触らない）'!$AS64:$EP64,MIN(('計算（触らない）'!$V64+5),101)+1))))</f>
        <v/>
      </c>
      <c r="U64" s="52">
        <f>IF('計算（触らない）'!$U64=0,"",IF(('計算（触らない）'!$V64+6)&lt;0,"",IF(AND('計算（触らない）'!$F64&lt;=2,('計算（触らない）'!$V64+6)&gt;'計算（触らない）'!$R64),0,INDEX('計算（触らない）'!$AS64:$EP64,MIN(('計算（触らない）'!$V64+6),101)+1))))</f>
        <v/>
      </c>
      <c r="V64" s="52">
        <f>IF('計算（触らない）'!$U64=0,"",IF(('計算（触らない）'!$V64+7)&lt;0,"",IF(AND('計算（触らない）'!$F64&lt;=2,('計算（触らない）'!$V64+7)&gt;'計算（触らない）'!$R64),0,INDEX('計算（触らない）'!$AS64:$EP64,MIN(('計算（触らない）'!$V64+7),101)+1))))</f>
        <v/>
      </c>
      <c r="W64" s="52">
        <f>IF('計算（触らない）'!$U64=0,"",IF(('計算（触らない）'!$V64+8)&lt;0,"",IF(AND('計算（触らない）'!$F64&lt;=2,('計算（触らない）'!$V64+8)&gt;'計算（触らない）'!$R64),0,INDEX('計算（触らない）'!$AS64:$EP64,MIN(('計算（触らない）'!$V64+8),101)+1))))</f>
        <v/>
      </c>
      <c r="X64" s="52">
        <f>IF('計算（触らない）'!$U64=0,"",IF(('計算（触らない）'!$V64+9)&lt;0,"",IF(AND('計算（触らない）'!$F64&lt;=2,('計算（触らない）'!$V64+9)&gt;'計算（触らない）'!$R64),0,INDEX('計算（触らない）'!$AS64:$EP64,MIN(('計算（触らない）'!$V64+9),101)+1))))</f>
        <v/>
      </c>
    </row>
    <row r="65" ht="17" customHeight="1">
      <c r="A65" s="21" t="n">
        <v>60</v>
      </c>
      <c r="B65" s="38">
        <f>IF('計算（触らない）'!$B65=0,"",'固定資産台帳'!$B65&amp;"")</f>
        <v/>
      </c>
      <c r="C65" s="38">
        <f>IF('計算（触らない）'!$B65=0,"",'固定資産台帳'!$H65&amp;"")</f>
        <v/>
      </c>
      <c r="D65" s="52">
        <f>IF('計算（触らない）'!$U65=0,"",IF(('計算（触らない）'!$V65+0)&lt;0,"",INT(ROUND((IF(('計算（触らない）'!$V65+0)=0,'計算（触らない）'!$C65,INDEX('計算（触らない）'!$AS65:$EP65,MIN(('計算（触らない）'!$V65+0),102)))-INDEX('計算（触らない）'!$AS65:$EP65,MIN(('計算（触らない）'!$V65+0),101)+1))*'計算（触らない）'!$N65,6)+'計算（触らない）'!$B$4)))</f>
        <v/>
      </c>
      <c r="E65" s="52">
        <f>IF('計算（触らない）'!$U65=0,"",IF(('計算（触らない）'!$V65+1)&lt;0,"",INT(ROUND((IF(('計算（触らない）'!$V65+1)=0,'計算（触らない）'!$C65,INDEX('計算（触らない）'!$AS65:$EP65,MIN(('計算（触らない）'!$V65+1),102)))-INDEX('計算（触らない）'!$AS65:$EP65,MIN(('計算（触らない）'!$V65+1),101)+1))*'計算（触らない）'!$N65,6)+'計算（触らない）'!$B$4)))</f>
        <v/>
      </c>
      <c r="F65" s="52">
        <f>IF('計算（触らない）'!$U65=0,"",IF(('計算（触らない）'!$V65+2)&lt;0,"",INT(ROUND((IF(('計算（触らない）'!$V65+2)=0,'計算（触らない）'!$C65,INDEX('計算（触らない）'!$AS65:$EP65,MIN(('計算（触らない）'!$V65+2),102)))-INDEX('計算（触らない）'!$AS65:$EP65,MIN(('計算（触らない）'!$V65+2),101)+1))*'計算（触らない）'!$N65,6)+'計算（触らない）'!$B$4)))</f>
        <v/>
      </c>
      <c r="G65" s="52">
        <f>IF('計算（触らない）'!$U65=0,"",IF(('計算（触らない）'!$V65+3)&lt;0,"",INT(ROUND((IF(('計算（触らない）'!$V65+3)=0,'計算（触らない）'!$C65,INDEX('計算（触らない）'!$AS65:$EP65,MIN(('計算（触らない）'!$V65+3),102)))-INDEX('計算（触らない）'!$AS65:$EP65,MIN(('計算（触らない）'!$V65+3),101)+1))*'計算（触らない）'!$N65,6)+'計算（触らない）'!$B$4)))</f>
        <v/>
      </c>
      <c r="H65" s="52">
        <f>IF('計算（触らない）'!$U65=0,"",IF(('計算（触らない）'!$V65+4)&lt;0,"",INT(ROUND((IF(('計算（触らない）'!$V65+4)=0,'計算（触らない）'!$C65,INDEX('計算（触らない）'!$AS65:$EP65,MIN(('計算（触らない）'!$V65+4),102)))-INDEX('計算（触らない）'!$AS65:$EP65,MIN(('計算（触らない）'!$V65+4),101)+1))*'計算（触らない）'!$N65,6)+'計算（触らない）'!$B$4)))</f>
        <v/>
      </c>
      <c r="I65" s="52">
        <f>IF('計算（触らない）'!$U65=0,"",IF(('計算（触らない）'!$V65+5)&lt;0,"",INT(ROUND((IF(('計算（触らない）'!$V65+5)=0,'計算（触らない）'!$C65,INDEX('計算（触らない）'!$AS65:$EP65,MIN(('計算（触らない）'!$V65+5),102)))-INDEX('計算（触らない）'!$AS65:$EP65,MIN(('計算（触らない）'!$V65+5),101)+1))*'計算（触らない）'!$N65,6)+'計算（触らない）'!$B$4)))</f>
        <v/>
      </c>
      <c r="J65" s="52">
        <f>IF('計算（触らない）'!$U65=0,"",IF(('計算（触らない）'!$V65+6)&lt;0,"",INT(ROUND((IF(('計算（触らない）'!$V65+6)=0,'計算（触らない）'!$C65,INDEX('計算（触らない）'!$AS65:$EP65,MIN(('計算（触らない）'!$V65+6),102)))-INDEX('計算（触らない）'!$AS65:$EP65,MIN(('計算（触らない）'!$V65+6),101)+1))*'計算（触らない）'!$N65,6)+'計算（触らない）'!$B$4)))</f>
        <v/>
      </c>
      <c r="K65" s="52">
        <f>IF('計算（触らない）'!$U65=0,"",IF(('計算（触らない）'!$V65+7)&lt;0,"",INT(ROUND((IF(('計算（触らない）'!$V65+7)=0,'計算（触らない）'!$C65,INDEX('計算（触らない）'!$AS65:$EP65,MIN(('計算（触らない）'!$V65+7),102)))-INDEX('計算（触らない）'!$AS65:$EP65,MIN(('計算（触らない）'!$V65+7),101)+1))*'計算（触らない）'!$N65,6)+'計算（触らない）'!$B$4)))</f>
        <v/>
      </c>
      <c r="L65" s="52">
        <f>IF('計算（触らない）'!$U65=0,"",IF(('計算（触らない）'!$V65+8)&lt;0,"",INT(ROUND((IF(('計算（触らない）'!$V65+8)=0,'計算（触らない）'!$C65,INDEX('計算（触らない）'!$AS65:$EP65,MIN(('計算（触らない）'!$V65+8),102)))-INDEX('計算（触らない）'!$AS65:$EP65,MIN(('計算（触らない）'!$V65+8),101)+1))*'計算（触らない）'!$N65,6)+'計算（触らない）'!$B$4)))</f>
        <v/>
      </c>
      <c r="M65" s="52">
        <f>IF('計算（触らない）'!$U65=0,"",IF(('計算（触らない）'!$V65+9)&lt;0,"",INT(ROUND((IF(('計算（触らない）'!$V65+9)=0,'計算（触らない）'!$C65,INDEX('計算（触らない）'!$AS65:$EP65,MIN(('計算（触らない）'!$V65+9),102)))-INDEX('計算（触らない）'!$AS65:$EP65,MIN(('計算（触らない）'!$V65+9),101)+1))*'計算（触らない）'!$N65,6)+'計算（触らない）'!$B$4)))</f>
        <v/>
      </c>
      <c r="N65" s="68" t="n"/>
      <c r="O65" s="52">
        <f>IF('計算（触らない）'!$U65=0,"",IF(('計算（触らない）'!$V65+0)&lt;0,"",IF(AND('計算（触らない）'!$F65&lt;=2,('計算（触らない）'!$V65+0)&gt;'計算（触らない）'!$R65),0,INDEX('計算（触らない）'!$AS65:$EP65,MIN(('計算（触らない）'!$V65+0),101)+1))))</f>
        <v/>
      </c>
      <c r="P65" s="52">
        <f>IF('計算（触らない）'!$U65=0,"",IF(('計算（触らない）'!$V65+1)&lt;0,"",IF(AND('計算（触らない）'!$F65&lt;=2,('計算（触らない）'!$V65+1)&gt;'計算（触らない）'!$R65),0,INDEX('計算（触らない）'!$AS65:$EP65,MIN(('計算（触らない）'!$V65+1),101)+1))))</f>
        <v/>
      </c>
      <c r="Q65" s="52">
        <f>IF('計算（触らない）'!$U65=0,"",IF(('計算（触らない）'!$V65+2)&lt;0,"",IF(AND('計算（触らない）'!$F65&lt;=2,('計算（触らない）'!$V65+2)&gt;'計算（触らない）'!$R65),0,INDEX('計算（触らない）'!$AS65:$EP65,MIN(('計算（触らない）'!$V65+2),101)+1))))</f>
        <v/>
      </c>
      <c r="R65" s="52">
        <f>IF('計算（触らない）'!$U65=0,"",IF(('計算（触らない）'!$V65+3)&lt;0,"",IF(AND('計算（触らない）'!$F65&lt;=2,('計算（触らない）'!$V65+3)&gt;'計算（触らない）'!$R65),0,INDEX('計算（触らない）'!$AS65:$EP65,MIN(('計算（触らない）'!$V65+3),101)+1))))</f>
        <v/>
      </c>
      <c r="S65" s="52">
        <f>IF('計算（触らない）'!$U65=0,"",IF(('計算（触らない）'!$V65+4)&lt;0,"",IF(AND('計算（触らない）'!$F65&lt;=2,('計算（触らない）'!$V65+4)&gt;'計算（触らない）'!$R65),0,INDEX('計算（触らない）'!$AS65:$EP65,MIN(('計算（触らない）'!$V65+4),101)+1))))</f>
        <v/>
      </c>
      <c r="T65" s="52">
        <f>IF('計算（触らない）'!$U65=0,"",IF(('計算（触らない）'!$V65+5)&lt;0,"",IF(AND('計算（触らない）'!$F65&lt;=2,('計算（触らない）'!$V65+5)&gt;'計算（触らない）'!$R65),0,INDEX('計算（触らない）'!$AS65:$EP65,MIN(('計算（触らない）'!$V65+5),101)+1))))</f>
        <v/>
      </c>
      <c r="U65" s="52">
        <f>IF('計算（触らない）'!$U65=0,"",IF(('計算（触らない）'!$V65+6)&lt;0,"",IF(AND('計算（触らない）'!$F65&lt;=2,('計算（触らない）'!$V65+6)&gt;'計算（触らない）'!$R65),0,INDEX('計算（触らない）'!$AS65:$EP65,MIN(('計算（触らない）'!$V65+6),101)+1))))</f>
        <v/>
      </c>
      <c r="V65" s="52">
        <f>IF('計算（触らない）'!$U65=0,"",IF(('計算（触らない）'!$V65+7)&lt;0,"",IF(AND('計算（触らない）'!$F65&lt;=2,('計算（触らない）'!$V65+7)&gt;'計算（触らない）'!$R65),0,INDEX('計算（触らない）'!$AS65:$EP65,MIN(('計算（触らない）'!$V65+7),101)+1))))</f>
        <v/>
      </c>
      <c r="W65" s="52">
        <f>IF('計算（触らない）'!$U65=0,"",IF(('計算（触らない）'!$V65+8)&lt;0,"",IF(AND('計算（触らない）'!$F65&lt;=2,('計算（触らない）'!$V65+8)&gt;'計算（触らない）'!$R65),0,INDEX('計算（触らない）'!$AS65:$EP65,MIN(('計算（触らない）'!$V65+8),101)+1))))</f>
        <v/>
      </c>
      <c r="X65" s="52">
        <f>IF('計算（触らない）'!$U65=0,"",IF(('計算（触らない）'!$V65+9)&lt;0,"",IF(AND('計算（触らない）'!$F65&lt;=2,('計算（触らない）'!$V65+9)&gt;'計算（触らない）'!$R65),0,INDEX('計算（触らない）'!$AS65:$EP65,MIN(('計算（触らない）'!$V65+9),101)+1))))</f>
        <v/>
      </c>
    </row>
    <row r="66" ht="17" customHeight="1">
      <c r="A66" s="21" t="n">
        <v>61</v>
      </c>
      <c r="B66" s="38">
        <f>IF('計算（触らない）'!$B66=0,"",'固定資産台帳'!$B66&amp;"")</f>
        <v/>
      </c>
      <c r="C66" s="38">
        <f>IF('計算（触らない）'!$B66=0,"",'固定資産台帳'!$H66&amp;"")</f>
        <v/>
      </c>
      <c r="D66" s="52">
        <f>IF('計算（触らない）'!$U66=0,"",IF(('計算（触らない）'!$V66+0)&lt;0,"",INT(ROUND((IF(('計算（触らない）'!$V66+0)=0,'計算（触らない）'!$C66,INDEX('計算（触らない）'!$AS66:$EP66,MIN(('計算（触らない）'!$V66+0),102)))-INDEX('計算（触らない）'!$AS66:$EP66,MIN(('計算（触らない）'!$V66+0),101)+1))*'計算（触らない）'!$N66,6)+'計算（触らない）'!$B$4)))</f>
        <v/>
      </c>
      <c r="E66" s="52">
        <f>IF('計算（触らない）'!$U66=0,"",IF(('計算（触らない）'!$V66+1)&lt;0,"",INT(ROUND((IF(('計算（触らない）'!$V66+1)=0,'計算（触らない）'!$C66,INDEX('計算（触らない）'!$AS66:$EP66,MIN(('計算（触らない）'!$V66+1),102)))-INDEX('計算（触らない）'!$AS66:$EP66,MIN(('計算（触らない）'!$V66+1),101)+1))*'計算（触らない）'!$N66,6)+'計算（触らない）'!$B$4)))</f>
        <v/>
      </c>
      <c r="F66" s="52">
        <f>IF('計算（触らない）'!$U66=0,"",IF(('計算（触らない）'!$V66+2)&lt;0,"",INT(ROUND((IF(('計算（触らない）'!$V66+2)=0,'計算（触らない）'!$C66,INDEX('計算（触らない）'!$AS66:$EP66,MIN(('計算（触らない）'!$V66+2),102)))-INDEX('計算（触らない）'!$AS66:$EP66,MIN(('計算（触らない）'!$V66+2),101)+1))*'計算（触らない）'!$N66,6)+'計算（触らない）'!$B$4)))</f>
        <v/>
      </c>
      <c r="G66" s="52">
        <f>IF('計算（触らない）'!$U66=0,"",IF(('計算（触らない）'!$V66+3)&lt;0,"",INT(ROUND((IF(('計算（触らない）'!$V66+3)=0,'計算（触らない）'!$C66,INDEX('計算（触らない）'!$AS66:$EP66,MIN(('計算（触らない）'!$V66+3),102)))-INDEX('計算（触らない）'!$AS66:$EP66,MIN(('計算（触らない）'!$V66+3),101)+1))*'計算（触らない）'!$N66,6)+'計算（触らない）'!$B$4)))</f>
        <v/>
      </c>
      <c r="H66" s="52">
        <f>IF('計算（触らない）'!$U66=0,"",IF(('計算（触らない）'!$V66+4)&lt;0,"",INT(ROUND((IF(('計算（触らない）'!$V66+4)=0,'計算（触らない）'!$C66,INDEX('計算（触らない）'!$AS66:$EP66,MIN(('計算（触らない）'!$V66+4),102)))-INDEX('計算（触らない）'!$AS66:$EP66,MIN(('計算（触らない）'!$V66+4),101)+1))*'計算（触らない）'!$N66,6)+'計算（触らない）'!$B$4)))</f>
        <v/>
      </c>
      <c r="I66" s="52">
        <f>IF('計算（触らない）'!$U66=0,"",IF(('計算（触らない）'!$V66+5)&lt;0,"",INT(ROUND((IF(('計算（触らない）'!$V66+5)=0,'計算（触らない）'!$C66,INDEX('計算（触らない）'!$AS66:$EP66,MIN(('計算（触らない）'!$V66+5),102)))-INDEX('計算（触らない）'!$AS66:$EP66,MIN(('計算（触らない）'!$V66+5),101)+1))*'計算（触らない）'!$N66,6)+'計算（触らない）'!$B$4)))</f>
        <v/>
      </c>
      <c r="J66" s="52">
        <f>IF('計算（触らない）'!$U66=0,"",IF(('計算（触らない）'!$V66+6)&lt;0,"",INT(ROUND((IF(('計算（触らない）'!$V66+6)=0,'計算（触らない）'!$C66,INDEX('計算（触らない）'!$AS66:$EP66,MIN(('計算（触らない）'!$V66+6),102)))-INDEX('計算（触らない）'!$AS66:$EP66,MIN(('計算（触らない）'!$V66+6),101)+1))*'計算（触らない）'!$N66,6)+'計算（触らない）'!$B$4)))</f>
        <v/>
      </c>
      <c r="K66" s="52">
        <f>IF('計算（触らない）'!$U66=0,"",IF(('計算（触らない）'!$V66+7)&lt;0,"",INT(ROUND((IF(('計算（触らない）'!$V66+7)=0,'計算（触らない）'!$C66,INDEX('計算（触らない）'!$AS66:$EP66,MIN(('計算（触らない）'!$V66+7),102)))-INDEX('計算（触らない）'!$AS66:$EP66,MIN(('計算（触らない）'!$V66+7),101)+1))*'計算（触らない）'!$N66,6)+'計算（触らない）'!$B$4)))</f>
        <v/>
      </c>
      <c r="L66" s="52">
        <f>IF('計算（触らない）'!$U66=0,"",IF(('計算（触らない）'!$V66+8)&lt;0,"",INT(ROUND((IF(('計算（触らない）'!$V66+8)=0,'計算（触らない）'!$C66,INDEX('計算（触らない）'!$AS66:$EP66,MIN(('計算（触らない）'!$V66+8),102)))-INDEX('計算（触らない）'!$AS66:$EP66,MIN(('計算（触らない）'!$V66+8),101)+1))*'計算（触らない）'!$N66,6)+'計算（触らない）'!$B$4)))</f>
        <v/>
      </c>
      <c r="M66" s="52">
        <f>IF('計算（触らない）'!$U66=0,"",IF(('計算（触らない）'!$V66+9)&lt;0,"",INT(ROUND((IF(('計算（触らない）'!$V66+9)=0,'計算（触らない）'!$C66,INDEX('計算（触らない）'!$AS66:$EP66,MIN(('計算（触らない）'!$V66+9),102)))-INDEX('計算（触らない）'!$AS66:$EP66,MIN(('計算（触らない）'!$V66+9),101)+1))*'計算（触らない）'!$N66,6)+'計算（触らない）'!$B$4)))</f>
        <v/>
      </c>
      <c r="N66" s="68" t="n"/>
      <c r="O66" s="52">
        <f>IF('計算（触らない）'!$U66=0,"",IF(('計算（触らない）'!$V66+0)&lt;0,"",IF(AND('計算（触らない）'!$F66&lt;=2,('計算（触らない）'!$V66+0)&gt;'計算（触らない）'!$R66),0,INDEX('計算（触らない）'!$AS66:$EP66,MIN(('計算（触らない）'!$V66+0),101)+1))))</f>
        <v/>
      </c>
      <c r="P66" s="52">
        <f>IF('計算（触らない）'!$U66=0,"",IF(('計算（触らない）'!$V66+1)&lt;0,"",IF(AND('計算（触らない）'!$F66&lt;=2,('計算（触らない）'!$V66+1)&gt;'計算（触らない）'!$R66),0,INDEX('計算（触らない）'!$AS66:$EP66,MIN(('計算（触らない）'!$V66+1),101)+1))))</f>
        <v/>
      </c>
      <c r="Q66" s="52">
        <f>IF('計算（触らない）'!$U66=0,"",IF(('計算（触らない）'!$V66+2)&lt;0,"",IF(AND('計算（触らない）'!$F66&lt;=2,('計算（触らない）'!$V66+2)&gt;'計算（触らない）'!$R66),0,INDEX('計算（触らない）'!$AS66:$EP66,MIN(('計算（触らない）'!$V66+2),101)+1))))</f>
        <v/>
      </c>
      <c r="R66" s="52">
        <f>IF('計算（触らない）'!$U66=0,"",IF(('計算（触らない）'!$V66+3)&lt;0,"",IF(AND('計算（触らない）'!$F66&lt;=2,('計算（触らない）'!$V66+3)&gt;'計算（触らない）'!$R66),0,INDEX('計算（触らない）'!$AS66:$EP66,MIN(('計算（触らない）'!$V66+3),101)+1))))</f>
        <v/>
      </c>
      <c r="S66" s="52">
        <f>IF('計算（触らない）'!$U66=0,"",IF(('計算（触らない）'!$V66+4)&lt;0,"",IF(AND('計算（触らない）'!$F66&lt;=2,('計算（触らない）'!$V66+4)&gt;'計算（触らない）'!$R66),0,INDEX('計算（触らない）'!$AS66:$EP66,MIN(('計算（触らない）'!$V66+4),101)+1))))</f>
        <v/>
      </c>
      <c r="T66" s="52">
        <f>IF('計算（触らない）'!$U66=0,"",IF(('計算（触らない）'!$V66+5)&lt;0,"",IF(AND('計算（触らない）'!$F66&lt;=2,('計算（触らない）'!$V66+5)&gt;'計算（触らない）'!$R66),0,INDEX('計算（触らない）'!$AS66:$EP66,MIN(('計算（触らない）'!$V66+5),101)+1))))</f>
        <v/>
      </c>
      <c r="U66" s="52">
        <f>IF('計算（触らない）'!$U66=0,"",IF(('計算（触らない）'!$V66+6)&lt;0,"",IF(AND('計算（触らない）'!$F66&lt;=2,('計算（触らない）'!$V66+6)&gt;'計算（触らない）'!$R66),0,INDEX('計算（触らない）'!$AS66:$EP66,MIN(('計算（触らない）'!$V66+6),101)+1))))</f>
        <v/>
      </c>
      <c r="V66" s="52">
        <f>IF('計算（触らない）'!$U66=0,"",IF(('計算（触らない）'!$V66+7)&lt;0,"",IF(AND('計算（触らない）'!$F66&lt;=2,('計算（触らない）'!$V66+7)&gt;'計算（触らない）'!$R66),0,INDEX('計算（触らない）'!$AS66:$EP66,MIN(('計算（触らない）'!$V66+7),101)+1))))</f>
        <v/>
      </c>
      <c r="W66" s="52">
        <f>IF('計算（触らない）'!$U66=0,"",IF(('計算（触らない）'!$V66+8)&lt;0,"",IF(AND('計算（触らない）'!$F66&lt;=2,('計算（触らない）'!$V66+8)&gt;'計算（触らない）'!$R66),0,INDEX('計算（触らない）'!$AS66:$EP66,MIN(('計算（触らない）'!$V66+8),101)+1))))</f>
        <v/>
      </c>
      <c r="X66" s="52">
        <f>IF('計算（触らない）'!$U66=0,"",IF(('計算（触らない）'!$V66+9)&lt;0,"",IF(AND('計算（触らない）'!$F66&lt;=2,('計算（触らない）'!$V66+9)&gt;'計算（触らない）'!$R66),0,INDEX('計算（触らない）'!$AS66:$EP66,MIN(('計算（触らない）'!$V66+9),101)+1))))</f>
        <v/>
      </c>
    </row>
    <row r="67" ht="17" customHeight="1">
      <c r="A67" s="21" t="n">
        <v>62</v>
      </c>
      <c r="B67" s="38">
        <f>IF('計算（触らない）'!$B67=0,"",'固定資産台帳'!$B67&amp;"")</f>
        <v/>
      </c>
      <c r="C67" s="38">
        <f>IF('計算（触らない）'!$B67=0,"",'固定資産台帳'!$H67&amp;"")</f>
        <v/>
      </c>
      <c r="D67" s="52">
        <f>IF('計算（触らない）'!$U67=0,"",IF(('計算（触らない）'!$V67+0)&lt;0,"",INT(ROUND((IF(('計算（触らない）'!$V67+0)=0,'計算（触らない）'!$C67,INDEX('計算（触らない）'!$AS67:$EP67,MIN(('計算（触らない）'!$V67+0),102)))-INDEX('計算（触らない）'!$AS67:$EP67,MIN(('計算（触らない）'!$V67+0),101)+1))*'計算（触らない）'!$N67,6)+'計算（触らない）'!$B$4)))</f>
        <v/>
      </c>
      <c r="E67" s="52">
        <f>IF('計算（触らない）'!$U67=0,"",IF(('計算（触らない）'!$V67+1)&lt;0,"",INT(ROUND((IF(('計算（触らない）'!$V67+1)=0,'計算（触らない）'!$C67,INDEX('計算（触らない）'!$AS67:$EP67,MIN(('計算（触らない）'!$V67+1),102)))-INDEX('計算（触らない）'!$AS67:$EP67,MIN(('計算（触らない）'!$V67+1),101)+1))*'計算（触らない）'!$N67,6)+'計算（触らない）'!$B$4)))</f>
        <v/>
      </c>
      <c r="F67" s="52">
        <f>IF('計算（触らない）'!$U67=0,"",IF(('計算（触らない）'!$V67+2)&lt;0,"",INT(ROUND((IF(('計算（触らない）'!$V67+2)=0,'計算（触らない）'!$C67,INDEX('計算（触らない）'!$AS67:$EP67,MIN(('計算（触らない）'!$V67+2),102)))-INDEX('計算（触らない）'!$AS67:$EP67,MIN(('計算（触らない）'!$V67+2),101)+1))*'計算（触らない）'!$N67,6)+'計算（触らない）'!$B$4)))</f>
        <v/>
      </c>
      <c r="G67" s="52">
        <f>IF('計算（触らない）'!$U67=0,"",IF(('計算（触らない）'!$V67+3)&lt;0,"",INT(ROUND((IF(('計算（触らない）'!$V67+3)=0,'計算（触らない）'!$C67,INDEX('計算（触らない）'!$AS67:$EP67,MIN(('計算（触らない）'!$V67+3),102)))-INDEX('計算（触らない）'!$AS67:$EP67,MIN(('計算（触らない）'!$V67+3),101)+1))*'計算（触らない）'!$N67,6)+'計算（触らない）'!$B$4)))</f>
        <v/>
      </c>
      <c r="H67" s="52">
        <f>IF('計算（触らない）'!$U67=0,"",IF(('計算（触らない）'!$V67+4)&lt;0,"",INT(ROUND((IF(('計算（触らない）'!$V67+4)=0,'計算（触らない）'!$C67,INDEX('計算（触らない）'!$AS67:$EP67,MIN(('計算（触らない）'!$V67+4),102)))-INDEX('計算（触らない）'!$AS67:$EP67,MIN(('計算（触らない）'!$V67+4),101)+1))*'計算（触らない）'!$N67,6)+'計算（触らない）'!$B$4)))</f>
        <v/>
      </c>
      <c r="I67" s="52">
        <f>IF('計算（触らない）'!$U67=0,"",IF(('計算（触らない）'!$V67+5)&lt;0,"",INT(ROUND((IF(('計算（触らない）'!$V67+5)=0,'計算（触らない）'!$C67,INDEX('計算（触らない）'!$AS67:$EP67,MIN(('計算（触らない）'!$V67+5),102)))-INDEX('計算（触らない）'!$AS67:$EP67,MIN(('計算（触らない）'!$V67+5),101)+1))*'計算（触らない）'!$N67,6)+'計算（触らない）'!$B$4)))</f>
        <v/>
      </c>
      <c r="J67" s="52">
        <f>IF('計算（触らない）'!$U67=0,"",IF(('計算（触らない）'!$V67+6)&lt;0,"",INT(ROUND((IF(('計算（触らない）'!$V67+6)=0,'計算（触らない）'!$C67,INDEX('計算（触らない）'!$AS67:$EP67,MIN(('計算（触らない）'!$V67+6),102)))-INDEX('計算（触らない）'!$AS67:$EP67,MIN(('計算（触らない）'!$V67+6),101)+1))*'計算（触らない）'!$N67,6)+'計算（触らない）'!$B$4)))</f>
        <v/>
      </c>
      <c r="K67" s="52">
        <f>IF('計算（触らない）'!$U67=0,"",IF(('計算（触らない）'!$V67+7)&lt;0,"",INT(ROUND((IF(('計算（触らない）'!$V67+7)=0,'計算（触らない）'!$C67,INDEX('計算（触らない）'!$AS67:$EP67,MIN(('計算（触らない）'!$V67+7),102)))-INDEX('計算（触らない）'!$AS67:$EP67,MIN(('計算（触らない）'!$V67+7),101)+1))*'計算（触らない）'!$N67,6)+'計算（触らない）'!$B$4)))</f>
        <v/>
      </c>
      <c r="L67" s="52">
        <f>IF('計算（触らない）'!$U67=0,"",IF(('計算（触らない）'!$V67+8)&lt;0,"",INT(ROUND((IF(('計算（触らない）'!$V67+8)=0,'計算（触らない）'!$C67,INDEX('計算（触らない）'!$AS67:$EP67,MIN(('計算（触らない）'!$V67+8),102)))-INDEX('計算（触らない）'!$AS67:$EP67,MIN(('計算（触らない）'!$V67+8),101)+1))*'計算（触らない）'!$N67,6)+'計算（触らない）'!$B$4)))</f>
        <v/>
      </c>
      <c r="M67" s="52">
        <f>IF('計算（触らない）'!$U67=0,"",IF(('計算（触らない）'!$V67+9)&lt;0,"",INT(ROUND((IF(('計算（触らない）'!$V67+9)=0,'計算（触らない）'!$C67,INDEX('計算（触らない）'!$AS67:$EP67,MIN(('計算（触らない）'!$V67+9),102)))-INDEX('計算（触らない）'!$AS67:$EP67,MIN(('計算（触らない）'!$V67+9),101)+1))*'計算（触らない）'!$N67,6)+'計算（触らない）'!$B$4)))</f>
        <v/>
      </c>
      <c r="N67" s="68" t="n"/>
      <c r="O67" s="52">
        <f>IF('計算（触らない）'!$U67=0,"",IF(('計算（触らない）'!$V67+0)&lt;0,"",IF(AND('計算（触らない）'!$F67&lt;=2,('計算（触らない）'!$V67+0)&gt;'計算（触らない）'!$R67),0,INDEX('計算（触らない）'!$AS67:$EP67,MIN(('計算（触らない）'!$V67+0),101)+1))))</f>
        <v/>
      </c>
      <c r="P67" s="52">
        <f>IF('計算（触らない）'!$U67=0,"",IF(('計算（触らない）'!$V67+1)&lt;0,"",IF(AND('計算（触らない）'!$F67&lt;=2,('計算（触らない）'!$V67+1)&gt;'計算（触らない）'!$R67),0,INDEX('計算（触らない）'!$AS67:$EP67,MIN(('計算（触らない）'!$V67+1),101)+1))))</f>
        <v/>
      </c>
      <c r="Q67" s="52">
        <f>IF('計算（触らない）'!$U67=0,"",IF(('計算（触らない）'!$V67+2)&lt;0,"",IF(AND('計算（触らない）'!$F67&lt;=2,('計算（触らない）'!$V67+2)&gt;'計算（触らない）'!$R67),0,INDEX('計算（触らない）'!$AS67:$EP67,MIN(('計算（触らない）'!$V67+2),101)+1))))</f>
        <v/>
      </c>
      <c r="R67" s="52">
        <f>IF('計算（触らない）'!$U67=0,"",IF(('計算（触らない）'!$V67+3)&lt;0,"",IF(AND('計算（触らない）'!$F67&lt;=2,('計算（触らない）'!$V67+3)&gt;'計算（触らない）'!$R67),0,INDEX('計算（触らない）'!$AS67:$EP67,MIN(('計算（触らない）'!$V67+3),101)+1))))</f>
        <v/>
      </c>
      <c r="S67" s="52">
        <f>IF('計算（触らない）'!$U67=0,"",IF(('計算（触らない）'!$V67+4)&lt;0,"",IF(AND('計算（触らない）'!$F67&lt;=2,('計算（触らない）'!$V67+4)&gt;'計算（触らない）'!$R67),0,INDEX('計算（触らない）'!$AS67:$EP67,MIN(('計算（触らない）'!$V67+4),101)+1))))</f>
        <v/>
      </c>
      <c r="T67" s="52">
        <f>IF('計算（触らない）'!$U67=0,"",IF(('計算（触らない）'!$V67+5)&lt;0,"",IF(AND('計算（触らない）'!$F67&lt;=2,('計算（触らない）'!$V67+5)&gt;'計算（触らない）'!$R67),0,INDEX('計算（触らない）'!$AS67:$EP67,MIN(('計算（触らない）'!$V67+5),101)+1))))</f>
        <v/>
      </c>
      <c r="U67" s="52">
        <f>IF('計算（触らない）'!$U67=0,"",IF(('計算（触らない）'!$V67+6)&lt;0,"",IF(AND('計算（触らない）'!$F67&lt;=2,('計算（触らない）'!$V67+6)&gt;'計算（触らない）'!$R67),0,INDEX('計算（触らない）'!$AS67:$EP67,MIN(('計算（触らない）'!$V67+6),101)+1))))</f>
        <v/>
      </c>
      <c r="V67" s="52">
        <f>IF('計算（触らない）'!$U67=0,"",IF(('計算（触らない）'!$V67+7)&lt;0,"",IF(AND('計算（触らない）'!$F67&lt;=2,('計算（触らない）'!$V67+7)&gt;'計算（触らない）'!$R67),0,INDEX('計算（触らない）'!$AS67:$EP67,MIN(('計算（触らない）'!$V67+7),101)+1))))</f>
        <v/>
      </c>
      <c r="W67" s="52">
        <f>IF('計算（触らない）'!$U67=0,"",IF(('計算（触らない）'!$V67+8)&lt;0,"",IF(AND('計算（触らない）'!$F67&lt;=2,('計算（触らない）'!$V67+8)&gt;'計算（触らない）'!$R67),0,INDEX('計算（触らない）'!$AS67:$EP67,MIN(('計算（触らない）'!$V67+8),101)+1))))</f>
        <v/>
      </c>
      <c r="X67" s="52">
        <f>IF('計算（触らない）'!$U67=0,"",IF(('計算（触らない）'!$V67+9)&lt;0,"",IF(AND('計算（触らない）'!$F67&lt;=2,('計算（触らない）'!$V67+9)&gt;'計算（触らない）'!$R67),0,INDEX('計算（触らない）'!$AS67:$EP67,MIN(('計算（触らない）'!$V67+9),101)+1))))</f>
        <v/>
      </c>
    </row>
    <row r="68" ht="17" customHeight="1">
      <c r="A68" s="21" t="n">
        <v>63</v>
      </c>
      <c r="B68" s="38">
        <f>IF('計算（触らない）'!$B68=0,"",'固定資産台帳'!$B68&amp;"")</f>
        <v/>
      </c>
      <c r="C68" s="38">
        <f>IF('計算（触らない）'!$B68=0,"",'固定資産台帳'!$H68&amp;"")</f>
        <v/>
      </c>
      <c r="D68" s="52">
        <f>IF('計算（触らない）'!$U68=0,"",IF(('計算（触らない）'!$V68+0)&lt;0,"",INT(ROUND((IF(('計算（触らない）'!$V68+0)=0,'計算（触らない）'!$C68,INDEX('計算（触らない）'!$AS68:$EP68,MIN(('計算（触らない）'!$V68+0),102)))-INDEX('計算（触らない）'!$AS68:$EP68,MIN(('計算（触らない）'!$V68+0),101)+1))*'計算（触らない）'!$N68,6)+'計算（触らない）'!$B$4)))</f>
        <v/>
      </c>
      <c r="E68" s="52">
        <f>IF('計算（触らない）'!$U68=0,"",IF(('計算（触らない）'!$V68+1)&lt;0,"",INT(ROUND((IF(('計算（触らない）'!$V68+1)=0,'計算（触らない）'!$C68,INDEX('計算（触らない）'!$AS68:$EP68,MIN(('計算（触らない）'!$V68+1),102)))-INDEX('計算（触らない）'!$AS68:$EP68,MIN(('計算（触らない）'!$V68+1),101)+1))*'計算（触らない）'!$N68,6)+'計算（触らない）'!$B$4)))</f>
        <v/>
      </c>
      <c r="F68" s="52">
        <f>IF('計算（触らない）'!$U68=0,"",IF(('計算（触らない）'!$V68+2)&lt;0,"",INT(ROUND((IF(('計算（触らない）'!$V68+2)=0,'計算（触らない）'!$C68,INDEX('計算（触らない）'!$AS68:$EP68,MIN(('計算（触らない）'!$V68+2),102)))-INDEX('計算（触らない）'!$AS68:$EP68,MIN(('計算（触らない）'!$V68+2),101)+1))*'計算（触らない）'!$N68,6)+'計算（触らない）'!$B$4)))</f>
        <v/>
      </c>
      <c r="G68" s="52">
        <f>IF('計算（触らない）'!$U68=0,"",IF(('計算（触らない）'!$V68+3)&lt;0,"",INT(ROUND((IF(('計算（触らない）'!$V68+3)=0,'計算（触らない）'!$C68,INDEX('計算（触らない）'!$AS68:$EP68,MIN(('計算（触らない）'!$V68+3),102)))-INDEX('計算（触らない）'!$AS68:$EP68,MIN(('計算（触らない）'!$V68+3),101)+1))*'計算（触らない）'!$N68,6)+'計算（触らない）'!$B$4)))</f>
        <v/>
      </c>
      <c r="H68" s="52">
        <f>IF('計算（触らない）'!$U68=0,"",IF(('計算（触らない）'!$V68+4)&lt;0,"",INT(ROUND((IF(('計算（触らない）'!$V68+4)=0,'計算（触らない）'!$C68,INDEX('計算（触らない）'!$AS68:$EP68,MIN(('計算（触らない）'!$V68+4),102)))-INDEX('計算（触らない）'!$AS68:$EP68,MIN(('計算（触らない）'!$V68+4),101)+1))*'計算（触らない）'!$N68,6)+'計算（触らない）'!$B$4)))</f>
        <v/>
      </c>
      <c r="I68" s="52">
        <f>IF('計算（触らない）'!$U68=0,"",IF(('計算（触らない）'!$V68+5)&lt;0,"",INT(ROUND((IF(('計算（触らない）'!$V68+5)=0,'計算（触らない）'!$C68,INDEX('計算（触らない）'!$AS68:$EP68,MIN(('計算（触らない）'!$V68+5),102)))-INDEX('計算（触らない）'!$AS68:$EP68,MIN(('計算（触らない）'!$V68+5),101)+1))*'計算（触らない）'!$N68,6)+'計算（触らない）'!$B$4)))</f>
        <v/>
      </c>
      <c r="J68" s="52">
        <f>IF('計算（触らない）'!$U68=0,"",IF(('計算（触らない）'!$V68+6)&lt;0,"",INT(ROUND((IF(('計算（触らない）'!$V68+6)=0,'計算（触らない）'!$C68,INDEX('計算（触らない）'!$AS68:$EP68,MIN(('計算（触らない）'!$V68+6),102)))-INDEX('計算（触らない）'!$AS68:$EP68,MIN(('計算（触らない）'!$V68+6),101)+1))*'計算（触らない）'!$N68,6)+'計算（触らない）'!$B$4)))</f>
        <v/>
      </c>
      <c r="K68" s="52">
        <f>IF('計算（触らない）'!$U68=0,"",IF(('計算（触らない）'!$V68+7)&lt;0,"",INT(ROUND((IF(('計算（触らない）'!$V68+7)=0,'計算（触らない）'!$C68,INDEX('計算（触らない）'!$AS68:$EP68,MIN(('計算（触らない）'!$V68+7),102)))-INDEX('計算（触らない）'!$AS68:$EP68,MIN(('計算（触らない）'!$V68+7),101)+1))*'計算（触らない）'!$N68,6)+'計算（触らない）'!$B$4)))</f>
        <v/>
      </c>
      <c r="L68" s="52">
        <f>IF('計算（触らない）'!$U68=0,"",IF(('計算（触らない）'!$V68+8)&lt;0,"",INT(ROUND((IF(('計算（触らない）'!$V68+8)=0,'計算（触らない）'!$C68,INDEX('計算（触らない）'!$AS68:$EP68,MIN(('計算（触らない）'!$V68+8),102)))-INDEX('計算（触らない）'!$AS68:$EP68,MIN(('計算（触らない）'!$V68+8),101)+1))*'計算（触らない）'!$N68,6)+'計算（触らない）'!$B$4)))</f>
        <v/>
      </c>
      <c r="M68" s="52">
        <f>IF('計算（触らない）'!$U68=0,"",IF(('計算（触らない）'!$V68+9)&lt;0,"",INT(ROUND((IF(('計算（触らない）'!$V68+9)=0,'計算（触らない）'!$C68,INDEX('計算（触らない）'!$AS68:$EP68,MIN(('計算（触らない）'!$V68+9),102)))-INDEX('計算（触らない）'!$AS68:$EP68,MIN(('計算（触らない）'!$V68+9),101)+1))*'計算（触らない）'!$N68,6)+'計算（触らない）'!$B$4)))</f>
        <v/>
      </c>
      <c r="N68" s="68" t="n"/>
      <c r="O68" s="52">
        <f>IF('計算（触らない）'!$U68=0,"",IF(('計算（触らない）'!$V68+0)&lt;0,"",IF(AND('計算（触らない）'!$F68&lt;=2,('計算（触らない）'!$V68+0)&gt;'計算（触らない）'!$R68),0,INDEX('計算（触らない）'!$AS68:$EP68,MIN(('計算（触らない）'!$V68+0),101)+1))))</f>
        <v/>
      </c>
      <c r="P68" s="52">
        <f>IF('計算（触らない）'!$U68=0,"",IF(('計算（触らない）'!$V68+1)&lt;0,"",IF(AND('計算（触らない）'!$F68&lt;=2,('計算（触らない）'!$V68+1)&gt;'計算（触らない）'!$R68),0,INDEX('計算（触らない）'!$AS68:$EP68,MIN(('計算（触らない）'!$V68+1),101)+1))))</f>
        <v/>
      </c>
      <c r="Q68" s="52">
        <f>IF('計算（触らない）'!$U68=0,"",IF(('計算（触らない）'!$V68+2)&lt;0,"",IF(AND('計算（触らない）'!$F68&lt;=2,('計算（触らない）'!$V68+2)&gt;'計算（触らない）'!$R68),0,INDEX('計算（触らない）'!$AS68:$EP68,MIN(('計算（触らない）'!$V68+2),101)+1))))</f>
        <v/>
      </c>
      <c r="R68" s="52">
        <f>IF('計算（触らない）'!$U68=0,"",IF(('計算（触らない）'!$V68+3)&lt;0,"",IF(AND('計算（触らない）'!$F68&lt;=2,('計算（触らない）'!$V68+3)&gt;'計算（触らない）'!$R68),0,INDEX('計算（触らない）'!$AS68:$EP68,MIN(('計算（触らない）'!$V68+3),101)+1))))</f>
        <v/>
      </c>
      <c r="S68" s="52">
        <f>IF('計算（触らない）'!$U68=0,"",IF(('計算（触らない）'!$V68+4)&lt;0,"",IF(AND('計算（触らない）'!$F68&lt;=2,('計算（触らない）'!$V68+4)&gt;'計算（触らない）'!$R68),0,INDEX('計算（触らない）'!$AS68:$EP68,MIN(('計算（触らない）'!$V68+4),101)+1))))</f>
        <v/>
      </c>
      <c r="T68" s="52">
        <f>IF('計算（触らない）'!$U68=0,"",IF(('計算（触らない）'!$V68+5)&lt;0,"",IF(AND('計算（触らない）'!$F68&lt;=2,('計算（触らない）'!$V68+5)&gt;'計算（触らない）'!$R68),0,INDEX('計算（触らない）'!$AS68:$EP68,MIN(('計算（触らない）'!$V68+5),101)+1))))</f>
        <v/>
      </c>
      <c r="U68" s="52">
        <f>IF('計算（触らない）'!$U68=0,"",IF(('計算（触らない）'!$V68+6)&lt;0,"",IF(AND('計算（触らない）'!$F68&lt;=2,('計算（触らない）'!$V68+6)&gt;'計算（触らない）'!$R68),0,INDEX('計算（触らない）'!$AS68:$EP68,MIN(('計算（触らない）'!$V68+6),101)+1))))</f>
        <v/>
      </c>
      <c r="V68" s="52">
        <f>IF('計算（触らない）'!$U68=0,"",IF(('計算（触らない）'!$V68+7)&lt;0,"",IF(AND('計算（触らない）'!$F68&lt;=2,('計算（触らない）'!$V68+7)&gt;'計算（触らない）'!$R68),0,INDEX('計算（触らない）'!$AS68:$EP68,MIN(('計算（触らない）'!$V68+7),101)+1))))</f>
        <v/>
      </c>
      <c r="W68" s="52">
        <f>IF('計算（触らない）'!$U68=0,"",IF(('計算（触らない）'!$V68+8)&lt;0,"",IF(AND('計算（触らない）'!$F68&lt;=2,('計算（触らない）'!$V68+8)&gt;'計算（触らない）'!$R68),0,INDEX('計算（触らない）'!$AS68:$EP68,MIN(('計算（触らない）'!$V68+8),101)+1))))</f>
        <v/>
      </c>
      <c r="X68" s="52">
        <f>IF('計算（触らない）'!$U68=0,"",IF(('計算（触らない）'!$V68+9)&lt;0,"",IF(AND('計算（触らない）'!$F68&lt;=2,('計算（触らない）'!$V68+9)&gt;'計算（触らない）'!$R68),0,INDEX('計算（触らない）'!$AS68:$EP68,MIN(('計算（触らない）'!$V68+9),101)+1))))</f>
        <v/>
      </c>
    </row>
    <row r="69" ht="17" customHeight="1">
      <c r="A69" s="21" t="n">
        <v>64</v>
      </c>
      <c r="B69" s="38">
        <f>IF('計算（触らない）'!$B69=0,"",'固定資産台帳'!$B69&amp;"")</f>
        <v/>
      </c>
      <c r="C69" s="38">
        <f>IF('計算（触らない）'!$B69=0,"",'固定資産台帳'!$H69&amp;"")</f>
        <v/>
      </c>
      <c r="D69" s="52">
        <f>IF('計算（触らない）'!$U69=0,"",IF(('計算（触らない）'!$V69+0)&lt;0,"",INT(ROUND((IF(('計算（触らない）'!$V69+0)=0,'計算（触らない）'!$C69,INDEX('計算（触らない）'!$AS69:$EP69,MIN(('計算（触らない）'!$V69+0),102)))-INDEX('計算（触らない）'!$AS69:$EP69,MIN(('計算（触らない）'!$V69+0),101)+1))*'計算（触らない）'!$N69,6)+'計算（触らない）'!$B$4)))</f>
        <v/>
      </c>
      <c r="E69" s="52">
        <f>IF('計算（触らない）'!$U69=0,"",IF(('計算（触らない）'!$V69+1)&lt;0,"",INT(ROUND((IF(('計算（触らない）'!$V69+1)=0,'計算（触らない）'!$C69,INDEX('計算（触らない）'!$AS69:$EP69,MIN(('計算（触らない）'!$V69+1),102)))-INDEX('計算（触らない）'!$AS69:$EP69,MIN(('計算（触らない）'!$V69+1),101)+1))*'計算（触らない）'!$N69,6)+'計算（触らない）'!$B$4)))</f>
        <v/>
      </c>
      <c r="F69" s="52">
        <f>IF('計算（触らない）'!$U69=0,"",IF(('計算（触らない）'!$V69+2)&lt;0,"",INT(ROUND((IF(('計算（触らない）'!$V69+2)=0,'計算（触らない）'!$C69,INDEX('計算（触らない）'!$AS69:$EP69,MIN(('計算（触らない）'!$V69+2),102)))-INDEX('計算（触らない）'!$AS69:$EP69,MIN(('計算（触らない）'!$V69+2),101)+1))*'計算（触らない）'!$N69,6)+'計算（触らない）'!$B$4)))</f>
        <v/>
      </c>
      <c r="G69" s="52">
        <f>IF('計算（触らない）'!$U69=0,"",IF(('計算（触らない）'!$V69+3)&lt;0,"",INT(ROUND((IF(('計算（触らない）'!$V69+3)=0,'計算（触らない）'!$C69,INDEX('計算（触らない）'!$AS69:$EP69,MIN(('計算（触らない）'!$V69+3),102)))-INDEX('計算（触らない）'!$AS69:$EP69,MIN(('計算（触らない）'!$V69+3),101)+1))*'計算（触らない）'!$N69,6)+'計算（触らない）'!$B$4)))</f>
        <v/>
      </c>
      <c r="H69" s="52">
        <f>IF('計算（触らない）'!$U69=0,"",IF(('計算（触らない）'!$V69+4)&lt;0,"",INT(ROUND((IF(('計算（触らない）'!$V69+4)=0,'計算（触らない）'!$C69,INDEX('計算（触らない）'!$AS69:$EP69,MIN(('計算（触らない）'!$V69+4),102)))-INDEX('計算（触らない）'!$AS69:$EP69,MIN(('計算（触らない）'!$V69+4),101)+1))*'計算（触らない）'!$N69,6)+'計算（触らない）'!$B$4)))</f>
        <v/>
      </c>
      <c r="I69" s="52">
        <f>IF('計算（触らない）'!$U69=0,"",IF(('計算（触らない）'!$V69+5)&lt;0,"",INT(ROUND((IF(('計算（触らない）'!$V69+5)=0,'計算（触らない）'!$C69,INDEX('計算（触らない）'!$AS69:$EP69,MIN(('計算（触らない）'!$V69+5),102)))-INDEX('計算（触らない）'!$AS69:$EP69,MIN(('計算（触らない）'!$V69+5),101)+1))*'計算（触らない）'!$N69,6)+'計算（触らない）'!$B$4)))</f>
        <v/>
      </c>
      <c r="J69" s="52">
        <f>IF('計算（触らない）'!$U69=0,"",IF(('計算（触らない）'!$V69+6)&lt;0,"",INT(ROUND((IF(('計算（触らない）'!$V69+6)=0,'計算（触らない）'!$C69,INDEX('計算（触らない）'!$AS69:$EP69,MIN(('計算（触らない）'!$V69+6),102)))-INDEX('計算（触らない）'!$AS69:$EP69,MIN(('計算（触らない）'!$V69+6),101)+1))*'計算（触らない）'!$N69,6)+'計算（触らない）'!$B$4)))</f>
        <v/>
      </c>
      <c r="K69" s="52">
        <f>IF('計算（触らない）'!$U69=0,"",IF(('計算（触らない）'!$V69+7)&lt;0,"",INT(ROUND((IF(('計算（触らない）'!$V69+7)=0,'計算（触らない）'!$C69,INDEX('計算（触らない）'!$AS69:$EP69,MIN(('計算（触らない）'!$V69+7),102)))-INDEX('計算（触らない）'!$AS69:$EP69,MIN(('計算（触らない）'!$V69+7),101)+1))*'計算（触らない）'!$N69,6)+'計算（触らない）'!$B$4)))</f>
        <v/>
      </c>
      <c r="L69" s="52">
        <f>IF('計算（触らない）'!$U69=0,"",IF(('計算（触らない）'!$V69+8)&lt;0,"",INT(ROUND((IF(('計算（触らない）'!$V69+8)=0,'計算（触らない）'!$C69,INDEX('計算（触らない）'!$AS69:$EP69,MIN(('計算（触らない）'!$V69+8),102)))-INDEX('計算（触らない）'!$AS69:$EP69,MIN(('計算（触らない）'!$V69+8),101)+1))*'計算（触らない）'!$N69,6)+'計算（触らない）'!$B$4)))</f>
        <v/>
      </c>
      <c r="M69" s="52">
        <f>IF('計算（触らない）'!$U69=0,"",IF(('計算（触らない）'!$V69+9)&lt;0,"",INT(ROUND((IF(('計算（触らない）'!$V69+9)=0,'計算（触らない）'!$C69,INDEX('計算（触らない）'!$AS69:$EP69,MIN(('計算（触らない）'!$V69+9),102)))-INDEX('計算（触らない）'!$AS69:$EP69,MIN(('計算（触らない）'!$V69+9),101)+1))*'計算（触らない）'!$N69,6)+'計算（触らない）'!$B$4)))</f>
        <v/>
      </c>
      <c r="N69" s="68" t="n"/>
      <c r="O69" s="52">
        <f>IF('計算（触らない）'!$U69=0,"",IF(('計算（触らない）'!$V69+0)&lt;0,"",IF(AND('計算（触らない）'!$F69&lt;=2,('計算（触らない）'!$V69+0)&gt;'計算（触らない）'!$R69),0,INDEX('計算（触らない）'!$AS69:$EP69,MIN(('計算（触らない）'!$V69+0),101)+1))))</f>
        <v/>
      </c>
      <c r="P69" s="52">
        <f>IF('計算（触らない）'!$U69=0,"",IF(('計算（触らない）'!$V69+1)&lt;0,"",IF(AND('計算（触らない）'!$F69&lt;=2,('計算（触らない）'!$V69+1)&gt;'計算（触らない）'!$R69),0,INDEX('計算（触らない）'!$AS69:$EP69,MIN(('計算（触らない）'!$V69+1),101)+1))))</f>
        <v/>
      </c>
      <c r="Q69" s="52">
        <f>IF('計算（触らない）'!$U69=0,"",IF(('計算（触らない）'!$V69+2)&lt;0,"",IF(AND('計算（触らない）'!$F69&lt;=2,('計算（触らない）'!$V69+2)&gt;'計算（触らない）'!$R69),0,INDEX('計算（触らない）'!$AS69:$EP69,MIN(('計算（触らない）'!$V69+2),101)+1))))</f>
        <v/>
      </c>
      <c r="R69" s="52">
        <f>IF('計算（触らない）'!$U69=0,"",IF(('計算（触らない）'!$V69+3)&lt;0,"",IF(AND('計算（触らない）'!$F69&lt;=2,('計算（触らない）'!$V69+3)&gt;'計算（触らない）'!$R69),0,INDEX('計算（触らない）'!$AS69:$EP69,MIN(('計算（触らない）'!$V69+3),101)+1))))</f>
        <v/>
      </c>
      <c r="S69" s="52">
        <f>IF('計算（触らない）'!$U69=0,"",IF(('計算（触らない）'!$V69+4)&lt;0,"",IF(AND('計算（触らない）'!$F69&lt;=2,('計算（触らない）'!$V69+4)&gt;'計算（触らない）'!$R69),0,INDEX('計算（触らない）'!$AS69:$EP69,MIN(('計算（触らない）'!$V69+4),101)+1))))</f>
        <v/>
      </c>
      <c r="T69" s="52">
        <f>IF('計算（触らない）'!$U69=0,"",IF(('計算（触らない）'!$V69+5)&lt;0,"",IF(AND('計算（触らない）'!$F69&lt;=2,('計算（触らない）'!$V69+5)&gt;'計算（触らない）'!$R69),0,INDEX('計算（触らない）'!$AS69:$EP69,MIN(('計算（触らない）'!$V69+5),101)+1))))</f>
        <v/>
      </c>
      <c r="U69" s="52">
        <f>IF('計算（触らない）'!$U69=0,"",IF(('計算（触らない）'!$V69+6)&lt;0,"",IF(AND('計算（触らない）'!$F69&lt;=2,('計算（触らない）'!$V69+6)&gt;'計算（触らない）'!$R69),0,INDEX('計算（触らない）'!$AS69:$EP69,MIN(('計算（触らない）'!$V69+6),101)+1))))</f>
        <v/>
      </c>
      <c r="V69" s="52">
        <f>IF('計算（触らない）'!$U69=0,"",IF(('計算（触らない）'!$V69+7)&lt;0,"",IF(AND('計算（触らない）'!$F69&lt;=2,('計算（触らない）'!$V69+7)&gt;'計算（触らない）'!$R69),0,INDEX('計算（触らない）'!$AS69:$EP69,MIN(('計算（触らない）'!$V69+7),101)+1))))</f>
        <v/>
      </c>
      <c r="W69" s="52">
        <f>IF('計算（触らない）'!$U69=0,"",IF(('計算（触らない）'!$V69+8)&lt;0,"",IF(AND('計算（触らない）'!$F69&lt;=2,('計算（触らない）'!$V69+8)&gt;'計算（触らない）'!$R69),0,INDEX('計算（触らない）'!$AS69:$EP69,MIN(('計算（触らない）'!$V69+8),101)+1))))</f>
        <v/>
      </c>
      <c r="X69" s="52">
        <f>IF('計算（触らない）'!$U69=0,"",IF(('計算（触らない）'!$V69+9)&lt;0,"",IF(AND('計算（触らない）'!$F69&lt;=2,('計算（触らない）'!$V69+9)&gt;'計算（触らない）'!$R69),0,INDEX('計算（触らない）'!$AS69:$EP69,MIN(('計算（触らない）'!$V69+9),101)+1))))</f>
        <v/>
      </c>
    </row>
    <row r="70" ht="17" customHeight="1">
      <c r="A70" s="21" t="n">
        <v>65</v>
      </c>
      <c r="B70" s="38">
        <f>IF('計算（触らない）'!$B70=0,"",'固定資産台帳'!$B70&amp;"")</f>
        <v/>
      </c>
      <c r="C70" s="38">
        <f>IF('計算（触らない）'!$B70=0,"",'固定資産台帳'!$H70&amp;"")</f>
        <v/>
      </c>
      <c r="D70" s="52">
        <f>IF('計算（触らない）'!$U70=0,"",IF(('計算（触らない）'!$V70+0)&lt;0,"",INT(ROUND((IF(('計算（触らない）'!$V70+0)=0,'計算（触らない）'!$C70,INDEX('計算（触らない）'!$AS70:$EP70,MIN(('計算（触らない）'!$V70+0),102)))-INDEX('計算（触らない）'!$AS70:$EP70,MIN(('計算（触らない）'!$V70+0),101)+1))*'計算（触らない）'!$N70,6)+'計算（触らない）'!$B$4)))</f>
        <v/>
      </c>
      <c r="E70" s="52">
        <f>IF('計算（触らない）'!$U70=0,"",IF(('計算（触らない）'!$V70+1)&lt;0,"",INT(ROUND((IF(('計算（触らない）'!$V70+1)=0,'計算（触らない）'!$C70,INDEX('計算（触らない）'!$AS70:$EP70,MIN(('計算（触らない）'!$V70+1),102)))-INDEX('計算（触らない）'!$AS70:$EP70,MIN(('計算（触らない）'!$V70+1),101)+1))*'計算（触らない）'!$N70,6)+'計算（触らない）'!$B$4)))</f>
        <v/>
      </c>
      <c r="F70" s="52">
        <f>IF('計算（触らない）'!$U70=0,"",IF(('計算（触らない）'!$V70+2)&lt;0,"",INT(ROUND((IF(('計算（触らない）'!$V70+2)=0,'計算（触らない）'!$C70,INDEX('計算（触らない）'!$AS70:$EP70,MIN(('計算（触らない）'!$V70+2),102)))-INDEX('計算（触らない）'!$AS70:$EP70,MIN(('計算（触らない）'!$V70+2),101)+1))*'計算（触らない）'!$N70,6)+'計算（触らない）'!$B$4)))</f>
        <v/>
      </c>
      <c r="G70" s="52">
        <f>IF('計算（触らない）'!$U70=0,"",IF(('計算（触らない）'!$V70+3)&lt;0,"",INT(ROUND((IF(('計算（触らない）'!$V70+3)=0,'計算（触らない）'!$C70,INDEX('計算（触らない）'!$AS70:$EP70,MIN(('計算（触らない）'!$V70+3),102)))-INDEX('計算（触らない）'!$AS70:$EP70,MIN(('計算（触らない）'!$V70+3),101)+1))*'計算（触らない）'!$N70,6)+'計算（触らない）'!$B$4)))</f>
        <v/>
      </c>
      <c r="H70" s="52">
        <f>IF('計算（触らない）'!$U70=0,"",IF(('計算（触らない）'!$V70+4)&lt;0,"",INT(ROUND((IF(('計算（触らない）'!$V70+4)=0,'計算（触らない）'!$C70,INDEX('計算（触らない）'!$AS70:$EP70,MIN(('計算（触らない）'!$V70+4),102)))-INDEX('計算（触らない）'!$AS70:$EP70,MIN(('計算（触らない）'!$V70+4),101)+1))*'計算（触らない）'!$N70,6)+'計算（触らない）'!$B$4)))</f>
        <v/>
      </c>
      <c r="I70" s="52">
        <f>IF('計算（触らない）'!$U70=0,"",IF(('計算（触らない）'!$V70+5)&lt;0,"",INT(ROUND((IF(('計算（触らない）'!$V70+5)=0,'計算（触らない）'!$C70,INDEX('計算（触らない）'!$AS70:$EP70,MIN(('計算（触らない）'!$V70+5),102)))-INDEX('計算（触らない）'!$AS70:$EP70,MIN(('計算（触らない）'!$V70+5),101)+1))*'計算（触らない）'!$N70,6)+'計算（触らない）'!$B$4)))</f>
        <v/>
      </c>
      <c r="J70" s="52">
        <f>IF('計算（触らない）'!$U70=0,"",IF(('計算（触らない）'!$V70+6)&lt;0,"",INT(ROUND((IF(('計算（触らない）'!$V70+6)=0,'計算（触らない）'!$C70,INDEX('計算（触らない）'!$AS70:$EP70,MIN(('計算（触らない）'!$V70+6),102)))-INDEX('計算（触らない）'!$AS70:$EP70,MIN(('計算（触らない）'!$V70+6),101)+1))*'計算（触らない）'!$N70,6)+'計算（触らない）'!$B$4)))</f>
        <v/>
      </c>
      <c r="K70" s="52">
        <f>IF('計算（触らない）'!$U70=0,"",IF(('計算（触らない）'!$V70+7)&lt;0,"",INT(ROUND((IF(('計算（触らない）'!$V70+7)=0,'計算（触らない）'!$C70,INDEX('計算（触らない）'!$AS70:$EP70,MIN(('計算（触らない）'!$V70+7),102)))-INDEX('計算（触らない）'!$AS70:$EP70,MIN(('計算（触らない）'!$V70+7),101)+1))*'計算（触らない）'!$N70,6)+'計算（触らない）'!$B$4)))</f>
        <v/>
      </c>
      <c r="L70" s="52">
        <f>IF('計算（触らない）'!$U70=0,"",IF(('計算（触らない）'!$V70+8)&lt;0,"",INT(ROUND((IF(('計算（触らない）'!$V70+8)=0,'計算（触らない）'!$C70,INDEX('計算（触らない）'!$AS70:$EP70,MIN(('計算（触らない）'!$V70+8),102)))-INDEX('計算（触らない）'!$AS70:$EP70,MIN(('計算（触らない）'!$V70+8),101)+1))*'計算（触らない）'!$N70,6)+'計算（触らない）'!$B$4)))</f>
        <v/>
      </c>
      <c r="M70" s="52">
        <f>IF('計算（触らない）'!$U70=0,"",IF(('計算（触らない）'!$V70+9)&lt;0,"",INT(ROUND((IF(('計算（触らない）'!$V70+9)=0,'計算（触らない）'!$C70,INDEX('計算（触らない）'!$AS70:$EP70,MIN(('計算（触らない）'!$V70+9),102)))-INDEX('計算（触らない）'!$AS70:$EP70,MIN(('計算（触らない）'!$V70+9),101)+1))*'計算（触らない）'!$N70,6)+'計算（触らない）'!$B$4)))</f>
        <v/>
      </c>
      <c r="N70" s="68" t="n"/>
      <c r="O70" s="52">
        <f>IF('計算（触らない）'!$U70=0,"",IF(('計算（触らない）'!$V70+0)&lt;0,"",IF(AND('計算（触らない）'!$F70&lt;=2,('計算（触らない）'!$V70+0)&gt;'計算（触らない）'!$R70),0,INDEX('計算（触らない）'!$AS70:$EP70,MIN(('計算（触らない）'!$V70+0),101)+1))))</f>
        <v/>
      </c>
      <c r="P70" s="52">
        <f>IF('計算（触らない）'!$U70=0,"",IF(('計算（触らない）'!$V70+1)&lt;0,"",IF(AND('計算（触らない）'!$F70&lt;=2,('計算（触らない）'!$V70+1)&gt;'計算（触らない）'!$R70),0,INDEX('計算（触らない）'!$AS70:$EP70,MIN(('計算（触らない）'!$V70+1),101)+1))))</f>
        <v/>
      </c>
      <c r="Q70" s="52">
        <f>IF('計算（触らない）'!$U70=0,"",IF(('計算（触らない）'!$V70+2)&lt;0,"",IF(AND('計算（触らない）'!$F70&lt;=2,('計算（触らない）'!$V70+2)&gt;'計算（触らない）'!$R70),0,INDEX('計算（触らない）'!$AS70:$EP70,MIN(('計算（触らない）'!$V70+2),101)+1))))</f>
        <v/>
      </c>
      <c r="R70" s="52">
        <f>IF('計算（触らない）'!$U70=0,"",IF(('計算（触らない）'!$V70+3)&lt;0,"",IF(AND('計算（触らない）'!$F70&lt;=2,('計算（触らない）'!$V70+3)&gt;'計算（触らない）'!$R70),0,INDEX('計算（触らない）'!$AS70:$EP70,MIN(('計算（触らない）'!$V70+3),101)+1))))</f>
        <v/>
      </c>
      <c r="S70" s="52">
        <f>IF('計算（触らない）'!$U70=0,"",IF(('計算（触らない）'!$V70+4)&lt;0,"",IF(AND('計算（触らない）'!$F70&lt;=2,('計算（触らない）'!$V70+4)&gt;'計算（触らない）'!$R70),0,INDEX('計算（触らない）'!$AS70:$EP70,MIN(('計算（触らない）'!$V70+4),101)+1))))</f>
        <v/>
      </c>
      <c r="T70" s="52">
        <f>IF('計算（触らない）'!$U70=0,"",IF(('計算（触らない）'!$V70+5)&lt;0,"",IF(AND('計算（触らない）'!$F70&lt;=2,('計算（触らない）'!$V70+5)&gt;'計算（触らない）'!$R70),0,INDEX('計算（触らない）'!$AS70:$EP70,MIN(('計算（触らない）'!$V70+5),101)+1))))</f>
        <v/>
      </c>
      <c r="U70" s="52">
        <f>IF('計算（触らない）'!$U70=0,"",IF(('計算（触らない）'!$V70+6)&lt;0,"",IF(AND('計算（触らない）'!$F70&lt;=2,('計算（触らない）'!$V70+6)&gt;'計算（触らない）'!$R70),0,INDEX('計算（触らない）'!$AS70:$EP70,MIN(('計算（触らない）'!$V70+6),101)+1))))</f>
        <v/>
      </c>
      <c r="V70" s="52">
        <f>IF('計算（触らない）'!$U70=0,"",IF(('計算（触らない）'!$V70+7)&lt;0,"",IF(AND('計算（触らない）'!$F70&lt;=2,('計算（触らない）'!$V70+7)&gt;'計算（触らない）'!$R70),0,INDEX('計算（触らない）'!$AS70:$EP70,MIN(('計算（触らない）'!$V70+7),101)+1))))</f>
        <v/>
      </c>
      <c r="W70" s="52">
        <f>IF('計算（触らない）'!$U70=0,"",IF(('計算（触らない）'!$V70+8)&lt;0,"",IF(AND('計算（触らない）'!$F70&lt;=2,('計算（触らない）'!$V70+8)&gt;'計算（触らない）'!$R70),0,INDEX('計算（触らない）'!$AS70:$EP70,MIN(('計算（触らない）'!$V70+8),101)+1))))</f>
        <v/>
      </c>
      <c r="X70" s="52">
        <f>IF('計算（触らない）'!$U70=0,"",IF(('計算（触らない）'!$V70+9)&lt;0,"",IF(AND('計算（触らない）'!$F70&lt;=2,('計算（触らない）'!$V70+9)&gt;'計算（触らない）'!$R70),0,INDEX('計算（触らない）'!$AS70:$EP70,MIN(('計算（触らない）'!$V70+9),101)+1))))</f>
        <v/>
      </c>
    </row>
    <row r="71" ht="17" customHeight="1">
      <c r="A71" s="21" t="n">
        <v>66</v>
      </c>
      <c r="B71" s="38">
        <f>IF('計算（触らない）'!$B71=0,"",'固定資産台帳'!$B71&amp;"")</f>
        <v/>
      </c>
      <c r="C71" s="38">
        <f>IF('計算（触らない）'!$B71=0,"",'固定資産台帳'!$H71&amp;"")</f>
        <v/>
      </c>
      <c r="D71" s="52">
        <f>IF('計算（触らない）'!$U71=0,"",IF(('計算（触らない）'!$V71+0)&lt;0,"",INT(ROUND((IF(('計算（触らない）'!$V71+0)=0,'計算（触らない）'!$C71,INDEX('計算（触らない）'!$AS71:$EP71,MIN(('計算（触らない）'!$V71+0),102)))-INDEX('計算（触らない）'!$AS71:$EP71,MIN(('計算（触らない）'!$V71+0),101)+1))*'計算（触らない）'!$N71,6)+'計算（触らない）'!$B$4)))</f>
        <v/>
      </c>
      <c r="E71" s="52">
        <f>IF('計算（触らない）'!$U71=0,"",IF(('計算（触らない）'!$V71+1)&lt;0,"",INT(ROUND((IF(('計算（触らない）'!$V71+1)=0,'計算（触らない）'!$C71,INDEX('計算（触らない）'!$AS71:$EP71,MIN(('計算（触らない）'!$V71+1),102)))-INDEX('計算（触らない）'!$AS71:$EP71,MIN(('計算（触らない）'!$V71+1),101)+1))*'計算（触らない）'!$N71,6)+'計算（触らない）'!$B$4)))</f>
        <v/>
      </c>
      <c r="F71" s="52">
        <f>IF('計算（触らない）'!$U71=0,"",IF(('計算（触らない）'!$V71+2)&lt;0,"",INT(ROUND((IF(('計算（触らない）'!$V71+2)=0,'計算（触らない）'!$C71,INDEX('計算（触らない）'!$AS71:$EP71,MIN(('計算（触らない）'!$V71+2),102)))-INDEX('計算（触らない）'!$AS71:$EP71,MIN(('計算（触らない）'!$V71+2),101)+1))*'計算（触らない）'!$N71,6)+'計算（触らない）'!$B$4)))</f>
        <v/>
      </c>
      <c r="G71" s="52">
        <f>IF('計算（触らない）'!$U71=0,"",IF(('計算（触らない）'!$V71+3)&lt;0,"",INT(ROUND((IF(('計算（触らない）'!$V71+3)=0,'計算（触らない）'!$C71,INDEX('計算（触らない）'!$AS71:$EP71,MIN(('計算（触らない）'!$V71+3),102)))-INDEX('計算（触らない）'!$AS71:$EP71,MIN(('計算（触らない）'!$V71+3),101)+1))*'計算（触らない）'!$N71,6)+'計算（触らない）'!$B$4)))</f>
        <v/>
      </c>
      <c r="H71" s="52">
        <f>IF('計算（触らない）'!$U71=0,"",IF(('計算（触らない）'!$V71+4)&lt;0,"",INT(ROUND((IF(('計算（触らない）'!$V71+4)=0,'計算（触らない）'!$C71,INDEX('計算（触らない）'!$AS71:$EP71,MIN(('計算（触らない）'!$V71+4),102)))-INDEX('計算（触らない）'!$AS71:$EP71,MIN(('計算（触らない）'!$V71+4),101)+1))*'計算（触らない）'!$N71,6)+'計算（触らない）'!$B$4)))</f>
        <v/>
      </c>
      <c r="I71" s="52">
        <f>IF('計算（触らない）'!$U71=0,"",IF(('計算（触らない）'!$V71+5)&lt;0,"",INT(ROUND((IF(('計算（触らない）'!$V71+5)=0,'計算（触らない）'!$C71,INDEX('計算（触らない）'!$AS71:$EP71,MIN(('計算（触らない）'!$V71+5),102)))-INDEX('計算（触らない）'!$AS71:$EP71,MIN(('計算（触らない）'!$V71+5),101)+1))*'計算（触らない）'!$N71,6)+'計算（触らない）'!$B$4)))</f>
        <v/>
      </c>
      <c r="J71" s="52">
        <f>IF('計算（触らない）'!$U71=0,"",IF(('計算（触らない）'!$V71+6)&lt;0,"",INT(ROUND((IF(('計算（触らない）'!$V71+6)=0,'計算（触らない）'!$C71,INDEX('計算（触らない）'!$AS71:$EP71,MIN(('計算（触らない）'!$V71+6),102)))-INDEX('計算（触らない）'!$AS71:$EP71,MIN(('計算（触らない）'!$V71+6),101)+1))*'計算（触らない）'!$N71,6)+'計算（触らない）'!$B$4)))</f>
        <v/>
      </c>
      <c r="K71" s="52">
        <f>IF('計算（触らない）'!$U71=0,"",IF(('計算（触らない）'!$V71+7)&lt;0,"",INT(ROUND((IF(('計算（触らない）'!$V71+7)=0,'計算（触らない）'!$C71,INDEX('計算（触らない）'!$AS71:$EP71,MIN(('計算（触らない）'!$V71+7),102)))-INDEX('計算（触らない）'!$AS71:$EP71,MIN(('計算（触らない）'!$V71+7),101)+1))*'計算（触らない）'!$N71,6)+'計算（触らない）'!$B$4)))</f>
        <v/>
      </c>
      <c r="L71" s="52">
        <f>IF('計算（触らない）'!$U71=0,"",IF(('計算（触らない）'!$V71+8)&lt;0,"",INT(ROUND((IF(('計算（触らない）'!$V71+8)=0,'計算（触らない）'!$C71,INDEX('計算（触らない）'!$AS71:$EP71,MIN(('計算（触らない）'!$V71+8),102)))-INDEX('計算（触らない）'!$AS71:$EP71,MIN(('計算（触らない）'!$V71+8),101)+1))*'計算（触らない）'!$N71,6)+'計算（触らない）'!$B$4)))</f>
        <v/>
      </c>
      <c r="M71" s="52">
        <f>IF('計算（触らない）'!$U71=0,"",IF(('計算（触らない）'!$V71+9)&lt;0,"",INT(ROUND((IF(('計算（触らない）'!$V71+9)=0,'計算（触らない）'!$C71,INDEX('計算（触らない）'!$AS71:$EP71,MIN(('計算（触らない）'!$V71+9),102)))-INDEX('計算（触らない）'!$AS71:$EP71,MIN(('計算（触らない）'!$V71+9),101)+1))*'計算（触らない）'!$N71,6)+'計算（触らない）'!$B$4)))</f>
        <v/>
      </c>
      <c r="N71" s="68" t="n"/>
      <c r="O71" s="52">
        <f>IF('計算（触らない）'!$U71=0,"",IF(('計算（触らない）'!$V71+0)&lt;0,"",IF(AND('計算（触らない）'!$F71&lt;=2,('計算（触らない）'!$V71+0)&gt;'計算（触らない）'!$R71),0,INDEX('計算（触らない）'!$AS71:$EP71,MIN(('計算（触らない）'!$V71+0),101)+1))))</f>
        <v/>
      </c>
      <c r="P71" s="52">
        <f>IF('計算（触らない）'!$U71=0,"",IF(('計算（触らない）'!$V71+1)&lt;0,"",IF(AND('計算（触らない）'!$F71&lt;=2,('計算（触らない）'!$V71+1)&gt;'計算（触らない）'!$R71),0,INDEX('計算（触らない）'!$AS71:$EP71,MIN(('計算（触らない）'!$V71+1),101)+1))))</f>
        <v/>
      </c>
      <c r="Q71" s="52">
        <f>IF('計算（触らない）'!$U71=0,"",IF(('計算（触らない）'!$V71+2)&lt;0,"",IF(AND('計算（触らない）'!$F71&lt;=2,('計算（触らない）'!$V71+2)&gt;'計算（触らない）'!$R71),0,INDEX('計算（触らない）'!$AS71:$EP71,MIN(('計算（触らない）'!$V71+2),101)+1))))</f>
        <v/>
      </c>
      <c r="R71" s="52">
        <f>IF('計算（触らない）'!$U71=0,"",IF(('計算（触らない）'!$V71+3)&lt;0,"",IF(AND('計算（触らない）'!$F71&lt;=2,('計算（触らない）'!$V71+3)&gt;'計算（触らない）'!$R71),0,INDEX('計算（触らない）'!$AS71:$EP71,MIN(('計算（触らない）'!$V71+3),101)+1))))</f>
        <v/>
      </c>
      <c r="S71" s="52">
        <f>IF('計算（触らない）'!$U71=0,"",IF(('計算（触らない）'!$V71+4)&lt;0,"",IF(AND('計算（触らない）'!$F71&lt;=2,('計算（触らない）'!$V71+4)&gt;'計算（触らない）'!$R71),0,INDEX('計算（触らない）'!$AS71:$EP71,MIN(('計算（触らない）'!$V71+4),101)+1))))</f>
        <v/>
      </c>
      <c r="T71" s="52">
        <f>IF('計算（触らない）'!$U71=0,"",IF(('計算（触らない）'!$V71+5)&lt;0,"",IF(AND('計算（触らない）'!$F71&lt;=2,('計算（触らない）'!$V71+5)&gt;'計算（触らない）'!$R71),0,INDEX('計算（触らない）'!$AS71:$EP71,MIN(('計算（触らない）'!$V71+5),101)+1))))</f>
        <v/>
      </c>
      <c r="U71" s="52">
        <f>IF('計算（触らない）'!$U71=0,"",IF(('計算（触らない）'!$V71+6)&lt;0,"",IF(AND('計算（触らない）'!$F71&lt;=2,('計算（触らない）'!$V71+6)&gt;'計算（触らない）'!$R71),0,INDEX('計算（触らない）'!$AS71:$EP71,MIN(('計算（触らない）'!$V71+6),101)+1))))</f>
        <v/>
      </c>
      <c r="V71" s="52">
        <f>IF('計算（触らない）'!$U71=0,"",IF(('計算（触らない）'!$V71+7)&lt;0,"",IF(AND('計算（触らない）'!$F71&lt;=2,('計算（触らない）'!$V71+7)&gt;'計算（触らない）'!$R71),0,INDEX('計算（触らない）'!$AS71:$EP71,MIN(('計算（触らない）'!$V71+7),101)+1))))</f>
        <v/>
      </c>
      <c r="W71" s="52">
        <f>IF('計算（触らない）'!$U71=0,"",IF(('計算（触らない）'!$V71+8)&lt;0,"",IF(AND('計算（触らない）'!$F71&lt;=2,('計算（触らない）'!$V71+8)&gt;'計算（触らない）'!$R71),0,INDEX('計算（触らない）'!$AS71:$EP71,MIN(('計算（触らない）'!$V71+8),101)+1))))</f>
        <v/>
      </c>
      <c r="X71" s="52">
        <f>IF('計算（触らない）'!$U71=0,"",IF(('計算（触らない）'!$V71+9)&lt;0,"",IF(AND('計算（触らない）'!$F71&lt;=2,('計算（触らない）'!$V71+9)&gt;'計算（触らない）'!$R71),0,INDEX('計算（触らない）'!$AS71:$EP71,MIN(('計算（触らない）'!$V71+9),101)+1))))</f>
        <v/>
      </c>
    </row>
    <row r="72" ht="17" customHeight="1">
      <c r="A72" s="21" t="n">
        <v>67</v>
      </c>
      <c r="B72" s="38">
        <f>IF('計算（触らない）'!$B72=0,"",'固定資産台帳'!$B72&amp;"")</f>
        <v/>
      </c>
      <c r="C72" s="38">
        <f>IF('計算（触らない）'!$B72=0,"",'固定資産台帳'!$H72&amp;"")</f>
        <v/>
      </c>
      <c r="D72" s="52">
        <f>IF('計算（触らない）'!$U72=0,"",IF(('計算（触らない）'!$V72+0)&lt;0,"",INT(ROUND((IF(('計算（触らない）'!$V72+0)=0,'計算（触らない）'!$C72,INDEX('計算（触らない）'!$AS72:$EP72,MIN(('計算（触らない）'!$V72+0),102)))-INDEX('計算（触らない）'!$AS72:$EP72,MIN(('計算（触らない）'!$V72+0),101)+1))*'計算（触らない）'!$N72,6)+'計算（触らない）'!$B$4)))</f>
        <v/>
      </c>
      <c r="E72" s="52">
        <f>IF('計算（触らない）'!$U72=0,"",IF(('計算（触らない）'!$V72+1)&lt;0,"",INT(ROUND((IF(('計算（触らない）'!$V72+1)=0,'計算（触らない）'!$C72,INDEX('計算（触らない）'!$AS72:$EP72,MIN(('計算（触らない）'!$V72+1),102)))-INDEX('計算（触らない）'!$AS72:$EP72,MIN(('計算（触らない）'!$V72+1),101)+1))*'計算（触らない）'!$N72,6)+'計算（触らない）'!$B$4)))</f>
        <v/>
      </c>
      <c r="F72" s="52">
        <f>IF('計算（触らない）'!$U72=0,"",IF(('計算（触らない）'!$V72+2)&lt;0,"",INT(ROUND((IF(('計算（触らない）'!$V72+2)=0,'計算（触らない）'!$C72,INDEX('計算（触らない）'!$AS72:$EP72,MIN(('計算（触らない）'!$V72+2),102)))-INDEX('計算（触らない）'!$AS72:$EP72,MIN(('計算（触らない）'!$V72+2),101)+1))*'計算（触らない）'!$N72,6)+'計算（触らない）'!$B$4)))</f>
        <v/>
      </c>
      <c r="G72" s="52">
        <f>IF('計算（触らない）'!$U72=0,"",IF(('計算（触らない）'!$V72+3)&lt;0,"",INT(ROUND((IF(('計算（触らない）'!$V72+3)=0,'計算（触らない）'!$C72,INDEX('計算（触らない）'!$AS72:$EP72,MIN(('計算（触らない）'!$V72+3),102)))-INDEX('計算（触らない）'!$AS72:$EP72,MIN(('計算（触らない）'!$V72+3),101)+1))*'計算（触らない）'!$N72,6)+'計算（触らない）'!$B$4)))</f>
        <v/>
      </c>
      <c r="H72" s="52">
        <f>IF('計算（触らない）'!$U72=0,"",IF(('計算（触らない）'!$V72+4)&lt;0,"",INT(ROUND((IF(('計算（触らない）'!$V72+4)=0,'計算（触らない）'!$C72,INDEX('計算（触らない）'!$AS72:$EP72,MIN(('計算（触らない）'!$V72+4),102)))-INDEX('計算（触らない）'!$AS72:$EP72,MIN(('計算（触らない）'!$V72+4),101)+1))*'計算（触らない）'!$N72,6)+'計算（触らない）'!$B$4)))</f>
        <v/>
      </c>
      <c r="I72" s="52">
        <f>IF('計算（触らない）'!$U72=0,"",IF(('計算（触らない）'!$V72+5)&lt;0,"",INT(ROUND((IF(('計算（触らない）'!$V72+5)=0,'計算（触らない）'!$C72,INDEX('計算（触らない）'!$AS72:$EP72,MIN(('計算（触らない）'!$V72+5),102)))-INDEX('計算（触らない）'!$AS72:$EP72,MIN(('計算（触らない）'!$V72+5),101)+1))*'計算（触らない）'!$N72,6)+'計算（触らない）'!$B$4)))</f>
        <v/>
      </c>
      <c r="J72" s="52">
        <f>IF('計算（触らない）'!$U72=0,"",IF(('計算（触らない）'!$V72+6)&lt;0,"",INT(ROUND((IF(('計算（触らない）'!$V72+6)=0,'計算（触らない）'!$C72,INDEX('計算（触らない）'!$AS72:$EP72,MIN(('計算（触らない）'!$V72+6),102)))-INDEX('計算（触らない）'!$AS72:$EP72,MIN(('計算（触らない）'!$V72+6),101)+1))*'計算（触らない）'!$N72,6)+'計算（触らない）'!$B$4)))</f>
        <v/>
      </c>
      <c r="K72" s="52">
        <f>IF('計算（触らない）'!$U72=0,"",IF(('計算（触らない）'!$V72+7)&lt;0,"",INT(ROUND((IF(('計算（触らない）'!$V72+7)=0,'計算（触らない）'!$C72,INDEX('計算（触らない）'!$AS72:$EP72,MIN(('計算（触らない）'!$V72+7),102)))-INDEX('計算（触らない）'!$AS72:$EP72,MIN(('計算（触らない）'!$V72+7),101)+1))*'計算（触らない）'!$N72,6)+'計算（触らない）'!$B$4)))</f>
        <v/>
      </c>
      <c r="L72" s="52">
        <f>IF('計算（触らない）'!$U72=0,"",IF(('計算（触らない）'!$V72+8)&lt;0,"",INT(ROUND((IF(('計算（触らない）'!$V72+8)=0,'計算（触らない）'!$C72,INDEX('計算（触らない）'!$AS72:$EP72,MIN(('計算（触らない）'!$V72+8),102)))-INDEX('計算（触らない）'!$AS72:$EP72,MIN(('計算（触らない）'!$V72+8),101)+1))*'計算（触らない）'!$N72,6)+'計算（触らない）'!$B$4)))</f>
        <v/>
      </c>
      <c r="M72" s="52">
        <f>IF('計算（触らない）'!$U72=0,"",IF(('計算（触らない）'!$V72+9)&lt;0,"",INT(ROUND((IF(('計算（触らない）'!$V72+9)=0,'計算（触らない）'!$C72,INDEX('計算（触らない）'!$AS72:$EP72,MIN(('計算（触らない）'!$V72+9),102)))-INDEX('計算（触らない）'!$AS72:$EP72,MIN(('計算（触らない）'!$V72+9),101)+1))*'計算（触らない）'!$N72,6)+'計算（触らない）'!$B$4)))</f>
        <v/>
      </c>
      <c r="N72" s="68" t="n"/>
      <c r="O72" s="52">
        <f>IF('計算（触らない）'!$U72=0,"",IF(('計算（触らない）'!$V72+0)&lt;0,"",IF(AND('計算（触らない）'!$F72&lt;=2,('計算（触らない）'!$V72+0)&gt;'計算（触らない）'!$R72),0,INDEX('計算（触らない）'!$AS72:$EP72,MIN(('計算（触らない）'!$V72+0),101)+1))))</f>
        <v/>
      </c>
      <c r="P72" s="52">
        <f>IF('計算（触らない）'!$U72=0,"",IF(('計算（触らない）'!$V72+1)&lt;0,"",IF(AND('計算（触らない）'!$F72&lt;=2,('計算（触らない）'!$V72+1)&gt;'計算（触らない）'!$R72),0,INDEX('計算（触らない）'!$AS72:$EP72,MIN(('計算（触らない）'!$V72+1),101)+1))))</f>
        <v/>
      </c>
      <c r="Q72" s="52">
        <f>IF('計算（触らない）'!$U72=0,"",IF(('計算（触らない）'!$V72+2)&lt;0,"",IF(AND('計算（触らない）'!$F72&lt;=2,('計算（触らない）'!$V72+2)&gt;'計算（触らない）'!$R72),0,INDEX('計算（触らない）'!$AS72:$EP72,MIN(('計算（触らない）'!$V72+2),101)+1))))</f>
        <v/>
      </c>
      <c r="R72" s="52">
        <f>IF('計算（触らない）'!$U72=0,"",IF(('計算（触らない）'!$V72+3)&lt;0,"",IF(AND('計算（触らない）'!$F72&lt;=2,('計算（触らない）'!$V72+3)&gt;'計算（触らない）'!$R72),0,INDEX('計算（触らない）'!$AS72:$EP72,MIN(('計算（触らない）'!$V72+3),101)+1))))</f>
        <v/>
      </c>
      <c r="S72" s="52">
        <f>IF('計算（触らない）'!$U72=0,"",IF(('計算（触らない）'!$V72+4)&lt;0,"",IF(AND('計算（触らない）'!$F72&lt;=2,('計算（触らない）'!$V72+4)&gt;'計算（触らない）'!$R72),0,INDEX('計算（触らない）'!$AS72:$EP72,MIN(('計算（触らない）'!$V72+4),101)+1))))</f>
        <v/>
      </c>
      <c r="T72" s="52">
        <f>IF('計算（触らない）'!$U72=0,"",IF(('計算（触らない）'!$V72+5)&lt;0,"",IF(AND('計算（触らない）'!$F72&lt;=2,('計算（触らない）'!$V72+5)&gt;'計算（触らない）'!$R72),0,INDEX('計算（触らない）'!$AS72:$EP72,MIN(('計算（触らない）'!$V72+5),101)+1))))</f>
        <v/>
      </c>
      <c r="U72" s="52">
        <f>IF('計算（触らない）'!$U72=0,"",IF(('計算（触らない）'!$V72+6)&lt;0,"",IF(AND('計算（触らない）'!$F72&lt;=2,('計算（触らない）'!$V72+6)&gt;'計算（触らない）'!$R72),0,INDEX('計算（触らない）'!$AS72:$EP72,MIN(('計算（触らない）'!$V72+6),101)+1))))</f>
        <v/>
      </c>
      <c r="V72" s="52">
        <f>IF('計算（触らない）'!$U72=0,"",IF(('計算（触らない）'!$V72+7)&lt;0,"",IF(AND('計算（触らない）'!$F72&lt;=2,('計算（触らない）'!$V72+7)&gt;'計算（触らない）'!$R72),0,INDEX('計算（触らない）'!$AS72:$EP72,MIN(('計算（触らない）'!$V72+7),101)+1))))</f>
        <v/>
      </c>
      <c r="W72" s="52">
        <f>IF('計算（触らない）'!$U72=0,"",IF(('計算（触らない）'!$V72+8)&lt;0,"",IF(AND('計算（触らない）'!$F72&lt;=2,('計算（触らない）'!$V72+8)&gt;'計算（触らない）'!$R72),0,INDEX('計算（触らない）'!$AS72:$EP72,MIN(('計算（触らない）'!$V72+8),101)+1))))</f>
        <v/>
      </c>
      <c r="X72" s="52">
        <f>IF('計算（触らない）'!$U72=0,"",IF(('計算（触らない）'!$V72+9)&lt;0,"",IF(AND('計算（触らない）'!$F72&lt;=2,('計算（触らない）'!$V72+9)&gt;'計算（触らない）'!$R72),0,INDEX('計算（触らない）'!$AS72:$EP72,MIN(('計算（触らない）'!$V72+9),101)+1))))</f>
        <v/>
      </c>
    </row>
    <row r="73" ht="17" customHeight="1">
      <c r="A73" s="21" t="n">
        <v>68</v>
      </c>
      <c r="B73" s="38">
        <f>IF('計算（触らない）'!$B73=0,"",'固定資産台帳'!$B73&amp;"")</f>
        <v/>
      </c>
      <c r="C73" s="38">
        <f>IF('計算（触らない）'!$B73=0,"",'固定資産台帳'!$H73&amp;"")</f>
        <v/>
      </c>
      <c r="D73" s="52">
        <f>IF('計算（触らない）'!$U73=0,"",IF(('計算（触らない）'!$V73+0)&lt;0,"",INT(ROUND((IF(('計算（触らない）'!$V73+0)=0,'計算（触らない）'!$C73,INDEX('計算（触らない）'!$AS73:$EP73,MIN(('計算（触らない）'!$V73+0),102)))-INDEX('計算（触らない）'!$AS73:$EP73,MIN(('計算（触らない）'!$V73+0),101)+1))*'計算（触らない）'!$N73,6)+'計算（触らない）'!$B$4)))</f>
        <v/>
      </c>
      <c r="E73" s="52">
        <f>IF('計算（触らない）'!$U73=0,"",IF(('計算（触らない）'!$V73+1)&lt;0,"",INT(ROUND((IF(('計算（触らない）'!$V73+1)=0,'計算（触らない）'!$C73,INDEX('計算（触らない）'!$AS73:$EP73,MIN(('計算（触らない）'!$V73+1),102)))-INDEX('計算（触らない）'!$AS73:$EP73,MIN(('計算（触らない）'!$V73+1),101)+1))*'計算（触らない）'!$N73,6)+'計算（触らない）'!$B$4)))</f>
        <v/>
      </c>
      <c r="F73" s="52">
        <f>IF('計算（触らない）'!$U73=0,"",IF(('計算（触らない）'!$V73+2)&lt;0,"",INT(ROUND((IF(('計算（触らない）'!$V73+2)=0,'計算（触らない）'!$C73,INDEX('計算（触らない）'!$AS73:$EP73,MIN(('計算（触らない）'!$V73+2),102)))-INDEX('計算（触らない）'!$AS73:$EP73,MIN(('計算（触らない）'!$V73+2),101)+1))*'計算（触らない）'!$N73,6)+'計算（触らない）'!$B$4)))</f>
        <v/>
      </c>
      <c r="G73" s="52">
        <f>IF('計算（触らない）'!$U73=0,"",IF(('計算（触らない）'!$V73+3)&lt;0,"",INT(ROUND((IF(('計算（触らない）'!$V73+3)=0,'計算（触らない）'!$C73,INDEX('計算（触らない）'!$AS73:$EP73,MIN(('計算（触らない）'!$V73+3),102)))-INDEX('計算（触らない）'!$AS73:$EP73,MIN(('計算（触らない）'!$V73+3),101)+1))*'計算（触らない）'!$N73,6)+'計算（触らない）'!$B$4)))</f>
        <v/>
      </c>
      <c r="H73" s="52">
        <f>IF('計算（触らない）'!$U73=0,"",IF(('計算（触らない）'!$V73+4)&lt;0,"",INT(ROUND((IF(('計算（触らない）'!$V73+4)=0,'計算（触らない）'!$C73,INDEX('計算（触らない）'!$AS73:$EP73,MIN(('計算（触らない）'!$V73+4),102)))-INDEX('計算（触らない）'!$AS73:$EP73,MIN(('計算（触らない）'!$V73+4),101)+1))*'計算（触らない）'!$N73,6)+'計算（触らない）'!$B$4)))</f>
        <v/>
      </c>
      <c r="I73" s="52">
        <f>IF('計算（触らない）'!$U73=0,"",IF(('計算（触らない）'!$V73+5)&lt;0,"",INT(ROUND((IF(('計算（触らない）'!$V73+5)=0,'計算（触らない）'!$C73,INDEX('計算（触らない）'!$AS73:$EP73,MIN(('計算（触らない）'!$V73+5),102)))-INDEX('計算（触らない）'!$AS73:$EP73,MIN(('計算（触らない）'!$V73+5),101)+1))*'計算（触らない）'!$N73,6)+'計算（触らない）'!$B$4)))</f>
        <v/>
      </c>
      <c r="J73" s="52">
        <f>IF('計算（触らない）'!$U73=0,"",IF(('計算（触らない）'!$V73+6)&lt;0,"",INT(ROUND((IF(('計算（触らない）'!$V73+6)=0,'計算（触らない）'!$C73,INDEX('計算（触らない）'!$AS73:$EP73,MIN(('計算（触らない）'!$V73+6),102)))-INDEX('計算（触らない）'!$AS73:$EP73,MIN(('計算（触らない）'!$V73+6),101)+1))*'計算（触らない）'!$N73,6)+'計算（触らない）'!$B$4)))</f>
        <v/>
      </c>
      <c r="K73" s="52">
        <f>IF('計算（触らない）'!$U73=0,"",IF(('計算（触らない）'!$V73+7)&lt;0,"",INT(ROUND((IF(('計算（触らない）'!$V73+7)=0,'計算（触らない）'!$C73,INDEX('計算（触らない）'!$AS73:$EP73,MIN(('計算（触らない）'!$V73+7),102)))-INDEX('計算（触らない）'!$AS73:$EP73,MIN(('計算（触らない）'!$V73+7),101)+1))*'計算（触らない）'!$N73,6)+'計算（触らない）'!$B$4)))</f>
        <v/>
      </c>
      <c r="L73" s="52">
        <f>IF('計算（触らない）'!$U73=0,"",IF(('計算（触らない）'!$V73+8)&lt;0,"",INT(ROUND((IF(('計算（触らない）'!$V73+8)=0,'計算（触らない）'!$C73,INDEX('計算（触らない）'!$AS73:$EP73,MIN(('計算（触らない）'!$V73+8),102)))-INDEX('計算（触らない）'!$AS73:$EP73,MIN(('計算（触らない）'!$V73+8),101)+1))*'計算（触らない）'!$N73,6)+'計算（触らない）'!$B$4)))</f>
        <v/>
      </c>
      <c r="M73" s="52">
        <f>IF('計算（触らない）'!$U73=0,"",IF(('計算（触らない）'!$V73+9)&lt;0,"",INT(ROUND((IF(('計算（触らない）'!$V73+9)=0,'計算（触らない）'!$C73,INDEX('計算（触らない）'!$AS73:$EP73,MIN(('計算（触らない）'!$V73+9),102)))-INDEX('計算（触らない）'!$AS73:$EP73,MIN(('計算（触らない）'!$V73+9),101)+1))*'計算（触らない）'!$N73,6)+'計算（触らない）'!$B$4)))</f>
        <v/>
      </c>
      <c r="N73" s="68" t="n"/>
      <c r="O73" s="52">
        <f>IF('計算（触らない）'!$U73=0,"",IF(('計算（触らない）'!$V73+0)&lt;0,"",IF(AND('計算（触らない）'!$F73&lt;=2,('計算（触らない）'!$V73+0)&gt;'計算（触らない）'!$R73),0,INDEX('計算（触らない）'!$AS73:$EP73,MIN(('計算（触らない）'!$V73+0),101)+1))))</f>
        <v/>
      </c>
      <c r="P73" s="52">
        <f>IF('計算（触らない）'!$U73=0,"",IF(('計算（触らない）'!$V73+1)&lt;0,"",IF(AND('計算（触らない）'!$F73&lt;=2,('計算（触らない）'!$V73+1)&gt;'計算（触らない）'!$R73),0,INDEX('計算（触らない）'!$AS73:$EP73,MIN(('計算（触らない）'!$V73+1),101)+1))))</f>
        <v/>
      </c>
      <c r="Q73" s="52">
        <f>IF('計算（触らない）'!$U73=0,"",IF(('計算（触らない）'!$V73+2)&lt;0,"",IF(AND('計算（触らない）'!$F73&lt;=2,('計算（触らない）'!$V73+2)&gt;'計算（触らない）'!$R73),0,INDEX('計算（触らない）'!$AS73:$EP73,MIN(('計算（触らない）'!$V73+2),101)+1))))</f>
        <v/>
      </c>
      <c r="R73" s="52">
        <f>IF('計算（触らない）'!$U73=0,"",IF(('計算（触らない）'!$V73+3)&lt;0,"",IF(AND('計算（触らない）'!$F73&lt;=2,('計算（触らない）'!$V73+3)&gt;'計算（触らない）'!$R73),0,INDEX('計算（触らない）'!$AS73:$EP73,MIN(('計算（触らない）'!$V73+3),101)+1))))</f>
        <v/>
      </c>
      <c r="S73" s="52">
        <f>IF('計算（触らない）'!$U73=0,"",IF(('計算（触らない）'!$V73+4)&lt;0,"",IF(AND('計算（触らない）'!$F73&lt;=2,('計算（触らない）'!$V73+4)&gt;'計算（触らない）'!$R73),0,INDEX('計算（触らない）'!$AS73:$EP73,MIN(('計算（触らない）'!$V73+4),101)+1))))</f>
        <v/>
      </c>
      <c r="T73" s="52">
        <f>IF('計算（触らない）'!$U73=0,"",IF(('計算（触らない）'!$V73+5)&lt;0,"",IF(AND('計算（触らない）'!$F73&lt;=2,('計算（触らない）'!$V73+5)&gt;'計算（触らない）'!$R73),0,INDEX('計算（触らない）'!$AS73:$EP73,MIN(('計算（触らない）'!$V73+5),101)+1))))</f>
        <v/>
      </c>
      <c r="U73" s="52">
        <f>IF('計算（触らない）'!$U73=0,"",IF(('計算（触らない）'!$V73+6)&lt;0,"",IF(AND('計算（触らない）'!$F73&lt;=2,('計算（触らない）'!$V73+6)&gt;'計算（触らない）'!$R73),0,INDEX('計算（触らない）'!$AS73:$EP73,MIN(('計算（触らない）'!$V73+6),101)+1))))</f>
        <v/>
      </c>
      <c r="V73" s="52">
        <f>IF('計算（触らない）'!$U73=0,"",IF(('計算（触らない）'!$V73+7)&lt;0,"",IF(AND('計算（触らない）'!$F73&lt;=2,('計算（触らない）'!$V73+7)&gt;'計算（触らない）'!$R73),0,INDEX('計算（触らない）'!$AS73:$EP73,MIN(('計算（触らない）'!$V73+7),101)+1))))</f>
        <v/>
      </c>
      <c r="W73" s="52">
        <f>IF('計算（触らない）'!$U73=0,"",IF(('計算（触らない）'!$V73+8)&lt;0,"",IF(AND('計算（触らない）'!$F73&lt;=2,('計算（触らない）'!$V73+8)&gt;'計算（触らない）'!$R73),0,INDEX('計算（触らない）'!$AS73:$EP73,MIN(('計算（触らない）'!$V73+8),101)+1))))</f>
        <v/>
      </c>
      <c r="X73" s="52">
        <f>IF('計算（触らない）'!$U73=0,"",IF(('計算（触らない）'!$V73+9)&lt;0,"",IF(AND('計算（触らない）'!$F73&lt;=2,('計算（触らない）'!$V73+9)&gt;'計算（触らない）'!$R73),0,INDEX('計算（触らない）'!$AS73:$EP73,MIN(('計算（触らない）'!$V73+9),101)+1))))</f>
        <v/>
      </c>
    </row>
    <row r="74" ht="17" customHeight="1">
      <c r="A74" s="21" t="n">
        <v>69</v>
      </c>
      <c r="B74" s="38">
        <f>IF('計算（触らない）'!$B74=0,"",'固定資産台帳'!$B74&amp;"")</f>
        <v/>
      </c>
      <c r="C74" s="38">
        <f>IF('計算（触らない）'!$B74=0,"",'固定資産台帳'!$H74&amp;"")</f>
        <v/>
      </c>
      <c r="D74" s="52">
        <f>IF('計算（触らない）'!$U74=0,"",IF(('計算（触らない）'!$V74+0)&lt;0,"",INT(ROUND((IF(('計算（触らない）'!$V74+0)=0,'計算（触らない）'!$C74,INDEX('計算（触らない）'!$AS74:$EP74,MIN(('計算（触らない）'!$V74+0),102)))-INDEX('計算（触らない）'!$AS74:$EP74,MIN(('計算（触らない）'!$V74+0),101)+1))*'計算（触らない）'!$N74,6)+'計算（触らない）'!$B$4)))</f>
        <v/>
      </c>
      <c r="E74" s="52">
        <f>IF('計算（触らない）'!$U74=0,"",IF(('計算（触らない）'!$V74+1)&lt;0,"",INT(ROUND((IF(('計算（触らない）'!$V74+1)=0,'計算（触らない）'!$C74,INDEX('計算（触らない）'!$AS74:$EP74,MIN(('計算（触らない）'!$V74+1),102)))-INDEX('計算（触らない）'!$AS74:$EP74,MIN(('計算（触らない）'!$V74+1),101)+1))*'計算（触らない）'!$N74,6)+'計算（触らない）'!$B$4)))</f>
        <v/>
      </c>
      <c r="F74" s="52">
        <f>IF('計算（触らない）'!$U74=0,"",IF(('計算（触らない）'!$V74+2)&lt;0,"",INT(ROUND((IF(('計算（触らない）'!$V74+2)=0,'計算（触らない）'!$C74,INDEX('計算（触らない）'!$AS74:$EP74,MIN(('計算（触らない）'!$V74+2),102)))-INDEX('計算（触らない）'!$AS74:$EP74,MIN(('計算（触らない）'!$V74+2),101)+1))*'計算（触らない）'!$N74,6)+'計算（触らない）'!$B$4)))</f>
        <v/>
      </c>
      <c r="G74" s="52">
        <f>IF('計算（触らない）'!$U74=0,"",IF(('計算（触らない）'!$V74+3)&lt;0,"",INT(ROUND((IF(('計算（触らない）'!$V74+3)=0,'計算（触らない）'!$C74,INDEX('計算（触らない）'!$AS74:$EP74,MIN(('計算（触らない）'!$V74+3),102)))-INDEX('計算（触らない）'!$AS74:$EP74,MIN(('計算（触らない）'!$V74+3),101)+1))*'計算（触らない）'!$N74,6)+'計算（触らない）'!$B$4)))</f>
        <v/>
      </c>
      <c r="H74" s="52">
        <f>IF('計算（触らない）'!$U74=0,"",IF(('計算（触らない）'!$V74+4)&lt;0,"",INT(ROUND((IF(('計算（触らない）'!$V74+4)=0,'計算（触らない）'!$C74,INDEX('計算（触らない）'!$AS74:$EP74,MIN(('計算（触らない）'!$V74+4),102)))-INDEX('計算（触らない）'!$AS74:$EP74,MIN(('計算（触らない）'!$V74+4),101)+1))*'計算（触らない）'!$N74,6)+'計算（触らない）'!$B$4)))</f>
        <v/>
      </c>
      <c r="I74" s="52">
        <f>IF('計算（触らない）'!$U74=0,"",IF(('計算（触らない）'!$V74+5)&lt;0,"",INT(ROUND((IF(('計算（触らない）'!$V74+5)=0,'計算（触らない）'!$C74,INDEX('計算（触らない）'!$AS74:$EP74,MIN(('計算（触らない）'!$V74+5),102)))-INDEX('計算（触らない）'!$AS74:$EP74,MIN(('計算（触らない）'!$V74+5),101)+1))*'計算（触らない）'!$N74,6)+'計算（触らない）'!$B$4)))</f>
        <v/>
      </c>
      <c r="J74" s="52">
        <f>IF('計算（触らない）'!$U74=0,"",IF(('計算（触らない）'!$V74+6)&lt;0,"",INT(ROUND((IF(('計算（触らない）'!$V74+6)=0,'計算（触らない）'!$C74,INDEX('計算（触らない）'!$AS74:$EP74,MIN(('計算（触らない）'!$V74+6),102)))-INDEX('計算（触らない）'!$AS74:$EP74,MIN(('計算（触らない）'!$V74+6),101)+1))*'計算（触らない）'!$N74,6)+'計算（触らない）'!$B$4)))</f>
        <v/>
      </c>
      <c r="K74" s="52">
        <f>IF('計算（触らない）'!$U74=0,"",IF(('計算（触らない）'!$V74+7)&lt;0,"",INT(ROUND((IF(('計算（触らない）'!$V74+7)=0,'計算（触らない）'!$C74,INDEX('計算（触らない）'!$AS74:$EP74,MIN(('計算（触らない）'!$V74+7),102)))-INDEX('計算（触らない）'!$AS74:$EP74,MIN(('計算（触らない）'!$V74+7),101)+1))*'計算（触らない）'!$N74,6)+'計算（触らない）'!$B$4)))</f>
        <v/>
      </c>
      <c r="L74" s="52">
        <f>IF('計算（触らない）'!$U74=0,"",IF(('計算（触らない）'!$V74+8)&lt;0,"",INT(ROUND((IF(('計算（触らない）'!$V74+8)=0,'計算（触らない）'!$C74,INDEX('計算（触らない）'!$AS74:$EP74,MIN(('計算（触らない）'!$V74+8),102)))-INDEX('計算（触らない）'!$AS74:$EP74,MIN(('計算（触らない）'!$V74+8),101)+1))*'計算（触らない）'!$N74,6)+'計算（触らない）'!$B$4)))</f>
        <v/>
      </c>
      <c r="M74" s="52">
        <f>IF('計算（触らない）'!$U74=0,"",IF(('計算（触らない）'!$V74+9)&lt;0,"",INT(ROUND((IF(('計算（触らない）'!$V74+9)=0,'計算（触らない）'!$C74,INDEX('計算（触らない）'!$AS74:$EP74,MIN(('計算（触らない）'!$V74+9),102)))-INDEX('計算（触らない）'!$AS74:$EP74,MIN(('計算（触らない）'!$V74+9),101)+1))*'計算（触らない）'!$N74,6)+'計算（触らない）'!$B$4)))</f>
        <v/>
      </c>
      <c r="N74" s="68" t="n"/>
      <c r="O74" s="52">
        <f>IF('計算（触らない）'!$U74=0,"",IF(('計算（触らない）'!$V74+0)&lt;0,"",IF(AND('計算（触らない）'!$F74&lt;=2,('計算（触らない）'!$V74+0)&gt;'計算（触らない）'!$R74),0,INDEX('計算（触らない）'!$AS74:$EP74,MIN(('計算（触らない）'!$V74+0),101)+1))))</f>
        <v/>
      </c>
      <c r="P74" s="52">
        <f>IF('計算（触らない）'!$U74=0,"",IF(('計算（触らない）'!$V74+1)&lt;0,"",IF(AND('計算（触らない）'!$F74&lt;=2,('計算（触らない）'!$V74+1)&gt;'計算（触らない）'!$R74),0,INDEX('計算（触らない）'!$AS74:$EP74,MIN(('計算（触らない）'!$V74+1),101)+1))))</f>
        <v/>
      </c>
      <c r="Q74" s="52">
        <f>IF('計算（触らない）'!$U74=0,"",IF(('計算（触らない）'!$V74+2)&lt;0,"",IF(AND('計算（触らない）'!$F74&lt;=2,('計算（触らない）'!$V74+2)&gt;'計算（触らない）'!$R74),0,INDEX('計算（触らない）'!$AS74:$EP74,MIN(('計算（触らない）'!$V74+2),101)+1))))</f>
        <v/>
      </c>
      <c r="R74" s="52">
        <f>IF('計算（触らない）'!$U74=0,"",IF(('計算（触らない）'!$V74+3)&lt;0,"",IF(AND('計算（触らない）'!$F74&lt;=2,('計算（触らない）'!$V74+3)&gt;'計算（触らない）'!$R74),0,INDEX('計算（触らない）'!$AS74:$EP74,MIN(('計算（触らない）'!$V74+3),101)+1))))</f>
        <v/>
      </c>
      <c r="S74" s="52">
        <f>IF('計算（触らない）'!$U74=0,"",IF(('計算（触らない）'!$V74+4)&lt;0,"",IF(AND('計算（触らない）'!$F74&lt;=2,('計算（触らない）'!$V74+4)&gt;'計算（触らない）'!$R74),0,INDEX('計算（触らない）'!$AS74:$EP74,MIN(('計算（触らない）'!$V74+4),101)+1))))</f>
        <v/>
      </c>
      <c r="T74" s="52">
        <f>IF('計算（触らない）'!$U74=0,"",IF(('計算（触らない）'!$V74+5)&lt;0,"",IF(AND('計算（触らない）'!$F74&lt;=2,('計算（触らない）'!$V74+5)&gt;'計算（触らない）'!$R74),0,INDEX('計算（触らない）'!$AS74:$EP74,MIN(('計算（触らない）'!$V74+5),101)+1))))</f>
        <v/>
      </c>
      <c r="U74" s="52">
        <f>IF('計算（触らない）'!$U74=0,"",IF(('計算（触らない）'!$V74+6)&lt;0,"",IF(AND('計算（触らない）'!$F74&lt;=2,('計算（触らない）'!$V74+6)&gt;'計算（触らない）'!$R74),0,INDEX('計算（触らない）'!$AS74:$EP74,MIN(('計算（触らない）'!$V74+6),101)+1))))</f>
        <v/>
      </c>
      <c r="V74" s="52">
        <f>IF('計算（触らない）'!$U74=0,"",IF(('計算（触らない）'!$V74+7)&lt;0,"",IF(AND('計算（触らない）'!$F74&lt;=2,('計算（触らない）'!$V74+7)&gt;'計算（触らない）'!$R74),0,INDEX('計算（触らない）'!$AS74:$EP74,MIN(('計算（触らない）'!$V74+7),101)+1))))</f>
        <v/>
      </c>
      <c r="W74" s="52">
        <f>IF('計算（触らない）'!$U74=0,"",IF(('計算（触らない）'!$V74+8)&lt;0,"",IF(AND('計算（触らない）'!$F74&lt;=2,('計算（触らない）'!$V74+8)&gt;'計算（触らない）'!$R74),0,INDEX('計算（触らない）'!$AS74:$EP74,MIN(('計算（触らない）'!$V74+8),101)+1))))</f>
        <v/>
      </c>
      <c r="X74" s="52">
        <f>IF('計算（触らない）'!$U74=0,"",IF(('計算（触らない）'!$V74+9)&lt;0,"",IF(AND('計算（触らない）'!$F74&lt;=2,('計算（触らない）'!$V74+9)&gt;'計算（触らない）'!$R74),0,INDEX('計算（触らない）'!$AS74:$EP74,MIN(('計算（触らない）'!$V74+9),101)+1))))</f>
        <v/>
      </c>
    </row>
    <row r="75" ht="17" customHeight="1">
      <c r="A75" s="21" t="n">
        <v>70</v>
      </c>
      <c r="B75" s="38">
        <f>IF('計算（触らない）'!$B75=0,"",'固定資産台帳'!$B75&amp;"")</f>
        <v/>
      </c>
      <c r="C75" s="38">
        <f>IF('計算（触らない）'!$B75=0,"",'固定資産台帳'!$H75&amp;"")</f>
        <v/>
      </c>
      <c r="D75" s="52">
        <f>IF('計算（触らない）'!$U75=0,"",IF(('計算（触らない）'!$V75+0)&lt;0,"",INT(ROUND((IF(('計算（触らない）'!$V75+0)=0,'計算（触らない）'!$C75,INDEX('計算（触らない）'!$AS75:$EP75,MIN(('計算（触らない）'!$V75+0),102)))-INDEX('計算（触らない）'!$AS75:$EP75,MIN(('計算（触らない）'!$V75+0),101)+1))*'計算（触らない）'!$N75,6)+'計算（触らない）'!$B$4)))</f>
        <v/>
      </c>
      <c r="E75" s="52">
        <f>IF('計算（触らない）'!$U75=0,"",IF(('計算（触らない）'!$V75+1)&lt;0,"",INT(ROUND((IF(('計算（触らない）'!$V75+1)=0,'計算（触らない）'!$C75,INDEX('計算（触らない）'!$AS75:$EP75,MIN(('計算（触らない）'!$V75+1),102)))-INDEX('計算（触らない）'!$AS75:$EP75,MIN(('計算（触らない）'!$V75+1),101)+1))*'計算（触らない）'!$N75,6)+'計算（触らない）'!$B$4)))</f>
        <v/>
      </c>
      <c r="F75" s="52">
        <f>IF('計算（触らない）'!$U75=0,"",IF(('計算（触らない）'!$V75+2)&lt;0,"",INT(ROUND((IF(('計算（触らない）'!$V75+2)=0,'計算（触らない）'!$C75,INDEX('計算（触らない）'!$AS75:$EP75,MIN(('計算（触らない）'!$V75+2),102)))-INDEX('計算（触らない）'!$AS75:$EP75,MIN(('計算（触らない）'!$V75+2),101)+1))*'計算（触らない）'!$N75,6)+'計算（触らない）'!$B$4)))</f>
        <v/>
      </c>
      <c r="G75" s="52">
        <f>IF('計算（触らない）'!$U75=0,"",IF(('計算（触らない）'!$V75+3)&lt;0,"",INT(ROUND((IF(('計算（触らない）'!$V75+3)=0,'計算（触らない）'!$C75,INDEX('計算（触らない）'!$AS75:$EP75,MIN(('計算（触らない）'!$V75+3),102)))-INDEX('計算（触らない）'!$AS75:$EP75,MIN(('計算（触らない）'!$V75+3),101)+1))*'計算（触らない）'!$N75,6)+'計算（触らない）'!$B$4)))</f>
        <v/>
      </c>
      <c r="H75" s="52">
        <f>IF('計算（触らない）'!$U75=0,"",IF(('計算（触らない）'!$V75+4)&lt;0,"",INT(ROUND((IF(('計算（触らない）'!$V75+4)=0,'計算（触らない）'!$C75,INDEX('計算（触らない）'!$AS75:$EP75,MIN(('計算（触らない）'!$V75+4),102)))-INDEX('計算（触らない）'!$AS75:$EP75,MIN(('計算（触らない）'!$V75+4),101)+1))*'計算（触らない）'!$N75,6)+'計算（触らない）'!$B$4)))</f>
        <v/>
      </c>
      <c r="I75" s="52">
        <f>IF('計算（触らない）'!$U75=0,"",IF(('計算（触らない）'!$V75+5)&lt;0,"",INT(ROUND((IF(('計算（触らない）'!$V75+5)=0,'計算（触らない）'!$C75,INDEX('計算（触らない）'!$AS75:$EP75,MIN(('計算（触らない）'!$V75+5),102)))-INDEX('計算（触らない）'!$AS75:$EP75,MIN(('計算（触らない）'!$V75+5),101)+1))*'計算（触らない）'!$N75,6)+'計算（触らない）'!$B$4)))</f>
        <v/>
      </c>
      <c r="J75" s="52">
        <f>IF('計算（触らない）'!$U75=0,"",IF(('計算（触らない）'!$V75+6)&lt;0,"",INT(ROUND((IF(('計算（触らない）'!$V75+6)=0,'計算（触らない）'!$C75,INDEX('計算（触らない）'!$AS75:$EP75,MIN(('計算（触らない）'!$V75+6),102)))-INDEX('計算（触らない）'!$AS75:$EP75,MIN(('計算（触らない）'!$V75+6),101)+1))*'計算（触らない）'!$N75,6)+'計算（触らない）'!$B$4)))</f>
        <v/>
      </c>
      <c r="K75" s="52">
        <f>IF('計算（触らない）'!$U75=0,"",IF(('計算（触らない）'!$V75+7)&lt;0,"",INT(ROUND((IF(('計算（触らない）'!$V75+7)=0,'計算（触らない）'!$C75,INDEX('計算（触らない）'!$AS75:$EP75,MIN(('計算（触らない）'!$V75+7),102)))-INDEX('計算（触らない）'!$AS75:$EP75,MIN(('計算（触らない）'!$V75+7),101)+1))*'計算（触らない）'!$N75,6)+'計算（触らない）'!$B$4)))</f>
        <v/>
      </c>
      <c r="L75" s="52">
        <f>IF('計算（触らない）'!$U75=0,"",IF(('計算（触らない）'!$V75+8)&lt;0,"",INT(ROUND((IF(('計算（触らない）'!$V75+8)=0,'計算（触らない）'!$C75,INDEX('計算（触らない）'!$AS75:$EP75,MIN(('計算（触らない）'!$V75+8),102)))-INDEX('計算（触らない）'!$AS75:$EP75,MIN(('計算（触らない）'!$V75+8),101)+1))*'計算（触らない）'!$N75,6)+'計算（触らない）'!$B$4)))</f>
        <v/>
      </c>
      <c r="M75" s="52">
        <f>IF('計算（触らない）'!$U75=0,"",IF(('計算（触らない）'!$V75+9)&lt;0,"",INT(ROUND((IF(('計算（触らない）'!$V75+9)=0,'計算（触らない）'!$C75,INDEX('計算（触らない）'!$AS75:$EP75,MIN(('計算（触らない）'!$V75+9),102)))-INDEX('計算（触らない）'!$AS75:$EP75,MIN(('計算（触らない）'!$V75+9),101)+1))*'計算（触らない）'!$N75,6)+'計算（触らない）'!$B$4)))</f>
        <v/>
      </c>
      <c r="N75" s="68" t="n"/>
      <c r="O75" s="52">
        <f>IF('計算（触らない）'!$U75=0,"",IF(('計算（触らない）'!$V75+0)&lt;0,"",IF(AND('計算（触らない）'!$F75&lt;=2,('計算（触らない）'!$V75+0)&gt;'計算（触らない）'!$R75),0,INDEX('計算（触らない）'!$AS75:$EP75,MIN(('計算（触らない）'!$V75+0),101)+1))))</f>
        <v/>
      </c>
      <c r="P75" s="52">
        <f>IF('計算（触らない）'!$U75=0,"",IF(('計算（触らない）'!$V75+1)&lt;0,"",IF(AND('計算（触らない）'!$F75&lt;=2,('計算（触らない）'!$V75+1)&gt;'計算（触らない）'!$R75),0,INDEX('計算（触らない）'!$AS75:$EP75,MIN(('計算（触らない）'!$V75+1),101)+1))))</f>
        <v/>
      </c>
      <c r="Q75" s="52">
        <f>IF('計算（触らない）'!$U75=0,"",IF(('計算（触らない）'!$V75+2)&lt;0,"",IF(AND('計算（触らない）'!$F75&lt;=2,('計算（触らない）'!$V75+2)&gt;'計算（触らない）'!$R75),0,INDEX('計算（触らない）'!$AS75:$EP75,MIN(('計算（触らない）'!$V75+2),101)+1))))</f>
        <v/>
      </c>
      <c r="R75" s="52">
        <f>IF('計算（触らない）'!$U75=0,"",IF(('計算（触らない）'!$V75+3)&lt;0,"",IF(AND('計算（触らない）'!$F75&lt;=2,('計算（触らない）'!$V75+3)&gt;'計算（触らない）'!$R75),0,INDEX('計算（触らない）'!$AS75:$EP75,MIN(('計算（触らない）'!$V75+3),101)+1))))</f>
        <v/>
      </c>
      <c r="S75" s="52">
        <f>IF('計算（触らない）'!$U75=0,"",IF(('計算（触らない）'!$V75+4)&lt;0,"",IF(AND('計算（触らない）'!$F75&lt;=2,('計算（触らない）'!$V75+4)&gt;'計算（触らない）'!$R75),0,INDEX('計算（触らない）'!$AS75:$EP75,MIN(('計算（触らない）'!$V75+4),101)+1))))</f>
        <v/>
      </c>
      <c r="T75" s="52">
        <f>IF('計算（触らない）'!$U75=0,"",IF(('計算（触らない）'!$V75+5)&lt;0,"",IF(AND('計算（触らない）'!$F75&lt;=2,('計算（触らない）'!$V75+5)&gt;'計算（触らない）'!$R75),0,INDEX('計算（触らない）'!$AS75:$EP75,MIN(('計算（触らない）'!$V75+5),101)+1))))</f>
        <v/>
      </c>
      <c r="U75" s="52">
        <f>IF('計算（触らない）'!$U75=0,"",IF(('計算（触らない）'!$V75+6)&lt;0,"",IF(AND('計算（触らない）'!$F75&lt;=2,('計算（触らない）'!$V75+6)&gt;'計算（触らない）'!$R75),0,INDEX('計算（触らない）'!$AS75:$EP75,MIN(('計算（触らない）'!$V75+6),101)+1))))</f>
        <v/>
      </c>
      <c r="V75" s="52">
        <f>IF('計算（触らない）'!$U75=0,"",IF(('計算（触らない）'!$V75+7)&lt;0,"",IF(AND('計算（触らない）'!$F75&lt;=2,('計算（触らない）'!$V75+7)&gt;'計算（触らない）'!$R75),0,INDEX('計算（触らない）'!$AS75:$EP75,MIN(('計算（触らない）'!$V75+7),101)+1))))</f>
        <v/>
      </c>
      <c r="W75" s="52">
        <f>IF('計算（触らない）'!$U75=0,"",IF(('計算（触らない）'!$V75+8)&lt;0,"",IF(AND('計算（触らない）'!$F75&lt;=2,('計算（触らない）'!$V75+8)&gt;'計算（触らない）'!$R75),0,INDEX('計算（触らない）'!$AS75:$EP75,MIN(('計算（触らない）'!$V75+8),101)+1))))</f>
        <v/>
      </c>
      <c r="X75" s="52">
        <f>IF('計算（触らない）'!$U75=0,"",IF(('計算（触らない）'!$V75+9)&lt;0,"",IF(AND('計算（触らない）'!$F75&lt;=2,('計算（触らない）'!$V75+9)&gt;'計算（触らない）'!$R75),0,INDEX('計算（触らない）'!$AS75:$EP75,MIN(('計算（触らない）'!$V75+9),101)+1))))</f>
        <v/>
      </c>
    </row>
    <row r="76" ht="17" customHeight="1">
      <c r="A76" s="21" t="n">
        <v>71</v>
      </c>
      <c r="B76" s="38">
        <f>IF('計算（触らない）'!$B76=0,"",'固定資産台帳'!$B76&amp;"")</f>
        <v/>
      </c>
      <c r="C76" s="38">
        <f>IF('計算（触らない）'!$B76=0,"",'固定資産台帳'!$H76&amp;"")</f>
        <v/>
      </c>
      <c r="D76" s="52">
        <f>IF('計算（触らない）'!$U76=0,"",IF(('計算（触らない）'!$V76+0)&lt;0,"",INT(ROUND((IF(('計算（触らない）'!$V76+0)=0,'計算（触らない）'!$C76,INDEX('計算（触らない）'!$AS76:$EP76,MIN(('計算（触らない）'!$V76+0),102)))-INDEX('計算（触らない）'!$AS76:$EP76,MIN(('計算（触らない）'!$V76+0),101)+1))*'計算（触らない）'!$N76,6)+'計算（触らない）'!$B$4)))</f>
        <v/>
      </c>
      <c r="E76" s="52">
        <f>IF('計算（触らない）'!$U76=0,"",IF(('計算（触らない）'!$V76+1)&lt;0,"",INT(ROUND((IF(('計算（触らない）'!$V76+1)=0,'計算（触らない）'!$C76,INDEX('計算（触らない）'!$AS76:$EP76,MIN(('計算（触らない）'!$V76+1),102)))-INDEX('計算（触らない）'!$AS76:$EP76,MIN(('計算（触らない）'!$V76+1),101)+1))*'計算（触らない）'!$N76,6)+'計算（触らない）'!$B$4)))</f>
        <v/>
      </c>
      <c r="F76" s="52">
        <f>IF('計算（触らない）'!$U76=0,"",IF(('計算（触らない）'!$V76+2)&lt;0,"",INT(ROUND((IF(('計算（触らない）'!$V76+2)=0,'計算（触らない）'!$C76,INDEX('計算（触らない）'!$AS76:$EP76,MIN(('計算（触らない）'!$V76+2),102)))-INDEX('計算（触らない）'!$AS76:$EP76,MIN(('計算（触らない）'!$V76+2),101)+1))*'計算（触らない）'!$N76,6)+'計算（触らない）'!$B$4)))</f>
        <v/>
      </c>
      <c r="G76" s="52">
        <f>IF('計算（触らない）'!$U76=0,"",IF(('計算（触らない）'!$V76+3)&lt;0,"",INT(ROUND((IF(('計算（触らない）'!$V76+3)=0,'計算（触らない）'!$C76,INDEX('計算（触らない）'!$AS76:$EP76,MIN(('計算（触らない）'!$V76+3),102)))-INDEX('計算（触らない）'!$AS76:$EP76,MIN(('計算（触らない）'!$V76+3),101)+1))*'計算（触らない）'!$N76,6)+'計算（触らない）'!$B$4)))</f>
        <v/>
      </c>
      <c r="H76" s="52">
        <f>IF('計算（触らない）'!$U76=0,"",IF(('計算（触らない）'!$V76+4)&lt;0,"",INT(ROUND((IF(('計算（触らない）'!$V76+4)=0,'計算（触らない）'!$C76,INDEX('計算（触らない）'!$AS76:$EP76,MIN(('計算（触らない）'!$V76+4),102)))-INDEX('計算（触らない）'!$AS76:$EP76,MIN(('計算（触らない）'!$V76+4),101)+1))*'計算（触らない）'!$N76,6)+'計算（触らない）'!$B$4)))</f>
        <v/>
      </c>
      <c r="I76" s="52">
        <f>IF('計算（触らない）'!$U76=0,"",IF(('計算（触らない）'!$V76+5)&lt;0,"",INT(ROUND((IF(('計算（触らない）'!$V76+5)=0,'計算（触らない）'!$C76,INDEX('計算（触らない）'!$AS76:$EP76,MIN(('計算（触らない）'!$V76+5),102)))-INDEX('計算（触らない）'!$AS76:$EP76,MIN(('計算（触らない）'!$V76+5),101)+1))*'計算（触らない）'!$N76,6)+'計算（触らない）'!$B$4)))</f>
        <v/>
      </c>
      <c r="J76" s="52">
        <f>IF('計算（触らない）'!$U76=0,"",IF(('計算（触らない）'!$V76+6)&lt;0,"",INT(ROUND((IF(('計算（触らない）'!$V76+6)=0,'計算（触らない）'!$C76,INDEX('計算（触らない）'!$AS76:$EP76,MIN(('計算（触らない）'!$V76+6),102)))-INDEX('計算（触らない）'!$AS76:$EP76,MIN(('計算（触らない）'!$V76+6),101)+1))*'計算（触らない）'!$N76,6)+'計算（触らない）'!$B$4)))</f>
        <v/>
      </c>
      <c r="K76" s="52">
        <f>IF('計算（触らない）'!$U76=0,"",IF(('計算（触らない）'!$V76+7)&lt;0,"",INT(ROUND((IF(('計算（触らない）'!$V76+7)=0,'計算（触らない）'!$C76,INDEX('計算（触らない）'!$AS76:$EP76,MIN(('計算（触らない）'!$V76+7),102)))-INDEX('計算（触らない）'!$AS76:$EP76,MIN(('計算（触らない）'!$V76+7),101)+1))*'計算（触らない）'!$N76,6)+'計算（触らない）'!$B$4)))</f>
        <v/>
      </c>
      <c r="L76" s="52">
        <f>IF('計算（触らない）'!$U76=0,"",IF(('計算（触らない）'!$V76+8)&lt;0,"",INT(ROUND((IF(('計算（触らない）'!$V76+8)=0,'計算（触らない）'!$C76,INDEX('計算（触らない）'!$AS76:$EP76,MIN(('計算（触らない）'!$V76+8),102)))-INDEX('計算（触らない）'!$AS76:$EP76,MIN(('計算（触らない）'!$V76+8),101)+1))*'計算（触らない）'!$N76,6)+'計算（触らない）'!$B$4)))</f>
        <v/>
      </c>
      <c r="M76" s="52">
        <f>IF('計算（触らない）'!$U76=0,"",IF(('計算（触らない）'!$V76+9)&lt;0,"",INT(ROUND((IF(('計算（触らない）'!$V76+9)=0,'計算（触らない）'!$C76,INDEX('計算（触らない）'!$AS76:$EP76,MIN(('計算（触らない）'!$V76+9),102)))-INDEX('計算（触らない）'!$AS76:$EP76,MIN(('計算（触らない）'!$V76+9),101)+1))*'計算（触らない）'!$N76,6)+'計算（触らない）'!$B$4)))</f>
        <v/>
      </c>
      <c r="N76" s="68" t="n"/>
      <c r="O76" s="52">
        <f>IF('計算（触らない）'!$U76=0,"",IF(('計算（触らない）'!$V76+0)&lt;0,"",IF(AND('計算（触らない）'!$F76&lt;=2,('計算（触らない）'!$V76+0)&gt;'計算（触らない）'!$R76),0,INDEX('計算（触らない）'!$AS76:$EP76,MIN(('計算（触らない）'!$V76+0),101)+1))))</f>
        <v/>
      </c>
      <c r="P76" s="52">
        <f>IF('計算（触らない）'!$U76=0,"",IF(('計算（触らない）'!$V76+1)&lt;0,"",IF(AND('計算（触らない）'!$F76&lt;=2,('計算（触らない）'!$V76+1)&gt;'計算（触らない）'!$R76),0,INDEX('計算（触らない）'!$AS76:$EP76,MIN(('計算（触らない）'!$V76+1),101)+1))))</f>
        <v/>
      </c>
      <c r="Q76" s="52">
        <f>IF('計算（触らない）'!$U76=0,"",IF(('計算（触らない）'!$V76+2)&lt;0,"",IF(AND('計算（触らない）'!$F76&lt;=2,('計算（触らない）'!$V76+2)&gt;'計算（触らない）'!$R76),0,INDEX('計算（触らない）'!$AS76:$EP76,MIN(('計算（触らない）'!$V76+2),101)+1))))</f>
        <v/>
      </c>
      <c r="R76" s="52">
        <f>IF('計算（触らない）'!$U76=0,"",IF(('計算（触らない）'!$V76+3)&lt;0,"",IF(AND('計算（触らない）'!$F76&lt;=2,('計算（触らない）'!$V76+3)&gt;'計算（触らない）'!$R76),0,INDEX('計算（触らない）'!$AS76:$EP76,MIN(('計算（触らない）'!$V76+3),101)+1))))</f>
        <v/>
      </c>
      <c r="S76" s="52">
        <f>IF('計算（触らない）'!$U76=0,"",IF(('計算（触らない）'!$V76+4)&lt;0,"",IF(AND('計算（触らない）'!$F76&lt;=2,('計算（触らない）'!$V76+4)&gt;'計算（触らない）'!$R76),0,INDEX('計算（触らない）'!$AS76:$EP76,MIN(('計算（触らない）'!$V76+4),101)+1))))</f>
        <v/>
      </c>
      <c r="T76" s="52">
        <f>IF('計算（触らない）'!$U76=0,"",IF(('計算（触らない）'!$V76+5)&lt;0,"",IF(AND('計算（触らない）'!$F76&lt;=2,('計算（触らない）'!$V76+5)&gt;'計算（触らない）'!$R76),0,INDEX('計算（触らない）'!$AS76:$EP76,MIN(('計算（触らない）'!$V76+5),101)+1))))</f>
        <v/>
      </c>
      <c r="U76" s="52">
        <f>IF('計算（触らない）'!$U76=0,"",IF(('計算（触らない）'!$V76+6)&lt;0,"",IF(AND('計算（触らない）'!$F76&lt;=2,('計算（触らない）'!$V76+6)&gt;'計算（触らない）'!$R76),0,INDEX('計算（触らない）'!$AS76:$EP76,MIN(('計算（触らない）'!$V76+6),101)+1))))</f>
        <v/>
      </c>
      <c r="V76" s="52">
        <f>IF('計算（触らない）'!$U76=0,"",IF(('計算（触らない）'!$V76+7)&lt;0,"",IF(AND('計算（触らない）'!$F76&lt;=2,('計算（触らない）'!$V76+7)&gt;'計算（触らない）'!$R76),0,INDEX('計算（触らない）'!$AS76:$EP76,MIN(('計算（触らない）'!$V76+7),101)+1))))</f>
        <v/>
      </c>
      <c r="W76" s="52">
        <f>IF('計算（触らない）'!$U76=0,"",IF(('計算（触らない）'!$V76+8)&lt;0,"",IF(AND('計算（触らない）'!$F76&lt;=2,('計算（触らない）'!$V76+8)&gt;'計算（触らない）'!$R76),0,INDEX('計算（触らない）'!$AS76:$EP76,MIN(('計算（触らない）'!$V76+8),101)+1))))</f>
        <v/>
      </c>
      <c r="X76" s="52">
        <f>IF('計算（触らない）'!$U76=0,"",IF(('計算（触らない）'!$V76+9)&lt;0,"",IF(AND('計算（触らない）'!$F76&lt;=2,('計算（触らない）'!$V76+9)&gt;'計算（触らない）'!$R76),0,INDEX('計算（触らない）'!$AS76:$EP76,MIN(('計算（触らない）'!$V76+9),101)+1))))</f>
        <v/>
      </c>
    </row>
    <row r="77" ht="17" customHeight="1">
      <c r="A77" s="21" t="n">
        <v>72</v>
      </c>
      <c r="B77" s="38">
        <f>IF('計算（触らない）'!$B77=0,"",'固定資産台帳'!$B77&amp;"")</f>
        <v/>
      </c>
      <c r="C77" s="38">
        <f>IF('計算（触らない）'!$B77=0,"",'固定資産台帳'!$H77&amp;"")</f>
        <v/>
      </c>
      <c r="D77" s="52">
        <f>IF('計算（触らない）'!$U77=0,"",IF(('計算（触らない）'!$V77+0)&lt;0,"",INT(ROUND((IF(('計算（触らない）'!$V77+0)=0,'計算（触らない）'!$C77,INDEX('計算（触らない）'!$AS77:$EP77,MIN(('計算（触らない）'!$V77+0),102)))-INDEX('計算（触らない）'!$AS77:$EP77,MIN(('計算（触らない）'!$V77+0),101)+1))*'計算（触らない）'!$N77,6)+'計算（触らない）'!$B$4)))</f>
        <v/>
      </c>
      <c r="E77" s="52">
        <f>IF('計算（触らない）'!$U77=0,"",IF(('計算（触らない）'!$V77+1)&lt;0,"",INT(ROUND((IF(('計算（触らない）'!$V77+1)=0,'計算（触らない）'!$C77,INDEX('計算（触らない）'!$AS77:$EP77,MIN(('計算（触らない）'!$V77+1),102)))-INDEX('計算（触らない）'!$AS77:$EP77,MIN(('計算（触らない）'!$V77+1),101)+1))*'計算（触らない）'!$N77,6)+'計算（触らない）'!$B$4)))</f>
        <v/>
      </c>
      <c r="F77" s="52">
        <f>IF('計算（触らない）'!$U77=0,"",IF(('計算（触らない）'!$V77+2)&lt;0,"",INT(ROUND((IF(('計算（触らない）'!$V77+2)=0,'計算（触らない）'!$C77,INDEX('計算（触らない）'!$AS77:$EP77,MIN(('計算（触らない）'!$V77+2),102)))-INDEX('計算（触らない）'!$AS77:$EP77,MIN(('計算（触らない）'!$V77+2),101)+1))*'計算（触らない）'!$N77,6)+'計算（触らない）'!$B$4)))</f>
        <v/>
      </c>
      <c r="G77" s="52">
        <f>IF('計算（触らない）'!$U77=0,"",IF(('計算（触らない）'!$V77+3)&lt;0,"",INT(ROUND((IF(('計算（触らない）'!$V77+3)=0,'計算（触らない）'!$C77,INDEX('計算（触らない）'!$AS77:$EP77,MIN(('計算（触らない）'!$V77+3),102)))-INDEX('計算（触らない）'!$AS77:$EP77,MIN(('計算（触らない）'!$V77+3),101)+1))*'計算（触らない）'!$N77,6)+'計算（触らない）'!$B$4)))</f>
        <v/>
      </c>
      <c r="H77" s="52">
        <f>IF('計算（触らない）'!$U77=0,"",IF(('計算（触らない）'!$V77+4)&lt;0,"",INT(ROUND((IF(('計算（触らない）'!$V77+4)=0,'計算（触らない）'!$C77,INDEX('計算（触らない）'!$AS77:$EP77,MIN(('計算（触らない）'!$V77+4),102)))-INDEX('計算（触らない）'!$AS77:$EP77,MIN(('計算（触らない）'!$V77+4),101)+1))*'計算（触らない）'!$N77,6)+'計算（触らない）'!$B$4)))</f>
        <v/>
      </c>
      <c r="I77" s="52">
        <f>IF('計算（触らない）'!$U77=0,"",IF(('計算（触らない）'!$V77+5)&lt;0,"",INT(ROUND((IF(('計算（触らない）'!$V77+5)=0,'計算（触らない）'!$C77,INDEX('計算（触らない）'!$AS77:$EP77,MIN(('計算（触らない）'!$V77+5),102)))-INDEX('計算（触らない）'!$AS77:$EP77,MIN(('計算（触らない）'!$V77+5),101)+1))*'計算（触らない）'!$N77,6)+'計算（触らない）'!$B$4)))</f>
        <v/>
      </c>
      <c r="J77" s="52">
        <f>IF('計算（触らない）'!$U77=0,"",IF(('計算（触らない）'!$V77+6)&lt;0,"",INT(ROUND((IF(('計算（触らない）'!$V77+6)=0,'計算（触らない）'!$C77,INDEX('計算（触らない）'!$AS77:$EP77,MIN(('計算（触らない）'!$V77+6),102)))-INDEX('計算（触らない）'!$AS77:$EP77,MIN(('計算（触らない）'!$V77+6),101)+1))*'計算（触らない）'!$N77,6)+'計算（触らない）'!$B$4)))</f>
        <v/>
      </c>
      <c r="K77" s="52">
        <f>IF('計算（触らない）'!$U77=0,"",IF(('計算（触らない）'!$V77+7)&lt;0,"",INT(ROUND((IF(('計算（触らない）'!$V77+7)=0,'計算（触らない）'!$C77,INDEX('計算（触らない）'!$AS77:$EP77,MIN(('計算（触らない）'!$V77+7),102)))-INDEX('計算（触らない）'!$AS77:$EP77,MIN(('計算（触らない）'!$V77+7),101)+1))*'計算（触らない）'!$N77,6)+'計算（触らない）'!$B$4)))</f>
        <v/>
      </c>
      <c r="L77" s="52">
        <f>IF('計算（触らない）'!$U77=0,"",IF(('計算（触らない）'!$V77+8)&lt;0,"",INT(ROUND((IF(('計算（触らない）'!$V77+8)=0,'計算（触らない）'!$C77,INDEX('計算（触らない）'!$AS77:$EP77,MIN(('計算（触らない）'!$V77+8),102)))-INDEX('計算（触らない）'!$AS77:$EP77,MIN(('計算（触らない）'!$V77+8),101)+1))*'計算（触らない）'!$N77,6)+'計算（触らない）'!$B$4)))</f>
        <v/>
      </c>
      <c r="M77" s="52">
        <f>IF('計算（触らない）'!$U77=0,"",IF(('計算（触らない）'!$V77+9)&lt;0,"",INT(ROUND((IF(('計算（触らない）'!$V77+9)=0,'計算（触らない）'!$C77,INDEX('計算（触らない）'!$AS77:$EP77,MIN(('計算（触らない）'!$V77+9),102)))-INDEX('計算（触らない）'!$AS77:$EP77,MIN(('計算（触らない）'!$V77+9),101)+1))*'計算（触らない）'!$N77,6)+'計算（触らない）'!$B$4)))</f>
        <v/>
      </c>
      <c r="N77" s="68" t="n"/>
      <c r="O77" s="52">
        <f>IF('計算（触らない）'!$U77=0,"",IF(('計算（触らない）'!$V77+0)&lt;0,"",IF(AND('計算（触らない）'!$F77&lt;=2,('計算（触らない）'!$V77+0)&gt;'計算（触らない）'!$R77),0,INDEX('計算（触らない）'!$AS77:$EP77,MIN(('計算（触らない）'!$V77+0),101)+1))))</f>
        <v/>
      </c>
      <c r="P77" s="52">
        <f>IF('計算（触らない）'!$U77=0,"",IF(('計算（触らない）'!$V77+1)&lt;0,"",IF(AND('計算（触らない）'!$F77&lt;=2,('計算（触らない）'!$V77+1)&gt;'計算（触らない）'!$R77),0,INDEX('計算（触らない）'!$AS77:$EP77,MIN(('計算（触らない）'!$V77+1),101)+1))))</f>
        <v/>
      </c>
      <c r="Q77" s="52">
        <f>IF('計算（触らない）'!$U77=0,"",IF(('計算（触らない）'!$V77+2)&lt;0,"",IF(AND('計算（触らない）'!$F77&lt;=2,('計算（触らない）'!$V77+2)&gt;'計算（触らない）'!$R77),0,INDEX('計算（触らない）'!$AS77:$EP77,MIN(('計算（触らない）'!$V77+2),101)+1))))</f>
        <v/>
      </c>
      <c r="R77" s="52">
        <f>IF('計算（触らない）'!$U77=0,"",IF(('計算（触らない）'!$V77+3)&lt;0,"",IF(AND('計算（触らない）'!$F77&lt;=2,('計算（触らない）'!$V77+3)&gt;'計算（触らない）'!$R77),0,INDEX('計算（触らない）'!$AS77:$EP77,MIN(('計算（触らない）'!$V77+3),101)+1))))</f>
        <v/>
      </c>
      <c r="S77" s="52">
        <f>IF('計算（触らない）'!$U77=0,"",IF(('計算（触らない）'!$V77+4)&lt;0,"",IF(AND('計算（触らない）'!$F77&lt;=2,('計算（触らない）'!$V77+4)&gt;'計算（触らない）'!$R77),0,INDEX('計算（触らない）'!$AS77:$EP77,MIN(('計算（触らない）'!$V77+4),101)+1))))</f>
        <v/>
      </c>
      <c r="T77" s="52">
        <f>IF('計算（触らない）'!$U77=0,"",IF(('計算（触らない）'!$V77+5)&lt;0,"",IF(AND('計算（触らない）'!$F77&lt;=2,('計算（触らない）'!$V77+5)&gt;'計算（触らない）'!$R77),0,INDEX('計算（触らない）'!$AS77:$EP77,MIN(('計算（触らない）'!$V77+5),101)+1))))</f>
        <v/>
      </c>
      <c r="U77" s="52">
        <f>IF('計算（触らない）'!$U77=0,"",IF(('計算（触らない）'!$V77+6)&lt;0,"",IF(AND('計算（触らない）'!$F77&lt;=2,('計算（触らない）'!$V77+6)&gt;'計算（触らない）'!$R77),0,INDEX('計算（触らない）'!$AS77:$EP77,MIN(('計算（触らない）'!$V77+6),101)+1))))</f>
        <v/>
      </c>
      <c r="V77" s="52">
        <f>IF('計算（触らない）'!$U77=0,"",IF(('計算（触らない）'!$V77+7)&lt;0,"",IF(AND('計算（触らない）'!$F77&lt;=2,('計算（触らない）'!$V77+7)&gt;'計算（触らない）'!$R77),0,INDEX('計算（触らない）'!$AS77:$EP77,MIN(('計算（触らない）'!$V77+7),101)+1))))</f>
        <v/>
      </c>
      <c r="W77" s="52">
        <f>IF('計算（触らない）'!$U77=0,"",IF(('計算（触らない）'!$V77+8)&lt;0,"",IF(AND('計算（触らない）'!$F77&lt;=2,('計算（触らない）'!$V77+8)&gt;'計算（触らない）'!$R77),0,INDEX('計算（触らない）'!$AS77:$EP77,MIN(('計算（触らない）'!$V77+8),101)+1))))</f>
        <v/>
      </c>
      <c r="X77" s="52">
        <f>IF('計算（触らない）'!$U77=0,"",IF(('計算（触らない）'!$V77+9)&lt;0,"",IF(AND('計算（触らない）'!$F77&lt;=2,('計算（触らない）'!$V77+9)&gt;'計算（触らない）'!$R77),0,INDEX('計算（触らない）'!$AS77:$EP77,MIN(('計算（触らない）'!$V77+9),101)+1))))</f>
        <v/>
      </c>
    </row>
    <row r="78" ht="17" customHeight="1">
      <c r="A78" s="21" t="n">
        <v>73</v>
      </c>
      <c r="B78" s="38">
        <f>IF('計算（触らない）'!$B78=0,"",'固定資産台帳'!$B78&amp;"")</f>
        <v/>
      </c>
      <c r="C78" s="38">
        <f>IF('計算（触らない）'!$B78=0,"",'固定資産台帳'!$H78&amp;"")</f>
        <v/>
      </c>
      <c r="D78" s="52">
        <f>IF('計算（触らない）'!$U78=0,"",IF(('計算（触らない）'!$V78+0)&lt;0,"",INT(ROUND((IF(('計算（触らない）'!$V78+0)=0,'計算（触らない）'!$C78,INDEX('計算（触らない）'!$AS78:$EP78,MIN(('計算（触らない）'!$V78+0),102)))-INDEX('計算（触らない）'!$AS78:$EP78,MIN(('計算（触らない）'!$V78+0),101)+1))*'計算（触らない）'!$N78,6)+'計算（触らない）'!$B$4)))</f>
        <v/>
      </c>
      <c r="E78" s="52">
        <f>IF('計算（触らない）'!$U78=0,"",IF(('計算（触らない）'!$V78+1)&lt;0,"",INT(ROUND((IF(('計算（触らない）'!$V78+1)=0,'計算（触らない）'!$C78,INDEX('計算（触らない）'!$AS78:$EP78,MIN(('計算（触らない）'!$V78+1),102)))-INDEX('計算（触らない）'!$AS78:$EP78,MIN(('計算（触らない）'!$V78+1),101)+1))*'計算（触らない）'!$N78,6)+'計算（触らない）'!$B$4)))</f>
        <v/>
      </c>
      <c r="F78" s="52">
        <f>IF('計算（触らない）'!$U78=0,"",IF(('計算（触らない）'!$V78+2)&lt;0,"",INT(ROUND((IF(('計算（触らない）'!$V78+2)=0,'計算（触らない）'!$C78,INDEX('計算（触らない）'!$AS78:$EP78,MIN(('計算（触らない）'!$V78+2),102)))-INDEX('計算（触らない）'!$AS78:$EP78,MIN(('計算（触らない）'!$V78+2),101)+1))*'計算（触らない）'!$N78,6)+'計算（触らない）'!$B$4)))</f>
        <v/>
      </c>
      <c r="G78" s="52">
        <f>IF('計算（触らない）'!$U78=0,"",IF(('計算（触らない）'!$V78+3)&lt;0,"",INT(ROUND((IF(('計算（触らない）'!$V78+3)=0,'計算（触らない）'!$C78,INDEX('計算（触らない）'!$AS78:$EP78,MIN(('計算（触らない）'!$V78+3),102)))-INDEX('計算（触らない）'!$AS78:$EP78,MIN(('計算（触らない）'!$V78+3),101)+1))*'計算（触らない）'!$N78,6)+'計算（触らない）'!$B$4)))</f>
        <v/>
      </c>
      <c r="H78" s="52">
        <f>IF('計算（触らない）'!$U78=0,"",IF(('計算（触らない）'!$V78+4)&lt;0,"",INT(ROUND((IF(('計算（触らない）'!$V78+4)=0,'計算（触らない）'!$C78,INDEX('計算（触らない）'!$AS78:$EP78,MIN(('計算（触らない）'!$V78+4),102)))-INDEX('計算（触らない）'!$AS78:$EP78,MIN(('計算（触らない）'!$V78+4),101)+1))*'計算（触らない）'!$N78,6)+'計算（触らない）'!$B$4)))</f>
        <v/>
      </c>
      <c r="I78" s="52">
        <f>IF('計算（触らない）'!$U78=0,"",IF(('計算（触らない）'!$V78+5)&lt;0,"",INT(ROUND((IF(('計算（触らない）'!$V78+5)=0,'計算（触らない）'!$C78,INDEX('計算（触らない）'!$AS78:$EP78,MIN(('計算（触らない）'!$V78+5),102)))-INDEX('計算（触らない）'!$AS78:$EP78,MIN(('計算（触らない）'!$V78+5),101)+1))*'計算（触らない）'!$N78,6)+'計算（触らない）'!$B$4)))</f>
        <v/>
      </c>
      <c r="J78" s="52">
        <f>IF('計算（触らない）'!$U78=0,"",IF(('計算（触らない）'!$V78+6)&lt;0,"",INT(ROUND((IF(('計算（触らない）'!$V78+6)=0,'計算（触らない）'!$C78,INDEX('計算（触らない）'!$AS78:$EP78,MIN(('計算（触らない）'!$V78+6),102)))-INDEX('計算（触らない）'!$AS78:$EP78,MIN(('計算（触らない）'!$V78+6),101)+1))*'計算（触らない）'!$N78,6)+'計算（触らない）'!$B$4)))</f>
        <v/>
      </c>
      <c r="K78" s="52">
        <f>IF('計算（触らない）'!$U78=0,"",IF(('計算（触らない）'!$V78+7)&lt;0,"",INT(ROUND((IF(('計算（触らない）'!$V78+7)=0,'計算（触らない）'!$C78,INDEX('計算（触らない）'!$AS78:$EP78,MIN(('計算（触らない）'!$V78+7),102)))-INDEX('計算（触らない）'!$AS78:$EP78,MIN(('計算（触らない）'!$V78+7),101)+1))*'計算（触らない）'!$N78,6)+'計算（触らない）'!$B$4)))</f>
        <v/>
      </c>
      <c r="L78" s="52">
        <f>IF('計算（触らない）'!$U78=0,"",IF(('計算（触らない）'!$V78+8)&lt;0,"",INT(ROUND((IF(('計算（触らない）'!$V78+8)=0,'計算（触らない）'!$C78,INDEX('計算（触らない）'!$AS78:$EP78,MIN(('計算（触らない）'!$V78+8),102)))-INDEX('計算（触らない）'!$AS78:$EP78,MIN(('計算（触らない）'!$V78+8),101)+1))*'計算（触らない）'!$N78,6)+'計算（触らない）'!$B$4)))</f>
        <v/>
      </c>
      <c r="M78" s="52">
        <f>IF('計算（触らない）'!$U78=0,"",IF(('計算（触らない）'!$V78+9)&lt;0,"",INT(ROUND((IF(('計算（触らない）'!$V78+9)=0,'計算（触らない）'!$C78,INDEX('計算（触らない）'!$AS78:$EP78,MIN(('計算（触らない）'!$V78+9),102)))-INDEX('計算（触らない）'!$AS78:$EP78,MIN(('計算（触らない）'!$V78+9),101)+1))*'計算（触らない）'!$N78,6)+'計算（触らない）'!$B$4)))</f>
        <v/>
      </c>
      <c r="N78" s="68" t="n"/>
      <c r="O78" s="52">
        <f>IF('計算（触らない）'!$U78=0,"",IF(('計算（触らない）'!$V78+0)&lt;0,"",IF(AND('計算（触らない）'!$F78&lt;=2,('計算（触らない）'!$V78+0)&gt;'計算（触らない）'!$R78),0,INDEX('計算（触らない）'!$AS78:$EP78,MIN(('計算（触らない）'!$V78+0),101)+1))))</f>
        <v/>
      </c>
      <c r="P78" s="52">
        <f>IF('計算（触らない）'!$U78=0,"",IF(('計算（触らない）'!$V78+1)&lt;0,"",IF(AND('計算（触らない）'!$F78&lt;=2,('計算（触らない）'!$V78+1)&gt;'計算（触らない）'!$R78),0,INDEX('計算（触らない）'!$AS78:$EP78,MIN(('計算（触らない）'!$V78+1),101)+1))))</f>
        <v/>
      </c>
      <c r="Q78" s="52">
        <f>IF('計算（触らない）'!$U78=0,"",IF(('計算（触らない）'!$V78+2)&lt;0,"",IF(AND('計算（触らない）'!$F78&lt;=2,('計算（触らない）'!$V78+2)&gt;'計算（触らない）'!$R78),0,INDEX('計算（触らない）'!$AS78:$EP78,MIN(('計算（触らない）'!$V78+2),101)+1))))</f>
        <v/>
      </c>
      <c r="R78" s="52">
        <f>IF('計算（触らない）'!$U78=0,"",IF(('計算（触らない）'!$V78+3)&lt;0,"",IF(AND('計算（触らない）'!$F78&lt;=2,('計算（触らない）'!$V78+3)&gt;'計算（触らない）'!$R78),0,INDEX('計算（触らない）'!$AS78:$EP78,MIN(('計算（触らない）'!$V78+3),101)+1))))</f>
        <v/>
      </c>
      <c r="S78" s="52">
        <f>IF('計算（触らない）'!$U78=0,"",IF(('計算（触らない）'!$V78+4)&lt;0,"",IF(AND('計算（触らない）'!$F78&lt;=2,('計算（触らない）'!$V78+4)&gt;'計算（触らない）'!$R78),0,INDEX('計算（触らない）'!$AS78:$EP78,MIN(('計算（触らない）'!$V78+4),101)+1))))</f>
        <v/>
      </c>
      <c r="T78" s="52">
        <f>IF('計算（触らない）'!$U78=0,"",IF(('計算（触らない）'!$V78+5)&lt;0,"",IF(AND('計算（触らない）'!$F78&lt;=2,('計算（触らない）'!$V78+5)&gt;'計算（触らない）'!$R78),0,INDEX('計算（触らない）'!$AS78:$EP78,MIN(('計算（触らない）'!$V78+5),101)+1))))</f>
        <v/>
      </c>
      <c r="U78" s="52">
        <f>IF('計算（触らない）'!$U78=0,"",IF(('計算（触らない）'!$V78+6)&lt;0,"",IF(AND('計算（触らない）'!$F78&lt;=2,('計算（触らない）'!$V78+6)&gt;'計算（触らない）'!$R78),0,INDEX('計算（触らない）'!$AS78:$EP78,MIN(('計算（触らない）'!$V78+6),101)+1))))</f>
        <v/>
      </c>
      <c r="V78" s="52">
        <f>IF('計算（触らない）'!$U78=0,"",IF(('計算（触らない）'!$V78+7)&lt;0,"",IF(AND('計算（触らない）'!$F78&lt;=2,('計算（触らない）'!$V78+7)&gt;'計算（触らない）'!$R78),0,INDEX('計算（触らない）'!$AS78:$EP78,MIN(('計算（触らない）'!$V78+7),101)+1))))</f>
        <v/>
      </c>
      <c r="W78" s="52">
        <f>IF('計算（触らない）'!$U78=0,"",IF(('計算（触らない）'!$V78+8)&lt;0,"",IF(AND('計算（触らない）'!$F78&lt;=2,('計算（触らない）'!$V78+8)&gt;'計算（触らない）'!$R78),0,INDEX('計算（触らない）'!$AS78:$EP78,MIN(('計算（触らない）'!$V78+8),101)+1))))</f>
        <v/>
      </c>
      <c r="X78" s="52">
        <f>IF('計算（触らない）'!$U78=0,"",IF(('計算（触らない）'!$V78+9)&lt;0,"",IF(AND('計算（触らない）'!$F78&lt;=2,('計算（触らない）'!$V78+9)&gt;'計算（触らない）'!$R78),0,INDEX('計算（触らない）'!$AS78:$EP78,MIN(('計算（触らない）'!$V78+9),101)+1))))</f>
        <v/>
      </c>
    </row>
    <row r="79" ht="17" customHeight="1">
      <c r="A79" s="21" t="n">
        <v>74</v>
      </c>
      <c r="B79" s="38">
        <f>IF('計算（触らない）'!$B79=0,"",'固定資産台帳'!$B79&amp;"")</f>
        <v/>
      </c>
      <c r="C79" s="38">
        <f>IF('計算（触らない）'!$B79=0,"",'固定資産台帳'!$H79&amp;"")</f>
        <v/>
      </c>
      <c r="D79" s="52">
        <f>IF('計算（触らない）'!$U79=0,"",IF(('計算（触らない）'!$V79+0)&lt;0,"",INT(ROUND((IF(('計算（触らない）'!$V79+0)=0,'計算（触らない）'!$C79,INDEX('計算（触らない）'!$AS79:$EP79,MIN(('計算（触らない）'!$V79+0),102)))-INDEX('計算（触らない）'!$AS79:$EP79,MIN(('計算（触らない）'!$V79+0),101)+1))*'計算（触らない）'!$N79,6)+'計算（触らない）'!$B$4)))</f>
        <v/>
      </c>
      <c r="E79" s="52">
        <f>IF('計算（触らない）'!$U79=0,"",IF(('計算（触らない）'!$V79+1)&lt;0,"",INT(ROUND((IF(('計算（触らない）'!$V79+1)=0,'計算（触らない）'!$C79,INDEX('計算（触らない）'!$AS79:$EP79,MIN(('計算（触らない）'!$V79+1),102)))-INDEX('計算（触らない）'!$AS79:$EP79,MIN(('計算（触らない）'!$V79+1),101)+1))*'計算（触らない）'!$N79,6)+'計算（触らない）'!$B$4)))</f>
        <v/>
      </c>
      <c r="F79" s="52">
        <f>IF('計算（触らない）'!$U79=0,"",IF(('計算（触らない）'!$V79+2)&lt;0,"",INT(ROUND((IF(('計算（触らない）'!$V79+2)=0,'計算（触らない）'!$C79,INDEX('計算（触らない）'!$AS79:$EP79,MIN(('計算（触らない）'!$V79+2),102)))-INDEX('計算（触らない）'!$AS79:$EP79,MIN(('計算（触らない）'!$V79+2),101)+1))*'計算（触らない）'!$N79,6)+'計算（触らない）'!$B$4)))</f>
        <v/>
      </c>
      <c r="G79" s="52">
        <f>IF('計算（触らない）'!$U79=0,"",IF(('計算（触らない）'!$V79+3)&lt;0,"",INT(ROUND((IF(('計算（触らない）'!$V79+3)=0,'計算（触らない）'!$C79,INDEX('計算（触らない）'!$AS79:$EP79,MIN(('計算（触らない）'!$V79+3),102)))-INDEX('計算（触らない）'!$AS79:$EP79,MIN(('計算（触らない）'!$V79+3),101)+1))*'計算（触らない）'!$N79,6)+'計算（触らない）'!$B$4)))</f>
        <v/>
      </c>
      <c r="H79" s="52">
        <f>IF('計算（触らない）'!$U79=0,"",IF(('計算（触らない）'!$V79+4)&lt;0,"",INT(ROUND((IF(('計算（触らない）'!$V79+4)=0,'計算（触らない）'!$C79,INDEX('計算（触らない）'!$AS79:$EP79,MIN(('計算（触らない）'!$V79+4),102)))-INDEX('計算（触らない）'!$AS79:$EP79,MIN(('計算（触らない）'!$V79+4),101)+1))*'計算（触らない）'!$N79,6)+'計算（触らない）'!$B$4)))</f>
        <v/>
      </c>
      <c r="I79" s="52">
        <f>IF('計算（触らない）'!$U79=0,"",IF(('計算（触らない）'!$V79+5)&lt;0,"",INT(ROUND((IF(('計算（触らない）'!$V79+5)=0,'計算（触らない）'!$C79,INDEX('計算（触らない）'!$AS79:$EP79,MIN(('計算（触らない）'!$V79+5),102)))-INDEX('計算（触らない）'!$AS79:$EP79,MIN(('計算（触らない）'!$V79+5),101)+1))*'計算（触らない）'!$N79,6)+'計算（触らない）'!$B$4)))</f>
        <v/>
      </c>
      <c r="J79" s="52">
        <f>IF('計算（触らない）'!$U79=0,"",IF(('計算（触らない）'!$V79+6)&lt;0,"",INT(ROUND((IF(('計算（触らない）'!$V79+6)=0,'計算（触らない）'!$C79,INDEX('計算（触らない）'!$AS79:$EP79,MIN(('計算（触らない）'!$V79+6),102)))-INDEX('計算（触らない）'!$AS79:$EP79,MIN(('計算（触らない）'!$V79+6),101)+1))*'計算（触らない）'!$N79,6)+'計算（触らない）'!$B$4)))</f>
        <v/>
      </c>
      <c r="K79" s="52">
        <f>IF('計算（触らない）'!$U79=0,"",IF(('計算（触らない）'!$V79+7)&lt;0,"",INT(ROUND((IF(('計算（触らない）'!$V79+7)=0,'計算（触らない）'!$C79,INDEX('計算（触らない）'!$AS79:$EP79,MIN(('計算（触らない）'!$V79+7),102)))-INDEX('計算（触らない）'!$AS79:$EP79,MIN(('計算（触らない）'!$V79+7),101)+1))*'計算（触らない）'!$N79,6)+'計算（触らない）'!$B$4)))</f>
        <v/>
      </c>
      <c r="L79" s="52">
        <f>IF('計算（触らない）'!$U79=0,"",IF(('計算（触らない）'!$V79+8)&lt;0,"",INT(ROUND((IF(('計算（触らない）'!$V79+8)=0,'計算（触らない）'!$C79,INDEX('計算（触らない）'!$AS79:$EP79,MIN(('計算（触らない）'!$V79+8),102)))-INDEX('計算（触らない）'!$AS79:$EP79,MIN(('計算（触らない）'!$V79+8),101)+1))*'計算（触らない）'!$N79,6)+'計算（触らない）'!$B$4)))</f>
        <v/>
      </c>
      <c r="M79" s="52">
        <f>IF('計算（触らない）'!$U79=0,"",IF(('計算（触らない）'!$V79+9)&lt;0,"",INT(ROUND((IF(('計算（触らない）'!$V79+9)=0,'計算（触らない）'!$C79,INDEX('計算（触らない）'!$AS79:$EP79,MIN(('計算（触らない）'!$V79+9),102)))-INDEX('計算（触らない）'!$AS79:$EP79,MIN(('計算（触らない）'!$V79+9),101)+1))*'計算（触らない）'!$N79,6)+'計算（触らない）'!$B$4)))</f>
        <v/>
      </c>
      <c r="N79" s="68" t="n"/>
      <c r="O79" s="52">
        <f>IF('計算（触らない）'!$U79=0,"",IF(('計算（触らない）'!$V79+0)&lt;0,"",IF(AND('計算（触らない）'!$F79&lt;=2,('計算（触らない）'!$V79+0)&gt;'計算（触らない）'!$R79),0,INDEX('計算（触らない）'!$AS79:$EP79,MIN(('計算（触らない）'!$V79+0),101)+1))))</f>
        <v/>
      </c>
      <c r="P79" s="52">
        <f>IF('計算（触らない）'!$U79=0,"",IF(('計算（触らない）'!$V79+1)&lt;0,"",IF(AND('計算（触らない）'!$F79&lt;=2,('計算（触らない）'!$V79+1)&gt;'計算（触らない）'!$R79),0,INDEX('計算（触らない）'!$AS79:$EP79,MIN(('計算（触らない）'!$V79+1),101)+1))))</f>
        <v/>
      </c>
      <c r="Q79" s="52">
        <f>IF('計算（触らない）'!$U79=0,"",IF(('計算（触らない）'!$V79+2)&lt;0,"",IF(AND('計算（触らない）'!$F79&lt;=2,('計算（触らない）'!$V79+2)&gt;'計算（触らない）'!$R79),0,INDEX('計算（触らない）'!$AS79:$EP79,MIN(('計算（触らない）'!$V79+2),101)+1))))</f>
        <v/>
      </c>
      <c r="R79" s="52">
        <f>IF('計算（触らない）'!$U79=0,"",IF(('計算（触らない）'!$V79+3)&lt;0,"",IF(AND('計算（触らない）'!$F79&lt;=2,('計算（触らない）'!$V79+3)&gt;'計算（触らない）'!$R79),0,INDEX('計算（触らない）'!$AS79:$EP79,MIN(('計算（触らない）'!$V79+3),101)+1))))</f>
        <v/>
      </c>
      <c r="S79" s="52">
        <f>IF('計算（触らない）'!$U79=0,"",IF(('計算（触らない）'!$V79+4)&lt;0,"",IF(AND('計算（触らない）'!$F79&lt;=2,('計算（触らない）'!$V79+4)&gt;'計算（触らない）'!$R79),0,INDEX('計算（触らない）'!$AS79:$EP79,MIN(('計算（触らない）'!$V79+4),101)+1))))</f>
        <v/>
      </c>
      <c r="T79" s="52">
        <f>IF('計算（触らない）'!$U79=0,"",IF(('計算（触らない）'!$V79+5)&lt;0,"",IF(AND('計算（触らない）'!$F79&lt;=2,('計算（触らない）'!$V79+5)&gt;'計算（触らない）'!$R79),0,INDEX('計算（触らない）'!$AS79:$EP79,MIN(('計算（触らない）'!$V79+5),101)+1))))</f>
        <v/>
      </c>
      <c r="U79" s="52">
        <f>IF('計算（触らない）'!$U79=0,"",IF(('計算（触らない）'!$V79+6)&lt;0,"",IF(AND('計算（触らない）'!$F79&lt;=2,('計算（触らない）'!$V79+6)&gt;'計算（触らない）'!$R79),0,INDEX('計算（触らない）'!$AS79:$EP79,MIN(('計算（触らない）'!$V79+6),101)+1))))</f>
        <v/>
      </c>
      <c r="V79" s="52">
        <f>IF('計算（触らない）'!$U79=0,"",IF(('計算（触らない）'!$V79+7)&lt;0,"",IF(AND('計算（触らない）'!$F79&lt;=2,('計算（触らない）'!$V79+7)&gt;'計算（触らない）'!$R79),0,INDEX('計算（触らない）'!$AS79:$EP79,MIN(('計算（触らない）'!$V79+7),101)+1))))</f>
        <v/>
      </c>
      <c r="W79" s="52">
        <f>IF('計算（触らない）'!$U79=0,"",IF(('計算（触らない）'!$V79+8)&lt;0,"",IF(AND('計算（触らない）'!$F79&lt;=2,('計算（触らない）'!$V79+8)&gt;'計算（触らない）'!$R79),0,INDEX('計算（触らない）'!$AS79:$EP79,MIN(('計算（触らない）'!$V79+8),101)+1))))</f>
        <v/>
      </c>
      <c r="X79" s="52">
        <f>IF('計算（触らない）'!$U79=0,"",IF(('計算（触らない）'!$V79+9)&lt;0,"",IF(AND('計算（触らない）'!$F79&lt;=2,('計算（触らない）'!$V79+9)&gt;'計算（触らない）'!$R79),0,INDEX('計算（触らない）'!$AS79:$EP79,MIN(('計算（触らない）'!$V79+9),101)+1))))</f>
        <v/>
      </c>
    </row>
    <row r="80" ht="17" customHeight="1">
      <c r="A80" s="21" t="n">
        <v>75</v>
      </c>
      <c r="B80" s="38">
        <f>IF('計算（触らない）'!$B80=0,"",'固定資産台帳'!$B80&amp;"")</f>
        <v/>
      </c>
      <c r="C80" s="38">
        <f>IF('計算（触らない）'!$B80=0,"",'固定資産台帳'!$H80&amp;"")</f>
        <v/>
      </c>
      <c r="D80" s="52">
        <f>IF('計算（触らない）'!$U80=0,"",IF(('計算（触らない）'!$V80+0)&lt;0,"",INT(ROUND((IF(('計算（触らない）'!$V80+0)=0,'計算（触らない）'!$C80,INDEX('計算（触らない）'!$AS80:$EP80,MIN(('計算（触らない）'!$V80+0),102)))-INDEX('計算（触らない）'!$AS80:$EP80,MIN(('計算（触らない）'!$V80+0),101)+1))*'計算（触らない）'!$N80,6)+'計算（触らない）'!$B$4)))</f>
        <v/>
      </c>
      <c r="E80" s="52">
        <f>IF('計算（触らない）'!$U80=0,"",IF(('計算（触らない）'!$V80+1)&lt;0,"",INT(ROUND((IF(('計算（触らない）'!$V80+1)=0,'計算（触らない）'!$C80,INDEX('計算（触らない）'!$AS80:$EP80,MIN(('計算（触らない）'!$V80+1),102)))-INDEX('計算（触らない）'!$AS80:$EP80,MIN(('計算（触らない）'!$V80+1),101)+1))*'計算（触らない）'!$N80,6)+'計算（触らない）'!$B$4)))</f>
        <v/>
      </c>
      <c r="F80" s="52">
        <f>IF('計算（触らない）'!$U80=0,"",IF(('計算（触らない）'!$V80+2)&lt;0,"",INT(ROUND((IF(('計算（触らない）'!$V80+2)=0,'計算（触らない）'!$C80,INDEX('計算（触らない）'!$AS80:$EP80,MIN(('計算（触らない）'!$V80+2),102)))-INDEX('計算（触らない）'!$AS80:$EP80,MIN(('計算（触らない）'!$V80+2),101)+1))*'計算（触らない）'!$N80,6)+'計算（触らない）'!$B$4)))</f>
        <v/>
      </c>
      <c r="G80" s="52">
        <f>IF('計算（触らない）'!$U80=0,"",IF(('計算（触らない）'!$V80+3)&lt;0,"",INT(ROUND((IF(('計算（触らない）'!$V80+3)=0,'計算（触らない）'!$C80,INDEX('計算（触らない）'!$AS80:$EP80,MIN(('計算（触らない）'!$V80+3),102)))-INDEX('計算（触らない）'!$AS80:$EP80,MIN(('計算（触らない）'!$V80+3),101)+1))*'計算（触らない）'!$N80,6)+'計算（触らない）'!$B$4)))</f>
        <v/>
      </c>
      <c r="H80" s="52">
        <f>IF('計算（触らない）'!$U80=0,"",IF(('計算（触らない）'!$V80+4)&lt;0,"",INT(ROUND((IF(('計算（触らない）'!$V80+4)=0,'計算（触らない）'!$C80,INDEX('計算（触らない）'!$AS80:$EP80,MIN(('計算（触らない）'!$V80+4),102)))-INDEX('計算（触らない）'!$AS80:$EP80,MIN(('計算（触らない）'!$V80+4),101)+1))*'計算（触らない）'!$N80,6)+'計算（触らない）'!$B$4)))</f>
        <v/>
      </c>
      <c r="I80" s="52">
        <f>IF('計算（触らない）'!$U80=0,"",IF(('計算（触らない）'!$V80+5)&lt;0,"",INT(ROUND((IF(('計算（触らない）'!$V80+5)=0,'計算（触らない）'!$C80,INDEX('計算（触らない）'!$AS80:$EP80,MIN(('計算（触らない）'!$V80+5),102)))-INDEX('計算（触らない）'!$AS80:$EP80,MIN(('計算（触らない）'!$V80+5),101)+1))*'計算（触らない）'!$N80,6)+'計算（触らない）'!$B$4)))</f>
        <v/>
      </c>
      <c r="J80" s="52">
        <f>IF('計算（触らない）'!$U80=0,"",IF(('計算（触らない）'!$V80+6)&lt;0,"",INT(ROUND((IF(('計算（触らない）'!$V80+6)=0,'計算（触らない）'!$C80,INDEX('計算（触らない）'!$AS80:$EP80,MIN(('計算（触らない）'!$V80+6),102)))-INDEX('計算（触らない）'!$AS80:$EP80,MIN(('計算（触らない）'!$V80+6),101)+1))*'計算（触らない）'!$N80,6)+'計算（触らない）'!$B$4)))</f>
        <v/>
      </c>
      <c r="K80" s="52">
        <f>IF('計算（触らない）'!$U80=0,"",IF(('計算（触らない）'!$V80+7)&lt;0,"",INT(ROUND((IF(('計算（触らない）'!$V80+7)=0,'計算（触らない）'!$C80,INDEX('計算（触らない）'!$AS80:$EP80,MIN(('計算（触らない）'!$V80+7),102)))-INDEX('計算（触らない）'!$AS80:$EP80,MIN(('計算（触らない）'!$V80+7),101)+1))*'計算（触らない）'!$N80,6)+'計算（触らない）'!$B$4)))</f>
        <v/>
      </c>
      <c r="L80" s="52">
        <f>IF('計算（触らない）'!$U80=0,"",IF(('計算（触らない）'!$V80+8)&lt;0,"",INT(ROUND((IF(('計算（触らない）'!$V80+8)=0,'計算（触らない）'!$C80,INDEX('計算（触らない）'!$AS80:$EP80,MIN(('計算（触らない）'!$V80+8),102)))-INDEX('計算（触らない）'!$AS80:$EP80,MIN(('計算（触らない）'!$V80+8),101)+1))*'計算（触らない）'!$N80,6)+'計算（触らない）'!$B$4)))</f>
        <v/>
      </c>
      <c r="M80" s="52">
        <f>IF('計算（触らない）'!$U80=0,"",IF(('計算（触らない）'!$V80+9)&lt;0,"",INT(ROUND((IF(('計算（触らない）'!$V80+9)=0,'計算（触らない）'!$C80,INDEX('計算（触らない）'!$AS80:$EP80,MIN(('計算（触らない）'!$V80+9),102)))-INDEX('計算（触らない）'!$AS80:$EP80,MIN(('計算（触らない）'!$V80+9),101)+1))*'計算（触らない）'!$N80,6)+'計算（触らない）'!$B$4)))</f>
        <v/>
      </c>
      <c r="N80" s="68" t="n"/>
      <c r="O80" s="52">
        <f>IF('計算（触らない）'!$U80=0,"",IF(('計算（触らない）'!$V80+0)&lt;0,"",IF(AND('計算（触らない）'!$F80&lt;=2,('計算（触らない）'!$V80+0)&gt;'計算（触らない）'!$R80),0,INDEX('計算（触らない）'!$AS80:$EP80,MIN(('計算（触らない）'!$V80+0),101)+1))))</f>
        <v/>
      </c>
      <c r="P80" s="52">
        <f>IF('計算（触らない）'!$U80=0,"",IF(('計算（触らない）'!$V80+1)&lt;0,"",IF(AND('計算（触らない）'!$F80&lt;=2,('計算（触らない）'!$V80+1)&gt;'計算（触らない）'!$R80),0,INDEX('計算（触らない）'!$AS80:$EP80,MIN(('計算（触らない）'!$V80+1),101)+1))))</f>
        <v/>
      </c>
      <c r="Q80" s="52">
        <f>IF('計算（触らない）'!$U80=0,"",IF(('計算（触らない）'!$V80+2)&lt;0,"",IF(AND('計算（触らない）'!$F80&lt;=2,('計算（触らない）'!$V80+2)&gt;'計算（触らない）'!$R80),0,INDEX('計算（触らない）'!$AS80:$EP80,MIN(('計算（触らない）'!$V80+2),101)+1))))</f>
        <v/>
      </c>
      <c r="R80" s="52">
        <f>IF('計算（触らない）'!$U80=0,"",IF(('計算（触らない）'!$V80+3)&lt;0,"",IF(AND('計算（触らない）'!$F80&lt;=2,('計算（触らない）'!$V80+3)&gt;'計算（触らない）'!$R80),0,INDEX('計算（触らない）'!$AS80:$EP80,MIN(('計算（触らない）'!$V80+3),101)+1))))</f>
        <v/>
      </c>
      <c r="S80" s="52">
        <f>IF('計算（触らない）'!$U80=0,"",IF(('計算（触らない）'!$V80+4)&lt;0,"",IF(AND('計算（触らない）'!$F80&lt;=2,('計算（触らない）'!$V80+4)&gt;'計算（触らない）'!$R80),0,INDEX('計算（触らない）'!$AS80:$EP80,MIN(('計算（触らない）'!$V80+4),101)+1))))</f>
        <v/>
      </c>
      <c r="T80" s="52">
        <f>IF('計算（触らない）'!$U80=0,"",IF(('計算（触らない）'!$V80+5)&lt;0,"",IF(AND('計算（触らない）'!$F80&lt;=2,('計算（触らない）'!$V80+5)&gt;'計算（触らない）'!$R80),0,INDEX('計算（触らない）'!$AS80:$EP80,MIN(('計算（触らない）'!$V80+5),101)+1))))</f>
        <v/>
      </c>
      <c r="U80" s="52">
        <f>IF('計算（触らない）'!$U80=0,"",IF(('計算（触らない）'!$V80+6)&lt;0,"",IF(AND('計算（触らない）'!$F80&lt;=2,('計算（触らない）'!$V80+6)&gt;'計算（触らない）'!$R80),0,INDEX('計算（触らない）'!$AS80:$EP80,MIN(('計算（触らない）'!$V80+6),101)+1))))</f>
        <v/>
      </c>
      <c r="V80" s="52">
        <f>IF('計算（触らない）'!$U80=0,"",IF(('計算（触らない）'!$V80+7)&lt;0,"",IF(AND('計算（触らない）'!$F80&lt;=2,('計算（触らない）'!$V80+7)&gt;'計算（触らない）'!$R80),0,INDEX('計算（触らない）'!$AS80:$EP80,MIN(('計算（触らない）'!$V80+7),101)+1))))</f>
        <v/>
      </c>
      <c r="W80" s="52">
        <f>IF('計算（触らない）'!$U80=0,"",IF(('計算（触らない）'!$V80+8)&lt;0,"",IF(AND('計算（触らない）'!$F80&lt;=2,('計算（触らない）'!$V80+8)&gt;'計算（触らない）'!$R80),0,INDEX('計算（触らない）'!$AS80:$EP80,MIN(('計算（触らない）'!$V80+8),101)+1))))</f>
        <v/>
      </c>
      <c r="X80" s="52">
        <f>IF('計算（触らない）'!$U80=0,"",IF(('計算（触らない）'!$V80+9)&lt;0,"",IF(AND('計算（触らない）'!$F80&lt;=2,('計算（触らない）'!$V80+9)&gt;'計算（触らない）'!$R80),0,INDEX('計算（触らない）'!$AS80:$EP80,MIN(('計算（触らない）'!$V80+9),101)+1))))</f>
        <v/>
      </c>
    </row>
    <row r="81" ht="17" customHeight="1">
      <c r="A81" s="21" t="n">
        <v>76</v>
      </c>
      <c r="B81" s="38">
        <f>IF('計算（触らない）'!$B81=0,"",'固定資産台帳'!$B81&amp;"")</f>
        <v/>
      </c>
      <c r="C81" s="38">
        <f>IF('計算（触らない）'!$B81=0,"",'固定資産台帳'!$H81&amp;"")</f>
        <v/>
      </c>
      <c r="D81" s="52">
        <f>IF('計算（触らない）'!$U81=0,"",IF(('計算（触らない）'!$V81+0)&lt;0,"",INT(ROUND((IF(('計算（触らない）'!$V81+0)=0,'計算（触らない）'!$C81,INDEX('計算（触らない）'!$AS81:$EP81,MIN(('計算（触らない）'!$V81+0),102)))-INDEX('計算（触らない）'!$AS81:$EP81,MIN(('計算（触らない）'!$V81+0),101)+1))*'計算（触らない）'!$N81,6)+'計算（触らない）'!$B$4)))</f>
        <v/>
      </c>
      <c r="E81" s="52">
        <f>IF('計算（触らない）'!$U81=0,"",IF(('計算（触らない）'!$V81+1)&lt;0,"",INT(ROUND((IF(('計算（触らない）'!$V81+1)=0,'計算（触らない）'!$C81,INDEX('計算（触らない）'!$AS81:$EP81,MIN(('計算（触らない）'!$V81+1),102)))-INDEX('計算（触らない）'!$AS81:$EP81,MIN(('計算（触らない）'!$V81+1),101)+1))*'計算（触らない）'!$N81,6)+'計算（触らない）'!$B$4)))</f>
        <v/>
      </c>
      <c r="F81" s="52">
        <f>IF('計算（触らない）'!$U81=0,"",IF(('計算（触らない）'!$V81+2)&lt;0,"",INT(ROUND((IF(('計算（触らない）'!$V81+2)=0,'計算（触らない）'!$C81,INDEX('計算（触らない）'!$AS81:$EP81,MIN(('計算（触らない）'!$V81+2),102)))-INDEX('計算（触らない）'!$AS81:$EP81,MIN(('計算（触らない）'!$V81+2),101)+1))*'計算（触らない）'!$N81,6)+'計算（触らない）'!$B$4)))</f>
        <v/>
      </c>
      <c r="G81" s="52">
        <f>IF('計算（触らない）'!$U81=0,"",IF(('計算（触らない）'!$V81+3)&lt;0,"",INT(ROUND((IF(('計算（触らない）'!$V81+3)=0,'計算（触らない）'!$C81,INDEX('計算（触らない）'!$AS81:$EP81,MIN(('計算（触らない）'!$V81+3),102)))-INDEX('計算（触らない）'!$AS81:$EP81,MIN(('計算（触らない）'!$V81+3),101)+1))*'計算（触らない）'!$N81,6)+'計算（触らない）'!$B$4)))</f>
        <v/>
      </c>
      <c r="H81" s="52">
        <f>IF('計算（触らない）'!$U81=0,"",IF(('計算（触らない）'!$V81+4)&lt;0,"",INT(ROUND((IF(('計算（触らない）'!$V81+4)=0,'計算（触らない）'!$C81,INDEX('計算（触らない）'!$AS81:$EP81,MIN(('計算（触らない）'!$V81+4),102)))-INDEX('計算（触らない）'!$AS81:$EP81,MIN(('計算（触らない）'!$V81+4),101)+1))*'計算（触らない）'!$N81,6)+'計算（触らない）'!$B$4)))</f>
        <v/>
      </c>
      <c r="I81" s="52">
        <f>IF('計算（触らない）'!$U81=0,"",IF(('計算（触らない）'!$V81+5)&lt;0,"",INT(ROUND((IF(('計算（触らない）'!$V81+5)=0,'計算（触らない）'!$C81,INDEX('計算（触らない）'!$AS81:$EP81,MIN(('計算（触らない）'!$V81+5),102)))-INDEX('計算（触らない）'!$AS81:$EP81,MIN(('計算（触らない）'!$V81+5),101)+1))*'計算（触らない）'!$N81,6)+'計算（触らない）'!$B$4)))</f>
        <v/>
      </c>
      <c r="J81" s="52">
        <f>IF('計算（触らない）'!$U81=0,"",IF(('計算（触らない）'!$V81+6)&lt;0,"",INT(ROUND((IF(('計算（触らない）'!$V81+6)=0,'計算（触らない）'!$C81,INDEX('計算（触らない）'!$AS81:$EP81,MIN(('計算（触らない）'!$V81+6),102)))-INDEX('計算（触らない）'!$AS81:$EP81,MIN(('計算（触らない）'!$V81+6),101)+1))*'計算（触らない）'!$N81,6)+'計算（触らない）'!$B$4)))</f>
        <v/>
      </c>
      <c r="K81" s="52">
        <f>IF('計算（触らない）'!$U81=0,"",IF(('計算（触らない）'!$V81+7)&lt;0,"",INT(ROUND((IF(('計算（触らない）'!$V81+7)=0,'計算（触らない）'!$C81,INDEX('計算（触らない）'!$AS81:$EP81,MIN(('計算（触らない）'!$V81+7),102)))-INDEX('計算（触らない）'!$AS81:$EP81,MIN(('計算（触らない）'!$V81+7),101)+1))*'計算（触らない）'!$N81,6)+'計算（触らない）'!$B$4)))</f>
        <v/>
      </c>
      <c r="L81" s="52">
        <f>IF('計算（触らない）'!$U81=0,"",IF(('計算（触らない）'!$V81+8)&lt;0,"",INT(ROUND((IF(('計算（触らない）'!$V81+8)=0,'計算（触らない）'!$C81,INDEX('計算（触らない）'!$AS81:$EP81,MIN(('計算（触らない）'!$V81+8),102)))-INDEX('計算（触らない）'!$AS81:$EP81,MIN(('計算（触らない）'!$V81+8),101)+1))*'計算（触らない）'!$N81,6)+'計算（触らない）'!$B$4)))</f>
        <v/>
      </c>
      <c r="M81" s="52">
        <f>IF('計算（触らない）'!$U81=0,"",IF(('計算（触らない）'!$V81+9)&lt;0,"",INT(ROUND((IF(('計算（触らない）'!$V81+9)=0,'計算（触らない）'!$C81,INDEX('計算（触らない）'!$AS81:$EP81,MIN(('計算（触らない）'!$V81+9),102)))-INDEX('計算（触らない）'!$AS81:$EP81,MIN(('計算（触らない）'!$V81+9),101)+1))*'計算（触らない）'!$N81,6)+'計算（触らない）'!$B$4)))</f>
        <v/>
      </c>
      <c r="N81" s="68" t="n"/>
      <c r="O81" s="52">
        <f>IF('計算（触らない）'!$U81=0,"",IF(('計算（触らない）'!$V81+0)&lt;0,"",IF(AND('計算（触らない）'!$F81&lt;=2,('計算（触らない）'!$V81+0)&gt;'計算（触らない）'!$R81),0,INDEX('計算（触らない）'!$AS81:$EP81,MIN(('計算（触らない）'!$V81+0),101)+1))))</f>
        <v/>
      </c>
      <c r="P81" s="52">
        <f>IF('計算（触らない）'!$U81=0,"",IF(('計算（触らない）'!$V81+1)&lt;0,"",IF(AND('計算（触らない）'!$F81&lt;=2,('計算（触らない）'!$V81+1)&gt;'計算（触らない）'!$R81),0,INDEX('計算（触らない）'!$AS81:$EP81,MIN(('計算（触らない）'!$V81+1),101)+1))))</f>
        <v/>
      </c>
      <c r="Q81" s="52">
        <f>IF('計算（触らない）'!$U81=0,"",IF(('計算（触らない）'!$V81+2)&lt;0,"",IF(AND('計算（触らない）'!$F81&lt;=2,('計算（触らない）'!$V81+2)&gt;'計算（触らない）'!$R81),0,INDEX('計算（触らない）'!$AS81:$EP81,MIN(('計算（触らない）'!$V81+2),101)+1))))</f>
        <v/>
      </c>
      <c r="R81" s="52">
        <f>IF('計算（触らない）'!$U81=0,"",IF(('計算（触らない）'!$V81+3)&lt;0,"",IF(AND('計算（触らない）'!$F81&lt;=2,('計算（触らない）'!$V81+3)&gt;'計算（触らない）'!$R81),0,INDEX('計算（触らない）'!$AS81:$EP81,MIN(('計算（触らない）'!$V81+3),101)+1))))</f>
        <v/>
      </c>
      <c r="S81" s="52">
        <f>IF('計算（触らない）'!$U81=0,"",IF(('計算（触らない）'!$V81+4)&lt;0,"",IF(AND('計算（触らない）'!$F81&lt;=2,('計算（触らない）'!$V81+4)&gt;'計算（触らない）'!$R81),0,INDEX('計算（触らない）'!$AS81:$EP81,MIN(('計算（触らない）'!$V81+4),101)+1))))</f>
        <v/>
      </c>
      <c r="T81" s="52">
        <f>IF('計算（触らない）'!$U81=0,"",IF(('計算（触らない）'!$V81+5)&lt;0,"",IF(AND('計算（触らない）'!$F81&lt;=2,('計算（触らない）'!$V81+5)&gt;'計算（触らない）'!$R81),0,INDEX('計算（触らない）'!$AS81:$EP81,MIN(('計算（触らない）'!$V81+5),101)+1))))</f>
        <v/>
      </c>
      <c r="U81" s="52">
        <f>IF('計算（触らない）'!$U81=0,"",IF(('計算（触らない）'!$V81+6)&lt;0,"",IF(AND('計算（触らない）'!$F81&lt;=2,('計算（触らない）'!$V81+6)&gt;'計算（触らない）'!$R81),0,INDEX('計算（触らない）'!$AS81:$EP81,MIN(('計算（触らない）'!$V81+6),101)+1))))</f>
        <v/>
      </c>
      <c r="V81" s="52">
        <f>IF('計算（触らない）'!$U81=0,"",IF(('計算（触らない）'!$V81+7)&lt;0,"",IF(AND('計算（触らない）'!$F81&lt;=2,('計算（触らない）'!$V81+7)&gt;'計算（触らない）'!$R81),0,INDEX('計算（触らない）'!$AS81:$EP81,MIN(('計算（触らない）'!$V81+7),101)+1))))</f>
        <v/>
      </c>
      <c r="W81" s="52">
        <f>IF('計算（触らない）'!$U81=0,"",IF(('計算（触らない）'!$V81+8)&lt;0,"",IF(AND('計算（触らない）'!$F81&lt;=2,('計算（触らない）'!$V81+8)&gt;'計算（触らない）'!$R81),0,INDEX('計算（触らない）'!$AS81:$EP81,MIN(('計算（触らない）'!$V81+8),101)+1))))</f>
        <v/>
      </c>
      <c r="X81" s="52">
        <f>IF('計算（触らない）'!$U81=0,"",IF(('計算（触らない）'!$V81+9)&lt;0,"",IF(AND('計算（触らない）'!$F81&lt;=2,('計算（触らない）'!$V81+9)&gt;'計算（触らない）'!$R81),0,INDEX('計算（触らない）'!$AS81:$EP81,MIN(('計算（触らない）'!$V81+9),101)+1))))</f>
        <v/>
      </c>
    </row>
    <row r="82" ht="17" customHeight="1">
      <c r="A82" s="21" t="n">
        <v>77</v>
      </c>
      <c r="B82" s="38">
        <f>IF('計算（触らない）'!$B82=0,"",'固定資産台帳'!$B82&amp;"")</f>
        <v/>
      </c>
      <c r="C82" s="38">
        <f>IF('計算（触らない）'!$B82=0,"",'固定資産台帳'!$H82&amp;"")</f>
        <v/>
      </c>
      <c r="D82" s="52">
        <f>IF('計算（触らない）'!$U82=0,"",IF(('計算（触らない）'!$V82+0)&lt;0,"",INT(ROUND((IF(('計算（触らない）'!$V82+0)=0,'計算（触らない）'!$C82,INDEX('計算（触らない）'!$AS82:$EP82,MIN(('計算（触らない）'!$V82+0),102)))-INDEX('計算（触らない）'!$AS82:$EP82,MIN(('計算（触らない）'!$V82+0),101)+1))*'計算（触らない）'!$N82,6)+'計算（触らない）'!$B$4)))</f>
        <v/>
      </c>
      <c r="E82" s="52">
        <f>IF('計算（触らない）'!$U82=0,"",IF(('計算（触らない）'!$V82+1)&lt;0,"",INT(ROUND((IF(('計算（触らない）'!$V82+1)=0,'計算（触らない）'!$C82,INDEX('計算（触らない）'!$AS82:$EP82,MIN(('計算（触らない）'!$V82+1),102)))-INDEX('計算（触らない）'!$AS82:$EP82,MIN(('計算（触らない）'!$V82+1),101)+1))*'計算（触らない）'!$N82,6)+'計算（触らない）'!$B$4)))</f>
        <v/>
      </c>
      <c r="F82" s="52">
        <f>IF('計算（触らない）'!$U82=0,"",IF(('計算（触らない）'!$V82+2)&lt;0,"",INT(ROUND((IF(('計算（触らない）'!$V82+2)=0,'計算（触らない）'!$C82,INDEX('計算（触らない）'!$AS82:$EP82,MIN(('計算（触らない）'!$V82+2),102)))-INDEX('計算（触らない）'!$AS82:$EP82,MIN(('計算（触らない）'!$V82+2),101)+1))*'計算（触らない）'!$N82,6)+'計算（触らない）'!$B$4)))</f>
        <v/>
      </c>
      <c r="G82" s="52">
        <f>IF('計算（触らない）'!$U82=0,"",IF(('計算（触らない）'!$V82+3)&lt;0,"",INT(ROUND((IF(('計算（触らない）'!$V82+3)=0,'計算（触らない）'!$C82,INDEX('計算（触らない）'!$AS82:$EP82,MIN(('計算（触らない）'!$V82+3),102)))-INDEX('計算（触らない）'!$AS82:$EP82,MIN(('計算（触らない）'!$V82+3),101)+1))*'計算（触らない）'!$N82,6)+'計算（触らない）'!$B$4)))</f>
        <v/>
      </c>
      <c r="H82" s="52">
        <f>IF('計算（触らない）'!$U82=0,"",IF(('計算（触らない）'!$V82+4)&lt;0,"",INT(ROUND((IF(('計算（触らない）'!$V82+4)=0,'計算（触らない）'!$C82,INDEX('計算（触らない）'!$AS82:$EP82,MIN(('計算（触らない）'!$V82+4),102)))-INDEX('計算（触らない）'!$AS82:$EP82,MIN(('計算（触らない）'!$V82+4),101)+1))*'計算（触らない）'!$N82,6)+'計算（触らない）'!$B$4)))</f>
        <v/>
      </c>
      <c r="I82" s="52">
        <f>IF('計算（触らない）'!$U82=0,"",IF(('計算（触らない）'!$V82+5)&lt;0,"",INT(ROUND((IF(('計算（触らない）'!$V82+5)=0,'計算（触らない）'!$C82,INDEX('計算（触らない）'!$AS82:$EP82,MIN(('計算（触らない）'!$V82+5),102)))-INDEX('計算（触らない）'!$AS82:$EP82,MIN(('計算（触らない）'!$V82+5),101)+1))*'計算（触らない）'!$N82,6)+'計算（触らない）'!$B$4)))</f>
        <v/>
      </c>
      <c r="J82" s="52">
        <f>IF('計算（触らない）'!$U82=0,"",IF(('計算（触らない）'!$V82+6)&lt;0,"",INT(ROUND((IF(('計算（触らない）'!$V82+6)=0,'計算（触らない）'!$C82,INDEX('計算（触らない）'!$AS82:$EP82,MIN(('計算（触らない）'!$V82+6),102)))-INDEX('計算（触らない）'!$AS82:$EP82,MIN(('計算（触らない）'!$V82+6),101)+1))*'計算（触らない）'!$N82,6)+'計算（触らない）'!$B$4)))</f>
        <v/>
      </c>
      <c r="K82" s="52">
        <f>IF('計算（触らない）'!$U82=0,"",IF(('計算（触らない）'!$V82+7)&lt;0,"",INT(ROUND((IF(('計算（触らない）'!$V82+7)=0,'計算（触らない）'!$C82,INDEX('計算（触らない）'!$AS82:$EP82,MIN(('計算（触らない）'!$V82+7),102)))-INDEX('計算（触らない）'!$AS82:$EP82,MIN(('計算（触らない）'!$V82+7),101)+1))*'計算（触らない）'!$N82,6)+'計算（触らない）'!$B$4)))</f>
        <v/>
      </c>
      <c r="L82" s="52">
        <f>IF('計算（触らない）'!$U82=0,"",IF(('計算（触らない）'!$V82+8)&lt;0,"",INT(ROUND((IF(('計算（触らない）'!$V82+8)=0,'計算（触らない）'!$C82,INDEX('計算（触らない）'!$AS82:$EP82,MIN(('計算（触らない）'!$V82+8),102)))-INDEX('計算（触らない）'!$AS82:$EP82,MIN(('計算（触らない）'!$V82+8),101)+1))*'計算（触らない）'!$N82,6)+'計算（触らない）'!$B$4)))</f>
        <v/>
      </c>
      <c r="M82" s="52">
        <f>IF('計算（触らない）'!$U82=0,"",IF(('計算（触らない）'!$V82+9)&lt;0,"",INT(ROUND((IF(('計算（触らない）'!$V82+9)=0,'計算（触らない）'!$C82,INDEX('計算（触らない）'!$AS82:$EP82,MIN(('計算（触らない）'!$V82+9),102)))-INDEX('計算（触らない）'!$AS82:$EP82,MIN(('計算（触らない）'!$V82+9),101)+1))*'計算（触らない）'!$N82,6)+'計算（触らない）'!$B$4)))</f>
        <v/>
      </c>
      <c r="N82" s="68" t="n"/>
      <c r="O82" s="52">
        <f>IF('計算（触らない）'!$U82=0,"",IF(('計算（触らない）'!$V82+0)&lt;0,"",IF(AND('計算（触らない）'!$F82&lt;=2,('計算（触らない）'!$V82+0)&gt;'計算（触らない）'!$R82),0,INDEX('計算（触らない）'!$AS82:$EP82,MIN(('計算（触らない）'!$V82+0),101)+1))))</f>
        <v/>
      </c>
      <c r="P82" s="52">
        <f>IF('計算（触らない）'!$U82=0,"",IF(('計算（触らない）'!$V82+1)&lt;0,"",IF(AND('計算（触らない）'!$F82&lt;=2,('計算（触らない）'!$V82+1)&gt;'計算（触らない）'!$R82),0,INDEX('計算（触らない）'!$AS82:$EP82,MIN(('計算（触らない）'!$V82+1),101)+1))))</f>
        <v/>
      </c>
      <c r="Q82" s="52">
        <f>IF('計算（触らない）'!$U82=0,"",IF(('計算（触らない）'!$V82+2)&lt;0,"",IF(AND('計算（触らない）'!$F82&lt;=2,('計算（触らない）'!$V82+2)&gt;'計算（触らない）'!$R82),0,INDEX('計算（触らない）'!$AS82:$EP82,MIN(('計算（触らない）'!$V82+2),101)+1))))</f>
        <v/>
      </c>
      <c r="R82" s="52">
        <f>IF('計算（触らない）'!$U82=0,"",IF(('計算（触らない）'!$V82+3)&lt;0,"",IF(AND('計算（触らない）'!$F82&lt;=2,('計算（触らない）'!$V82+3)&gt;'計算（触らない）'!$R82),0,INDEX('計算（触らない）'!$AS82:$EP82,MIN(('計算（触らない）'!$V82+3),101)+1))))</f>
        <v/>
      </c>
      <c r="S82" s="52">
        <f>IF('計算（触らない）'!$U82=0,"",IF(('計算（触らない）'!$V82+4)&lt;0,"",IF(AND('計算（触らない）'!$F82&lt;=2,('計算（触らない）'!$V82+4)&gt;'計算（触らない）'!$R82),0,INDEX('計算（触らない）'!$AS82:$EP82,MIN(('計算（触らない）'!$V82+4),101)+1))))</f>
        <v/>
      </c>
      <c r="T82" s="52">
        <f>IF('計算（触らない）'!$U82=0,"",IF(('計算（触らない）'!$V82+5)&lt;0,"",IF(AND('計算（触らない）'!$F82&lt;=2,('計算（触らない）'!$V82+5)&gt;'計算（触らない）'!$R82),0,INDEX('計算（触らない）'!$AS82:$EP82,MIN(('計算（触らない）'!$V82+5),101)+1))))</f>
        <v/>
      </c>
      <c r="U82" s="52">
        <f>IF('計算（触らない）'!$U82=0,"",IF(('計算（触らない）'!$V82+6)&lt;0,"",IF(AND('計算（触らない）'!$F82&lt;=2,('計算（触らない）'!$V82+6)&gt;'計算（触らない）'!$R82),0,INDEX('計算（触らない）'!$AS82:$EP82,MIN(('計算（触らない）'!$V82+6),101)+1))))</f>
        <v/>
      </c>
      <c r="V82" s="52">
        <f>IF('計算（触らない）'!$U82=0,"",IF(('計算（触らない）'!$V82+7)&lt;0,"",IF(AND('計算（触らない）'!$F82&lt;=2,('計算（触らない）'!$V82+7)&gt;'計算（触らない）'!$R82),0,INDEX('計算（触らない）'!$AS82:$EP82,MIN(('計算（触らない）'!$V82+7),101)+1))))</f>
        <v/>
      </c>
      <c r="W82" s="52">
        <f>IF('計算（触らない）'!$U82=0,"",IF(('計算（触らない）'!$V82+8)&lt;0,"",IF(AND('計算（触らない）'!$F82&lt;=2,('計算（触らない）'!$V82+8)&gt;'計算（触らない）'!$R82),0,INDEX('計算（触らない）'!$AS82:$EP82,MIN(('計算（触らない）'!$V82+8),101)+1))))</f>
        <v/>
      </c>
      <c r="X82" s="52">
        <f>IF('計算（触らない）'!$U82=0,"",IF(('計算（触らない）'!$V82+9)&lt;0,"",IF(AND('計算（触らない）'!$F82&lt;=2,('計算（触らない）'!$V82+9)&gt;'計算（触らない）'!$R82),0,INDEX('計算（触らない）'!$AS82:$EP82,MIN(('計算（触らない）'!$V82+9),101)+1))))</f>
        <v/>
      </c>
    </row>
    <row r="83" ht="17" customHeight="1">
      <c r="A83" s="21" t="n">
        <v>78</v>
      </c>
      <c r="B83" s="38">
        <f>IF('計算（触らない）'!$B83=0,"",'固定資産台帳'!$B83&amp;"")</f>
        <v/>
      </c>
      <c r="C83" s="38">
        <f>IF('計算（触らない）'!$B83=0,"",'固定資産台帳'!$H83&amp;"")</f>
        <v/>
      </c>
      <c r="D83" s="52">
        <f>IF('計算（触らない）'!$U83=0,"",IF(('計算（触らない）'!$V83+0)&lt;0,"",INT(ROUND((IF(('計算（触らない）'!$V83+0)=0,'計算（触らない）'!$C83,INDEX('計算（触らない）'!$AS83:$EP83,MIN(('計算（触らない）'!$V83+0),102)))-INDEX('計算（触らない）'!$AS83:$EP83,MIN(('計算（触らない）'!$V83+0),101)+1))*'計算（触らない）'!$N83,6)+'計算（触らない）'!$B$4)))</f>
        <v/>
      </c>
      <c r="E83" s="52">
        <f>IF('計算（触らない）'!$U83=0,"",IF(('計算（触らない）'!$V83+1)&lt;0,"",INT(ROUND((IF(('計算（触らない）'!$V83+1)=0,'計算（触らない）'!$C83,INDEX('計算（触らない）'!$AS83:$EP83,MIN(('計算（触らない）'!$V83+1),102)))-INDEX('計算（触らない）'!$AS83:$EP83,MIN(('計算（触らない）'!$V83+1),101)+1))*'計算（触らない）'!$N83,6)+'計算（触らない）'!$B$4)))</f>
        <v/>
      </c>
      <c r="F83" s="52">
        <f>IF('計算（触らない）'!$U83=0,"",IF(('計算（触らない）'!$V83+2)&lt;0,"",INT(ROUND((IF(('計算（触らない）'!$V83+2)=0,'計算（触らない）'!$C83,INDEX('計算（触らない）'!$AS83:$EP83,MIN(('計算（触らない）'!$V83+2),102)))-INDEX('計算（触らない）'!$AS83:$EP83,MIN(('計算（触らない）'!$V83+2),101)+1))*'計算（触らない）'!$N83,6)+'計算（触らない）'!$B$4)))</f>
        <v/>
      </c>
      <c r="G83" s="52">
        <f>IF('計算（触らない）'!$U83=0,"",IF(('計算（触らない）'!$V83+3)&lt;0,"",INT(ROUND((IF(('計算（触らない）'!$V83+3)=0,'計算（触らない）'!$C83,INDEX('計算（触らない）'!$AS83:$EP83,MIN(('計算（触らない）'!$V83+3),102)))-INDEX('計算（触らない）'!$AS83:$EP83,MIN(('計算（触らない）'!$V83+3),101)+1))*'計算（触らない）'!$N83,6)+'計算（触らない）'!$B$4)))</f>
        <v/>
      </c>
      <c r="H83" s="52">
        <f>IF('計算（触らない）'!$U83=0,"",IF(('計算（触らない）'!$V83+4)&lt;0,"",INT(ROUND((IF(('計算（触らない）'!$V83+4)=0,'計算（触らない）'!$C83,INDEX('計算（触らない）'!$AS83:$EP83,MIN(('計算（触らない）'!$V83+4),102)))-INDEX('計算（触らない）'!$AS83:$EP83,MIN(('計算（触らない）'!$V83+4),101)+1))*'計算（触らない）'!$N83,6)+'計算（触らない）'!$B$4)))</f>
        <v/>
      </c>
      <c r="I83" s="52">
        <f>IF('計算（触らない）'!$U83=0,"",IF(('計算（触らない）'!$V83+5)&lt;0,"",INT(ROUND((IF(('計算（触らない）'!$V83+5)=0,'計算（触らない）'!$C83,INDEX('計算（触らない）'!$AS83:$EP83,MIN(('計算（触らない）'!$V83+5),102)))-INDEX('計算（触らない）'!$AS83:$EP83,MIN(('計算（触らない）'!$V83+5),101)+1))*'計算（触らない）'!$N83,6)+'計算（触らない）'!$B$4)))</f>
        <v/>
      </c>
      <c r="J83" s="52">
        <f>IF('計算（触らない）'!$U83=0,"",IF(('計算（触らない）'!$V83+6)&lt;0,"",INT(ROUND((IF(('計算（触らない）'!$V83+6)=0,'計算（触らない）'!$C83,INDEX('計算（触らない）'!$AS83:$EP83,MIN(('計算（触らない）'!$V83+6),102)))-INDEX('計算（触らない）'!$AS83:$EP83,MIN(('計算（触らない）'!$V83+6),101)+1))*'計算（触らない）'!$N83,6)+'計算（触らない）'!$B$4)))</f>
        <v/>
      </c>
      <c r="K83" s="52">
        <f>IF('計算（触らない）'!$U83=0,"",IF(('計算（触らない）'!$V83+7)&lt;0,"",INT(ROUND((IF(('計算（触らない）'!$V83+7)=0,'計算（触らない）'!$C83,INDEX('計算（触らない）'!$AS83:$EP83,MIN(('計算（触らない）'!$V83+7),102)))-INDEX('計算（触らない）'!$AS83:$EP83,MIN(('計算（触らない）'!$V83+7),101)+1))*'計算（触らない）'!$N83,6)+'計算（触らない）'!$B$4)))</f>
        <v/>
      </c>
      <c r="L83" s="52">
        <f>IF('計算（触らない）'!$U83=0,"",IF(('計算（触らない）'!$V83+8)&lt;0,"",INT(ROUND((IF(('計算（触らない）'!$V83+8)=0,'計算（触らない）'!$C83,INDEX('計算（触らない）'!$AS83:$EP83,MIN(('計算（触らない）'!$V83+8),102)))-INDEX('計算（触らない）'!$AS83:$EP83,MIN(('計算（触らない）'!$V83+8),101)+1))*'計算（触らない）'!$N83,6)+'計算（触らない）'!$B$4)))</f>
        <v/>
      </c>
      <c r="M83" s="52">
        <f>IF('計算（触らない）'!$U83=0,"",IF(('計算（触らない）'!$V83+9)&lt;0,"",INT(ROUND((IF(('計算（触らない）'!$V83+9)=0,'計算（触らない）'!$C83,INDEX('計算（触らない）'!$AS83:$EP83,MIN(('計算（触らない）'!$V83+9),102)))-INDEX('計算（触らない）'!$AS83:$EP83,MIN(('計算（触らない）'!$V83+9),101)+1))*'計算（触らない）'!$N83,6)+'計算（触らない）'!$B$4)))</f>
        <v/>
      </c>
      <c r="N83" s="68" t="n"/>
      <c r="O83" s="52">
        <f>IF('計算（触らない）'!$U83=0,"",IF(('計算（触らない）'!$V83+0)&lt;0,"",IF(AND('計算（触らない）'!$F83&lt;=2,('計算（触らない）'!$V83+0)&gt;'計算（触らない）'!$R83),0,INDEX('計算（触らない）'!$AS83:$EP83,MIN(('計算（触らない）'!$V83+0),101)+1))))</f>
        <v/>
      </c>
      <c r="P83" s="52">
        <f>IF('計算（触らない）'!$U83=0,"",IF(('計算（触らない）'!$V83+1)&lt;0,"",IF(AND('計算（触らない）'!$F83&lt;=2,('計算（触らない）'!$V83+1)&gt;'計算（触らない）'!$R83),0,INDEX('計算（触らない）'!$AS83:$EP83,MIN(('計算（触らない）'!$V83+1),101)+1))))</f>
        <v/>
      </c>
      <c r="Q83" s="52">
        <f>IF('計算（触らない）'!$U83=0,"",IF(('計算（触らない）'!$V83+2)&lt;0,"",IF(AND('計算（触らない）'!$F83&lt;=2,('計算（触らない）'!$V83+2)&gt;'計算（触らない）'!$R83),0,INDEX('計算（触らない）'!$AS83:$EP83,MIN(('計算（触らない）'!$V83+2),101)+1))))</f>
        <v/>
      </c>
      <c r="R83" s="52">
        <f>IF('計算（触らない）'!$U83=0,"",IF(('計算（触らない）'!$V83+3)&lt;0,"",IF(AND('計算（触らない）'!$F83&lt;=2,('計算（触らない）'!$V83+3)&gt;'計算（触らない）'!$R83),0,INDEX('計算（触らない）'!$AS83:$EP83,MIN(('計算（触らない）'!$V83+3),101)+1))))</f>
        <v/>
      </c>
      <c r="S83" s="52">
        <f>IF('計算（触らない）'!$U83=0,"",IF(('計算（触らない）'!$V83+4)&lt;0,"",IF(AND('計算（触らない）'!$F83&lt;=2,('計算（触らない）'!$V83+4)&gt;'計算（触らない）'!$R83),0,INDEX('計算（触らない）'!$AS83:$EP83,MIN(('計算（触らない）'!$V83+4),101)+1))))</f>
        <v/>
      </c>
      <c r="T83" s="52">
        <f>IF('計算（触らない）'!$U83=0,"",IF(('計算（触らない）'!$V83+5)&lt;0,"",IF(AND('計算（触らない）'!$F83&lt;=2,('計算（触らない）'!$V83+5)&gt;'計算（触らない）'!$R83),0,INDEX('計算（触らない）'!$AS83:$EP83,MIN(('計算（触らない）'!$V83+5),101)+1))))</f>
        <v/>
      </c>
      <c r="U83" s="52">
        <f>IF('計算（触らない）'!$U83=0,"",IF(('計算（触らない）'!$V83+6)&lt;0,"",IF(AND('計算（触らない）'!$F83&lt;=2,('計算（触らない）'!$V83+6)&gt;'計算（触らない）'!$R83),0,INDEX('計算（触らない）'!$AS83:$EP83,MIN(('計算（触らない）'!$V83+6),101)+1))))</f>
        <v/>
      </c>
      <c r="V83" s="52">
        <f>IF('計算（触らない）'!$U83=0,"",IF(('計算（触らない）'!$V83+7)&lt;0,"",IF(AND('計算（触らない）'!$F83&lt;=2,('計算（触らない）'!$V83+7)&gt;'計算（触らない）'!$R83),0,INDEX('計算（触らない）'!$AS83:$EP83,MIN(('計算（触らない）'!$V83+7),101)+1))))</f>
        <v/>
      </c>
      <c r="W83" s="52">
        <f>IF('計算（触らない）'!$U83=0,"",IF(('計算（触らない）'!$V83+8)&lt;0,"",IF(AND('計算（触らない）'!$F83&lt;=2,('計算（触らない）'!$V83+8)&gt;'計算（触らない）'!$R83),0,INDEX('計算（触らない）'!$AS83:$EP83,MIN(('計算（触らない）'!$V83+8),101)+1))))</f>
        <v/>
      </c>
      <c r="X83" s="52">
        <f>IF('計算（触らない）'!$U83=0,"",IF(('計算（触らない）'!$V83+9)&lt;0,"",IF(AND('計算（触らない）'!$F83&lt;=2,('計算（触らない）'!$V83+9)&gt;'計算（触らない）'!$R83),0,INDEX('計算（触らない）'!$AS83:$EP83,MIN(('計算（触らない）'!$V83+9),101)+1))))</f>
        <v/>
      </c>
    </row>
    <row r="84" ht="17" customHeight="1">
      <c r="A84" s="21" t="n">
        <v>79</v>
      </c>
      <c r="B84" s="38">
        <f>IF('計算（触らない）'!$B84=0,"",'固定資産台帳'!$B84&amp;"")</f>
        <v/>
      </c>
      <c r="C84" s="38">
        <f>IF('計算（触らない）'!$B84=0,"",'固定資産台帳'!$H84&amp;"")</f>
        <v/>
      </c>
      <c r="D84" s="52">
        <f>IF('計算（触らない）'!$U84=0,"",IF(('計算（触らない）'!$V84+0)&lt;0,"",INT(ROUND((IF(('計算（触らない）'!$V84+0)=0,'計算（触らない）'!$C84,INDEX('計算（触らない）'!$AS84:$EP84,MIN(('計算（触らない）'!$V84+0),102)))-INDEX('計算（触らない）'!$AS84:$EP84,MIN(('計算（触らない）'!$V84+0),101)+1))*'計算（触らない）'!$N84,6)+'計算（触らない）'!$B$4)))</f>
        <v/>
      </c>
      <c r="E84" s="52">
        <f>IF('計算（触らない）'!$U84=0,"",IF(('計算（触らない）'!$V84+1)&lt;0,"",INT(ROUND((IF(('計算（触らない）'!$V84+1)=0,'計算（触らない）'!$C84,INDEX('計算（触らない）'!$AS84:$EP84,MIN(('計算（触らない）'!$V84+1),102)))-INDEX('計算（触らない）'!$AS84:$EP84,MIN(('計算（触らない）'!$V84+1),101)+1))*'計算（触らない）'!$N84,6)+'計算（触らない）'!$B$4)))</f>
        <v/>
      </c>
      <c r="F84" s="52">
        <f>IF('計算（触らない）'!$U84=0,"",IF(('計算（触らない）'!$V84+2)&lt;0,"",INT(ROUND((IF(('計算（触らない）'!$V84+2)=0,'計算（触らない）'!$C84,INDEX('計算（触らない）'!$AS84:$EP84,MIN(('計算（触らない）'!$V84+2),102)))-INDEX('計算（触らない）'!$AS84:$EP84,MIN(('計算（触らない）'!$V84+2),101)+1))*'計算（触らない）'!$N84,6)+'計算（触らない）'!$B$4)))</f>
        <v/>
      </c>
      <c r="G84" s="52">
        <f>IF('計算（触らない）'!$U84=0,"",IF(('計算（触らない）'!$V84+3)&lt;0,"",INT(ROUND((IF(('計算（触らない）'!$V84+3)=0,'計算（触らない）'!$C84,INDEX('計算（触らない）'!$AS84:$EP84,MIN(('計算（触らない）'!$V84+3),102)))-INDEX('計算（触らない）'!$AS84:$EP84,MIN(('計算（触らない）'!$V84+3),101)+1))*'計算（触らない）'!$N84,6)+'計算（触らない）'!$B$4)))</f>
        <v/>
      </c>
      <c r="H84" s="52">
        <f>IF('計算（触らない）'!$U84=0,"",IF(('計算（触らない）'!$V84+4)&lt;0,"",INT(ROUND((IF(('計算（触らない）'!$V84+4)=0,'計算（触らない）'!$C84,INDEX('計算（触らない）'!$AS84:$EP84,MIN(('計算（触らない）'!$V84+4),102)))-INDEX('計算（触らない）'!$AS84:$EP84,MIN(('計算（触らない）'!$V84+4),101)+1))*'計算（触らない）'!$N84,6)+'計算（触らない）'!$B$4)))</f>
        <v/>
      </c>
      <c r="I84" s="52">
        <f>IF('計算（触らない）'!$U84=0,"",IF(('計算（触らない）'!$V84+5)&lt;0,"",INT(ROUND((IF(('計算（触らない）'!$V84+5)=0,'計算（触らない）'!$C84,INDEX('計算（触らない）'!$AS84:$EP84,MIN(('計算（触らない）'!$V84+5),102)))-INDEX('計算（触らない）'!$AS84:$EP84,MIN(('計算（触らない）'!$V84+5),101)+1))*'計算（触らない）'!$N84,6)+'計算（触らない）'!$B$4)))</f>
        <v/>
      </c>
      <c r="J84" s="52">
        <f>IF('計算（触らない）'!$U84=0,"",IF(('計算（触らない）'!$V84+6)&lt;0,"",INT(ROUND((IF(('計算（触らない）'!$V84+6)=0,'計算（触らない）'!$C84,INDEX('計算（触らない）'!$AS84:$EP84,MIN(('計算（触らない）'!$V84+6),102)))-INDEX('計算（触らない）'!$AS84:$EP84,MIN(('計算（触らない）'!$V84+6),101)+1))*'計算（触らない）'!$N84,6)+'計算（触らない）'!$B$4)))</f>
        <v/>
      </c>
      <c r="K84" s="52">
        <f>IF('計算（触らない）'!$U84=0,"",IF(('計算（触らない）'!$V84+7)&lt;0,"",INT(ROUND((IF(('計算（触らない）'!$V84+7)=0,'計算（触らない）'!$C84,INDEX('計算（触らない）'!$AS84:$EP84,MIN(('計算（触らない）'!$V84+7),102)))-INDEX('計算（触らない）'!$AS84:$EP84,MIN(('計算（触らない）'!$V84+7),101)+1))*'計算（触らない）'!$N84,6)+'計算（触らない）'!$B$4)))</f>
        <v/>
      </c>
      <c r="L84" s="52">
        <f>IF('計算（触らない）'!$U84=0,"",IF(('計算（触らない）'!$V84+8)&lt;0,"",INT(ROUND((IF(('計算（触らない）'!$V84+8)=0,'計算（触らない）'!$C84,INDEX('計算（触らない）'!$AS84:$EP84,MIN(('計算（触らない）'!$V84+8),102)))-INDEX('計算（触らない）'!$AS84:$EP84,MIN(('計算（触らない）'!$V84+8),101)+1))*'計算（触らない）'!$N84,6)+'計算（触らない）'!$B$4)))</f>
        <v/>
      </c>
      <c r="M84" s="52">
        <f>IF('計算（触らない）'!$U84=0,"",IF(('計算（触らない）'!$V84+9)&lt;0,"",INT(ROUND((IF(('計算（触らない）'!$V84+9)=0,'計算（触らない）'!$C84,INDEX('計算（触らない）'!$AS84:$EP84,MIN(('計算（触らない）'!$V84+9),102)))-INDEX('計算（触らない）'!$AS84:$EP84,MIN(('計算（触らない）'!$V84+9),101)+1))*'計算（触らない）'!$N84,6)+'計算（触らない）'!$B$4)))</f>
        <v/>
      </c>
      <c r="N84" s="68" t="n"/>
      <c r="O84" s="52">
        <f>IF('計算（触らない）'!$U84=0,"",IF(('計算（触らない）'!$V84+0)&lt;0,"",IF(AND('計算（触らない）'!$F84&lt;=2,('計算（触らない）'!$V84+0)&gt;'計算（触らない）'!$R84),0,INDEX('計算（触らない）'!$AS84:$EP84,MIN(('計算（触らない）'!$V84+0),101)+1))))</f>
        <v/>
      </c>
      <c r="P84" s="52">
        <f>IF('計算（触らない）'!$U84=0,"",IF(('計算（触らない）'!$V84+1)&lt;0,"",IF(AND('計算（触らない）'!$F84&lt;=2,('計算（触らない）'!$V84+1)&gt;'計算（触らない）'!$R84),0,INDEX('計算（触らない）'!$AS84:$EP84,MIN(('計算（触らない）'!$V84+1),101)+1))))</f>
        <v/>
      </c>
      <c r="Q84" s="52">
        <f>IF('計算（触らない）'!$U84=0,"",IF(('計算（触らない）'!$V84+2)&lt;0,"",IF(AND('計算（触らない）'!$F84&lt;=2,('計算（触らない）'!$V84+2)&gt;'計算（触らない）'!$R84),0,INDEX('計算（触らない）'!$AS84:$EP84,MIN(('計算（触らない）'!$V84+2),101)+1))))</f>
        <v/>
      </c>
      <c r="R84" s="52">
        <f>IF('計算（触らない）'!$U84=0,"",IF(('計算（触らない）'!$V84+3)&lt;0,"",IF(AND('計算（触らない）'!$F84&lt;=2,('計算（触らない）'!$V84+3)&gt;'計算（触らない）'!$R84),0,INDEX('計算（触らない）'!$AS84:$EP84,MIN(('計算（触らない）'!$V84+3),101)+1))))</f>
        <v/>
      </c>
      <c r="S84" s="52">
        <f>IF('計算（触らない）'!$U84=0,"",IF(('計算（触らない）'!$V84+4)&lt;0,"",IF(AND('計算（触らない）'!$F84&lt;=2,('計算（触らない）'!$V84+4)&gt;'計算（触らない）'!$R84),0,INDEX('計算（触らない）'!$AS84:$EP84,MIN(('計算（触らない）'!$V84+4),101)+1))))</f>
        <v/>
      </c>
      <c r="T84" s="52">
        <f>IF('計算（触らない）'!$U84=0,"",IF(('計算（触らない）'!$V84+5)&lt;0,"",IF(AND('計算（触らない）'!$F84&lt;=2,('計算（触らない）'!$V84+5)&gt;'計算（触らない）'!$R84),0,INDEX('計算（触らない）'!$AS84:$EP84,MIN(('計算（触らない）'!$V84+5),101)+1))))</f>
        <v/>
      </c>
      <c r="U84" s="52">
        <f>IF('計算（触らない）'!$U84=0,"",IF(('計算（触らない）'!$V84+6)&lt;0,"",IF(AND('計算（触らない）'!$F84&lt;=2,('計算（触らない）'!$V84+6)&gt;'計算（触らない）'!$R84),0,INDEX('計算（触らない）'!$AS84:$EP84,MIN(('計算（触らない）'!$V84+6),101)+1))))</f>
        <v/>
      </c>
      <c r="V84" s="52">
        <f>IF('計算（触らない）'!$U84=0,"",IF(('計算（触らない）'!$V84+7)&lt;0,"",IF(AND('計算（触らない）'!$F84&lt;=2,('計算（触らない）'!$V84+7)&gt;'計算（触らない）'!$R84),0,INDEX('計算（触らない）'!$AS84:$EP84,MIN(('計算（触らない）'!$V84+7),101)+1))))</f>
        <v/>
      </c>
      <c r="W84" s="52">
        <f>IF('計算（触らない）'!$U84=0,"",IF(('計算（触らない）'!$V84+8)&lt;0,"",IF(AND('計算（触らない）'!$F84&lt;=2,('計算（触らない）'!$V84+8)&gt;'計算（触らない）'!$R84),0,INDEX('計算（触らない）'!$AS84:$EP84,MIN(('計算（触らない）'!$V84+8),101)+1))))</f>
        <v/>
      </c>
      <c r="X84" s="52">
        <f>IF('計算（触らない）'!$U84=0,"",IF(('計算（触らない）'!$V84+9)&lt;0,"",IF(AND('計算（触らない）'!$F84&lt;=2,('計算（触らない）'!$V84+9)&gt;'計算（触らない）'!$R84),0,INDEX('計算（触らない）'!$AS84:$EP84,MIN(('計算（触らない）'!$V84+9),101)+1))))</f>
        <v/>
      </c>
    </row>
    <row r="85" ht="17" customHeight="1">
      <c r="A85" s="21" t="n">
        <v>80</v>
      </c>
      <c r="B85" s="38">
        <f>IF('計算（触らない）'!$B85=0,"",'固定資産台帳'!$B85&amp;"")</f>
        <v/>
      </c>
      <c r="C85" s="38">
        <f>IF('計算（触らない）'!$B85=0,"",'固定資産台帳'!$H85&amp;"")</f>
        <v/>
      </c>
      <c r="D85" s="52">
        <f>IF('計算（触らない）'!$U85=0,"",IF(('計算（触らない）'!$V85+0)&lt;0,"",INT(ROUND((IF(('計算（触らない）'!$V85+0)=0,'計算（触らない）'!$C85,INDEX('計算（触らない）'!$AS85:$EP85,MIN(('計算（触らない）'!$V85+0),102)))-INDEX('計算（触らない）'!$AS85:$EP85,MIN(('計算（触らない）'!$V85+0),101)+1))*'計算（触らない）'!$N85,6)+'計算（触らない）'!$B$4)))</f>
        <v/>
      </c>
      <c r="E85" s="52">
        <f>IF('計算（触らない）'!$U85=0,"",IF(('計算（触らない）'!$V85+1)&lt;0,"",INT(ROUND((IF(('計算（触らない）'!$V85+1)=0,'計算（触らない）'!$C85,INDEX('計算（触らない）'!$AS85:$EP85,MIN(('計算（触らない）'!$V85+1),102)))-INDEX('計算（触らない）'!$AS85:$EP85,MIN(('計算（触らない）'!$V85+1),101)+1))*'計算（触らない）'!$N85,6)+'計算（触らない）'!$B$4)))</f>
        <v/>
      </c>
      <c r="F85" s="52">
        <f>IF('計算（触らない）'!$U85=0,"",IF(('計算（触らない）'!$V85+2)&lt;0,"",INT(ROUND((IF(('計算（触らない）'!$V85+2)=0,'計算（触らない）'!$C85,INDEX('計算（触らない）'!$AS85:$EP85,MIN(('計算（触らない）'!$V85+2),102)))-INDEX('計算（触らない）'!$AS85:$EP85,MIN(('計算（触らない）'!$V85+2),101)+1))*'計算（触らない）'!$N85,6)+'計算（触らない）'!$B$4)))</f>
        <v/>
      </c>
      <c r="G85" s="52">
        <f>IF('計算（触らない）'!$U85=0,"",IF(('計算（触らない）'!$V85+3)&lt;0,"",INT(ROUND((IF(('計算（触らない）'!$V85+3)=0,'計算（触らない）'!$C85,INDEX('計算（触らない）'!$AS85:$EP85,MIN(('計算（触らない）'!$V85+3),102)))-INDEX('計算（触らない）'!$AS85:$EP85,MIN(('計算（触らない）'!$V85+3),101)+1))*'計算（触らない）'!$N85,6)+'計算（触らない）'!$B$4)))</f>
        <v/>
      </c>
      <c r="H85" s="52">
        <f>IF('計算（触らない）'!$U85=0,"",IF(('計算（触らない）'!$V85+4)&lt;0,"",INT(ROUND((IF(('計算（触らない）'!$V85+4)=0,'計算（触らない）'!$C85,INDEX('計算（触らない）'!$AS85:$EP85,MIN(('計算（触らない）'!$V85+4),102)))-INDEX('計算（触らない）'!$AS85:$EP85,MIN(('計算（触らない）'!$V85+4),101)+1))*'計算（触らない）'!$N85,6)+'計算（触らない）'!$B$4)))</f>
        <v/>
      </c>
      <c r="I85" s="52">
        <f>IF('計算（触らない）'!$U85=0,"",IF(('計算（触らない）'!$V85+5)&lt;0,"",INT(ROUND((IF(('計算（触らない）'!$V85+5)=0,'計算（触らない）'!$C85,INDEX('計算（触らない）'!$AS85:$EP85,MIN(('計算（触らない）'!$V85+5),102)))-INDEX('計算（触らない）'!$AS85:$EP85,MIN(('計算（触らない）'!$V85+5),101)+1))*'計算（触らない）'!$N85,6)+'計算（触らない）'!$B$4)))</f>
        <v/>
      </c>
      <c r="J85" s="52">
        <f>IF('計算（触らない）'!$U85=0,"",IF(('計算（触らない）'!$V85+6)&lt;0,"",INT(ROUND((IF(('計算（触らない）'!$V85+6)=0,'計算（触らない）'!$C85,INDEX('計算（触らない）'!$AS85:$EP85,MIN(('計算（触らない）'!$V85+6),102)))-INDEX('計算（触らない）'!$AS85:$EP85,MIN(('計算（触らない）'!$V85+6),101)+1))*'計算（触らない）'!$N85,6)+'計算（触らない）'!$B$4)))</f>
        <v/>
      </c>
      <c r="K85" s="52">
        <f>IF('計算（触らない）'!$U85=0,"",IF(('計算（触らない）'!$V85+7)&lt;0,"",INT(ROUND((IF(('計算（触らない）'!$V85+7)=0,'計算（触らない）'!$C85,INDEX('計算（触らない）'!$AS85:$EP85,MIN(('計算（触らない）'!$V85+7),102)))-INDEX('計算（触らない）'!$AS85:$EP85,MIN(('計算（触らない）'!$V85+7),101)+1))*'計算（触らない）'!$N85,6)+'計算（触らない）'!$B$4)))</f>
        <v/>
      </c>
      <c r="L85" s="52">
        <f>IF('計算（触らない）'!$U85=0,"",IF(('計算（触らない）'!$V85+8)&lt;0,"",INT(ROUND((IF(('計算（触らない）'!$V85+8)=0,'計算（触らない）'!$C85,INDEX('計算（触らない）'!$AS85:$EP85,MIN(('計算（触らない）'!$V85+8),102)))-INDEX('計算（触らない）'!$AS85:$EP85,MIN(('計算（触らない）'!$V85+8),101)+1))*'計算（触らない）'!$N85,6)+'計算（触らない）'!$B$4)))</f>
        <v/>
      </c>
      <c r="M85" s="52">
        <f>IF('計算（触らない）'!$U85=0,"",IF(('計算（触らない）'!$V85+9)&lt;0,"",INT(ROUND((IF(('計算（触らない）'!$V85+9)=0,'計算（触らない）'!$C85,INDEX('計算（触らない）'!$AS85:$EP85,MIN(('計算（触らない）'!$V85+9),102)))-INDEX('計算（触らない）'!$AS85:$EP85,MIN(('計算（触らない）'!$V85+9),101)+1))*'計算（触らない）'!$N85,6)+'計算（触らない）'!$B$4)))</f>
        <v/>
      </c>
      <c r="N85" s="68" t="n"/>
      <c r="O85" s="52">
        <f>IF('計算（触らない）'!$U85=0,"",IF(('計算（触らない）'!$V85+0)&lt;0,"",IF(AND('計算（触らない）'!$F85&lt;=2,('計算（触らない）'!$V85+0)&gt;'計算（触らない）'!$R85),0,INDEX('計算（触らない）'!$AS85:$EP85,MIN(('計算（触らない）'!$V85+0),101)+1))))</f>
        <v/>
      </c>
      <c r="P85" s="52">
        <f>IF('計算（触らない）'!$U85=0,"",IF(('計算（触らない）'!$V85+1)&lt;0,"",IF(AND('計算（触らない）'!$F85&lt;=2,('計算（触らない）'!$V85+1)&gt;'計算（触らない）'!$R85),0,INDEX('計算（触らない）'!$AS85:$EP85,MIN(('計算（触らない）'!$V85+1),101)+1))))</f>
        <v/>
      </c>
      <c r="Q85" s="52">
        <f>IF('計算（触らない）'!$U85=0,"",IF(('計算（触らない）'!$V85+2)&lt;0,"",IF(AND('計算（触らない）'!$F85&lt;=2,('計算（触らない）'!$V85+2)&gt;'計算（触らない）'!$R85),0,INDEX('計算（触らない）'!$AS85:$EP85,MIN(('計算（触らない）'!$V85+2),101)+1))))</f>
        <v/>
      </c>
      <c r="R85" s="52">
        <f>IF('計算（触らない）'!$U85=0,"",IF(('計算（触らない）'!$V85+3)&lt;0,"",IF(AND('計算（触らない）'!$F85&lt;=2,('計算（触らない）'!$V85+3)&gt;'計算（触らない）'!$R85),0,INDEX('計算（触らない）'!$AS85:$EP85,MIN(('計算（触らない）'!$V85+3),101)+1))))</f>
        <v/>
      </c>
      <c r="S85" s="52">
        <f>IF('計算（触らない）'!$U85=0,"",IF(('計算（触らない）'!$V85+4)&lt;0,"",IF(AND('計算（触らない）'!$F85&lt;=2,('計算（触らない）'!$V85+4)&gt;'計算（触らない）'!$R85),0,INDEX('計算（触らない）'!$AS85:$EP85,MIN(('計算（触らない）'!$V85+4),101)+1))))</f>
        <v/>
      </c>
      <c r="T85" s="52">
        <f>IF('計算（触らない）'!$U85=0,"",IF(('計算（触らない）'!$V85+5)&lt;0,"",IF(AND('計算（触らない）'!$F85&lt;=2,('計算（触らない）'!$V85+5)&gt;'計算（触らない）'!$R85),0,INDEX('計算（触らない）'!$AS85:$EP85,MIN(('計算（触らない）'!$V85+5),101)+1))))</f>
        <v/>
      </c>
      <c r="U85" s="52">
        <f>IF('計算（触らない）'!$U85=0,"",IF(('計算（触らない）'!$V85+6)&lt;0,"",IF(AND('計算（触らない）'!$F85&lt;=2,('計算（触らない）'!$V85+6)&gt;'計算（触らない）'!$R85),0,INDEX('計算（触らない）'!$AS85:$EP85,MIN(('計算（触らない）'!$V85+6),101)+1))))</f>
        <v/>
      </c>
      <c r="V85" s="52">
        <f>IF('計算（触らない）'!$U85=0,"",IF(('計算（触らない）'!$V85+7)&lt;0,"",IF(AND('計算（触らない）'!$F85&lt;=2,('計算（触らない）'!$V85+7)&gt;'計算（触らない）'!$R85),0,INDEX('計算（触らない）'!$AS85:$EP85,MIN(('計算（触らない）'!$V85+7),101)+1))))</f>
        <v/>
      </c>
      <c r="W85" s="52">
        <f>IF('計算（触らない）'!$U85=0,"",IF(('計算（触らない）'!$V85+8)&lt;0,"",IF(AND('計算（触らない）'!$F85&lt;=2,('計算（触らない）'!$V85+8)&gt;'計算（触らない）'!$R85),0,INDEX('計算（触らない）'!$AS85:$EP85,MIN(('計算（触らない）'!$V85+8),101)+1))))</f>
        <v/>
      </c>
      <c r="X85" s="52">
        <f>IF('計算（触らない）'!$U85=0,"",IF(('計算（触らない）'!$V85+9)&lt;0,"",IF(AND('計算（触らない）'!$F85&lt;=2,('計算（触らない）'!$V85+9)&gt;'計算（触らない）'!$R85),0,INDEX('計算（触らない）'!$AS85:$EP85,MIN(('計算（触らない）'!$V85+9),101)+1))))</f>
        <v/>
      </c>
    </row>
    <row r="86" ht="17" customHeight="1">
      <c r="A86" s="21" t="n">
        <v>81</v>
      </c>
      <c r="B86" s="38">
        <f>IF('計算（触らない）'!$B86=0,"",'固定資産台帳'!$B86&amp;"")</f>
        <v/>
      </c>
      <c r="C86" s="38">
        <f>IF('計算（触らない）'!$B86=0,"",'固定資産台帳'!$H86&amp;"")</f>
        <v/>
      </c>
      <c r="D86" s="52">
        <f>IF('計算（触らない）'!$U86=0,"",IF(('計算（触らない）'!$V86+0)&lt;0,"",INT(ROUND((IF(('計算（触らない）'!$V86+0)=0,'計算（触らない）'!$C86,INDEX('計算（触らない）'!$AS86:$EP86,MIN(('計算（触らない）'!$V86+0),102)))-INDEX('計算（触らない）'!$AS86:$EP86,MIN(('計算（触らない）'!$V86+0),101)+1))*'計算（触らない）'!$N86,6)+'計算（触らない）'!$B$4)))</f>
        <v/>
      </c>
      <c r="E86" s="52">
        <f>IF('計算（触らない）'!$U86=0,"",IF(('計算（触らない）'!$V86+1)&lt;0,"",INT(ROUND((IF(('計算（触らない）'!$V86+1)=0,'計算（触らない）'!$C86,INDEX('計算（触らない）'!$AS86:$EP86,MIN(('計算（触らない）'!$V86+1),102)))-INDEX('計算（触らない）'!$AS86:$EP86,MIN(('計算（触らない）'!$V86+1),101)+1))*'計算（触らない）'!$N86,6)+'計算（触らない）'!$B$4)))</f>
        <v/>
      </c>
      <c r="F86" s="52">
        <f>IF('計算（触らない）'!$U86=0,"",IF(('計算（触らない）'!$V86+2)&lt;0,"",INT(ROUND((IF(('計算（触らない）'!$V86+2)=0,'計算（触らない）'!$C86,INDEX('計算（触らない）'!$AS86:$EP86,MIN(('計算（触らない）'!$V86+2),102)))-INDEX('計算（触らない）'!$AS86:$EP86,MIN(('計算（触らない）'!$V86+2),101)+1))*'計算（触らない）'!$N86,6)+'計算（触らない）'!$B$4)))</f>
        <v/>
      </c>
      <c r="G86" s="52">
        <f>IF('計算（触らない）'!$U86=0,"",IF(('計算（触らない）'!$V86+3)&lt;0,"",INT(ROUND((IF(('計算（触らない）'!$V86+3)=0,'計算（触らない）'!$C86,INDEX('計算（触らない）'!$AS86:$EP86,MIN(('計算（触らない）'!$V86+3),102)))-INDEX('計算（触らない）'!$AS86:$EP86,MIN(('計算（触らない）'!$V86+3),101)+1))*'計算（触らない）'!$N86,6)+'計算（触らない）'!$B$4)))</f>
        <v/>
      </c>
      <c r="H86" s="52">
        <f>IF('計算（触らない）'!$U86=0,"",IF(('計算（触らない）'!$V86+4)&lt;0,"",INT(ROUND((IF(('計算（触らない）'!$V86+4)=0,'計算（触らない）'!$C86,INDEX('計算（触らない）'!$AS86:$EP86,MIN(('計算（触らない）'!$V86+4),102)))-INDEX('計算（触らない）'!$AS86:$EP86,MIN(('計算（触らない）'!$V86+4),101)+1))*'計算（触らない）'!$N86,6)+'計算（触らない）'!$B$4)))</f>
        <v/>
      </c>
      <c r="I86" s="52">
        <f>IF('計算（触らない）'!$U86=0,"",IF(('計算（触らない）'!$V86+5)&lt;0,"",INT(ROUND((IF(('計算（触らない）'!$V86+5)=0,'計算（触らない）'!$C86,INDEX('計算（触らない）'!$AS86:$EP86,MIN(('計算（触らない）'!$V86+5),102)))-INDEX('計算（触らない）'!$AS86:$EP86,MIN(('計算（触らない）'!$V86+5),101)+1))*'計算（触らない）'!$N86,6)+'計算（触らない）'!$B$4)))</f>
        <v/>
      </c>
      <c r="J86" s="52">
        <f>IF('計算（触らない）'!$U86=0,"",IF(('計算（触らない）'!$V86+6)&lt;0,"",INT(ROUND((IF(('計算（触らない）'!$V86+6)=0,'計算（触らない）'!$C86,INDEX('計算（触らない）'!$AS86:$EP86,MIN(('計算（触らない）'!$V86+6),102)))-INDEX('計算（触らない）'!$AS86:$EP86,MIN(('計算（触らない）'!$V86+6),101)+1))*'計算（触らない）'!$N86,6)+'計算（触らない）'!$B$4)))</f>
        <v/>
      </c>
      <c r="K86" s="52">
        <f>IF('計算（触らない）'!$U86=0,"",IF(('計算（触らない）'!$V86+7)&lt;0,"",INT(ROUND((IF(('計算（触らない）'!$V86+7)=0,'計算（触らない）'!$C86,INDEX('計算（触らない）'!$AS86:$EP86,MIN(('計算（触らない）'!$V86+7),102)))-INDEX('計算（触らない）'!$AS86:$EP86,MIN(('計算（触らない）'!$V86+7),101)+1))*'計算（触らない）'!$N86,6)+'計算（触らない）'!$B$4)))</f>
        <v/>
      </c>
      <c r="L86" s="52">
        <f>IF('計算（触らない）'!$U86=0,"",IF(('計算（触らない）'!$V86+8)&lt;0,"",INT(ROUND((IF(('計算（触らない）'!$V86+8)=0,'計算（触らない）'!$C86,INDEX('計算（触らない）'!$AS86:$EP86,MIN(('計算（触らない）'!$V86+8),102)))-INDEX('計算（触らない）'!$AS86:$EP86,MIN(('計算（触らない）'!$V86+8),101)+1))*'計算（触らない）'!$N86,6)+'計算（触らない）'!$B$4)))</f>
        <v/>
      </c>
      <c r="M86" s="52">
        <f>IF('計算（触らない）'!$U86=0,"",IF(('計算（触らない）'!$V86+9)&lt;0,"",INT(ROUND((IF(('計算（触らない）'!$V86+9)=0,'計算（触らない）'!$C86,INDEX('計算（触らない）'!$AS86:$EP86,MIN(('計算（触らない）'!$V86+9),102)))-INDEX('計算（触らない）'!$AS86:$EP86,MIN(('計算（触らない）'!$V86+9),101)+1))*'計算（触らない）'!$N86,6)+'計算（触らない）'!$B$4)))</f>
        <v/>
      </c>
      <c r="N86" s="68" t="n"/>
      <c r="O86" s="52">
        <f>IF('計算（触らない）'!$U86=0,"",IF(('計算（触らない）'!$V86+0)&lt;0,"",IF(AND('計算（触らない）'!$F86&lt;=2,('計算（触らない）'!$V86+0)&gt;'計算（触らない）'!$R86),0,INDEX('計算（触らない）'!$AS86:$EP86,MIN(('計算（触らない）'!$V86+0),101)+1))))</f>
        <v/>
      </c>
      <c r="P86" s="52">
        <f>IF('計算（触らない）'!$U86=0,"",IF(('計算（触らない）'!$V86+1)&lt;0,"",IF(AND('計算（触らない）'!$F86&lt;=2,('計算（触らない）'!$V86+1)&gt;'計算（触らない）'!$R86),0,INDEX('計算（触らない）'!$AS86:$EP86,MIN(('計算（触らない）'!$V86+1),101)+1))))</f>
        <v/>
      </c>
      <c r="Q86" s="52">
        <f>IF('計算（触らない）'!$U86=0,"",IF(('計算（触らない）'!$V86+2)&lt;0,"",IF(AND('計算（触らない）'!$F86&lt;=2,('計算（触らない）'!$V86+2)&gt;'計算（触らない）'!$R86),0,INDEX('計算（触らない）'!$AS86:$EP86,MIN(('計算（触らない）'!$V86+2),101)+1))))</f>
        <v/>
      </c>
      <c r="R86" s="52">
        <f>IF('計算（触らない）'!$U86=0,"",IF(('計算（触らない）'!$V86+3)&lt;0,"",IF(AND('計算（触らない）'!$F86&lt;=2,('計算（触らない）'!$V86+3)&gt;'計算（触らない）'!$R86),0,INDEX('計算（触らない）'!$AS86:$EP86,MIN(('計算（触らない）'!$V86+3),101)+1))))</f>
        <v/>
      </c>
      <c r="S86" s="52">
        <f>IF('計算（触らない）'!$U86=0,"",IF(('計算（触らない）'!$V86+4)&lt;0,"",IF(AND('計算（触らない）'!$F86&lt;=2,('計算（触らない）'!$V86+4)&gt;'計算（触らない）'!$R86),0,INDEX('計算（触らない）'!$AS86:$EP86,MIN(('計算（触らない）'!$V86+4),101)+1))))</f>
        <v/>
      </c>
      <c r="T86" s="52">
        <f>IF('計算（触らない）'!$U86=0,"",IF(('計算（触らない）'!$V86+5)&lt;0,"",IF(AND('計算（触らない）'!$F86&lt;=2,('計算（触らない）'!$V86+5)&gt;'計算（触らない）'!$R86),0,INDEX('計算（触らない）'!$AS86:$EP86,MIN(('計算（触らない）'!$V86+5),101)+1))))</f>
        <v/>
      </c>
      <c r="U86" s="52">
        <f>IF('計算（触らない）'!$U86=0,"",IF(('計算（触らない）'!$V86+6)&lt;0,"",IF(AND('計算（触らない）'!$F86&lt;=2,('計算（触らない）'!$V86+6)&gt;'計算（触らない）'!$R86),0,INDEX('計算（触らない）'!$AS86:$EP86,MIN(('計算（触らない）'!$V86+6),101)+1))))</f>
        <v/>
      </c>
      <c r="V86" s="52">
        <f>IF('計算（触らない）'!$U86=0,"",IF(('計算（触らない）'!$V86+7)&lt;0,"",IF(AND('計算（触らない）'!$F86&lt;=2,('計算（触らない）'!$V86+7)&gt;'計算（触らない）'!$R86),0,INDEX('計算（触らない）'!$AS86:$EP86,MIN(('計算（触らない）'!$V86+7),101)+1))))</f>
        <v/>
      </c>
      <c r="W86" s="52">
        <f>IF('計算（触らない）'!$U86=0,"",IF(('計算（触らない）'!$V86+8)&lt;0,"",IF(AND('計算（触らない）'!$F86&lt;=2,('計算（触らない）'!$V86+8)&gt;'計算（触らない）'!$R86),0,INDEX('計算（触らない）'!$AS86:$EP86,MIN(('計算（触らない）'!$V86+8),101)+1))))</f>
        <v/>
      </c>
      <c r="X86" s="52">
        <f>IF('計算（触らない）'!$U86=0,"",IF(('計算（触らない）'!$V86+9)&lt;0,"",IF(AND('計算（触らない）'!$F86&lt;=2,('計算（触らない）'!$V86+9)&gt;'計算（触らない）'!$R86),0,INDEX('計算（触らない）'!$AS86:$EP86,MIN(('計算（触らない）'!$V86+9),101)+1))))</f>
        <v/>
      </c>
    </row>
    <row r="87" ht="17" customHeight="1">
      <c r="A87" s="21" t="n">
        <v>82</v>
      </c>
      <c r="B87" s="38">
        <f>IF('計算（触らない）'!$B87=0,"",'固定資産台帳'!$B87&amp;"")</f>
        <v/>
      </c>
      <c r="C87" s="38">
        <f>IF('計算（触らない）'!$B87=0,"",'固定資産台帳'!$H87&amp;"")</f>
        <v/>
      </c>
      <c r="D87" s="52">
        <f>IF('計算（触らない）'!$U87=0,"",IF(('計算（触らない）'!$V87+0)&lt;0,"",INT(ROUND((IF(('計算（触らない）'!$V87+0)=0,'計算（触らない）'!$C87,INDEX('計算（触らない）'!$AS87:$EP87,MIN(('計算（触らない）'!$V87+0),102)))-INDEX('計算（触らない）'!$AS87:$EP87,MIN(('計算（触らない）'!$V87+0),101)+1))*'計算（触らない）'!$N87,6)+'計算（触らない）'!$B$4)))</f>
        <v/>
      </c>
      <c r="E87" s="52">
        <f>IF('計算（触らない）'!$U87=0,"",IF(('計算（触らない）'!$V87+1)&lt;0,"",INT(ROUND((IF(('計算（触らない）'!$V87+1)=0,'計算（触らない）'!$C87,INDEX('計算（触らない）'!$AS87:$EP87,MIN(('計算（触らない）'!$V87+1),102)))-INDEX('計算（触らない）'!$AS87:$EP87,MIN(('計算（触らない）'!$V87+1),101)+1))*'計算（触らない）'!$N87,6)+'計算（触らない）'!$B$4)))</f>
        <v/>
      </c>
      <c r="F87" s="52">
        <f>IF('計算（触らない）'!$U87=0,"",IF(('計算（触らない）'!$V87+2)&lt;0,"",INT(ROUND((IF(('計算（触らない）'!$V87+2)=0,'計算（触らない）'!$C87,INDEX('計算（触らない）'!$AS87:$EP87,MIN(('計算（触らない）'!$V87+2),102)))-INDEX('計算（触らない）'!$AS87:$EP87,MIN(('計算（触らない）'!$V87+2),101)+1))*'計算（触らない）'!$N87,6)+'計算（触らない）'!$B$4)))</f>
        <v/>
      </c>
      <c r="G87" s="52">
        <f>IF('計算（触らない）'!$U87=0,"",IF(('計算（触らない）'!$V87+3)&lt;0,"",INT(ROUND((IF(('計算（触らない）'!$V87+3)=0,'計算（触らない）'!$C87,INDEX('計算（触らない）'!$AS87:$EP87,MIN(('計算（触らない）'!$V87+3),102)))-INDEX('計算（触らない）'!$AS87:$EP87,MIN(('計算（触らない）'!$V87+3),101)+1))*'計算（触らない）'!$N87,6)+'計算（触らない）'!$B$4)))</f>
        <v/>
      </c>
      <c r="H87" s="52">
        <f>IF('計算（触らない）'!$U87=0,"",IF(('計算（触らない）'!$V87+4)&lt;0,"",INT(ROUND((IF(('計算（触らない）'!$V87+4)=0,'計算（触らない）'!$C87,INDEX('計算（触らない）'!$AS87:$EP87,MIN(('計算（触らない）'!$V87+4),102)))-INDEX('計算（触らない）'!$AS87:$EP87,MIN(('計算（触らない）'!$V87+4),101)+1))*'計算（触らない）'!$N87,6)+'計算（触らない）'!$B$4)))</f>
        <v/>
      </c>
      <c r="I87" s="52">
        <f>IF('計算（触らない）'!$U87=0,"",IF(('計算（触らない）'!$V87+5)&lt;0,"",INT(ROUND((IF(('計算（触らない）'!$V87+5)=0,'計算（触らない）'!$C87,INDEX('計算（触らない）'!$AS87:$EP87,MIN(('計算（触らない）'!$V87+5),102)))-INDEX('計算（触らない）'!$AS87:$EP87,MIN(('計算（触らない）'!$V87+5),101)+1))*'計算（触らない）'!$N87,6)+'計算（触らない）'!$B$4)))</f>
        <v/>
      </c>
      <c r="J87" s="52">
        <f>IF('計算（触らない）'!$U87=0,"",IF(('計算（触らない）'!$V87+6)&lt;0,"",INT(ROUND((IF(('計算（触らない）'!$V87+6)=0,'計算（触らない）'!$C87,INDEX('計算（触らない）'!$AS87:$EP87,MIN(('計算（触らない）'!$V87+6),102)))-INDEX('計算（触らない）'!$AS87:$EP87,MIN(('計算（触らない）'!$V87+6),101)+1))*'計算（触らない）'!$N87,6)+'計算（触らない）'!$B$4)))</f>
        <v/>
      </c>
      <c r="K87" s="52">
        <f>IF('計算（触らない）'!$U87=0,"",IF(('計算（触らない）'!$V87+7)&lt;0,"",INT(ROUND((IF(('計算（触らない）'!$V87+7)=0,'計算（触らない）'!$C87,INDEX('計算（触らない）'!$AS87:$EP87,MIN(('計算（触らない）'!$V87+7),102)))-INDEX('計算（触らない）'!$AS87:$EP87,MIN(('計算（触らない）'!$V87+7),101)+1))*'計算（触らない）'!$N87,6)+'計算（触らない）'!$B$4)))</f>
        <v/>
      </c>
      <c r="L87" s="52">
        <f>IF('計算（触らない）'!$U87=0,"",IF(('計算（触らない）'!$V87+8)&lt;0,"",INT(ROUND((IF(('計算（触らない）'!$V87+8)=0,'計算（触らない）'!$C87,INDEX('計算（触らない）'!$AS87:$EP87,MIN(('計算（触らない）'!$V87+8),102)))-INDEX('計算（触らない）'!$AS87:$EP87,MIN(('計算（触らない）'!$V87+8),101)+1))*'計算（触らない）'!$N87,6)+'計算（触らない）'!$B$4)))</f>
        <v/>
      </c>
      <c r="M87" s="52">
        <f>IF('計算（触らない）'!$U87=0,"",IF(('計算（触らない）'!$V87+9)&lt;0,"",INT(ROUND((IF(('計算（触らない）'!$V87+9)=0,'計算（触らない）'!$C87,INDEX('計算（触らない）'!$AS87:$EP87,MIN(('計算（触らない）'!$V87+9),102)))-INDEX('計算（触らない）'!$AS87:$EP87,MIN(('計算（触らない）'!$V87+9),101)+1))*'計算（触らない）'!$N87,6)+'計算（触らない）'!$B$4)))</f>
        <v/>
      </c>
      <c r="N87" s="68" t="n"/>
      <c r="O87" s="52">
        <f>IF('計算（触らない）'!$U87=0,"",IF(('計算（触らない）'!$V87+0)&lt;0,"",IF(AND('計算（触らない）'!$F87&lt;=2,('計算（触らない）'!$V87+0)&gt;'計算（触らない）'!$R87),0,INDEX('計算（触らない）'!$AS87:$EP87,MIN(('計算（触らない）'!$V87+0),101)+1))))</f>
        <v/>
      </c>
      <c r="P87" s="52">
        <f>IF('計算（触らない）'!$U87=0,"",IF(('計算（触らない）'!$V87+1)&lt;0,"",IF(AND('計算（触らない）'!$F87&lt;=2,('計算（触らない）'!$V87+1)&gt;'計算（触らない）'!$R87),0,INDEX('計算（触らない）'!$AS87:$EP87,MIN(('計算（触らない）'!$V87+1),101)+1))))</f>
        <v/>
      </c>
      <c r="Q87" s="52">
        <f>IF('計算（触らない）'!$U87=0,"",IF(('計算（触らない）'!$V87+2)&lt;0,"",IF(AND('計算（触らない）'!$F87&lt;=2,('計算（触らない）'!$V87+2)&gt;'計算（触らない）'!$R87),0,INDEX('計算（触らない）'!$AS87:$EP87,MIN(('計算（触らない）'!$V87+2),101)+1))))</f>
        <v/>
      </c>
      <c r="R87" s="52">
        <f>IF('計算（触らない）'!$U87=0,"",IF(('計算（触らない）'!$V87+3)&lt;0,"",IF(AND('計算（触らない）'!$F87&lt;=2,('計算（触らない）'!$V87+3)&gt;'計算（触らない）'!$R87),0,INDEX('計算（触らない）'!$AS87:$EP87,MIN(('計算（触らない）'!$V87+3),101)+1))))</f>
        <v/>
      </c>
      <c r="S87" s="52">
        <f>IF('計算（触らない）'!$U87=0,"",IF(('計算（触らない）'!$V87+4)&lt;0,"",IF(AND('計算（触らない）'!$F87&lt;=2,('計算（触らない）'!$V87+4)&gt;'計算（触らない）'!$R87),0,INDEX('計算（触らない）'!$AS87:$EP87,MIN(('計算（触らない）'!$V87+4),101)+1))))</f>
        <v/>
      </c>
      <c r="T87" s="52">
        <f>IF('計算（触らない）'!$U87=0,"",IF(('計算（触らない）'!$V87+5)&lt;0,"",IF(AND('計算（触らない）'!$F87&lt;=2,('計算（触らない）'!$V87+5)&gt;'計算（触らない）'!$R87),0,INDEX('計算（触らない）'!$AS87:$EP87,MIN(('計算（触らない）'!$V87+5),101)+1))))</f>
        <v/>
      </c>
      <c r="U87" s="52">
        <f>IF('計算（触らない）'!$U87=0,"",IF(('計算（触らない）'!$V87+6)&lt;0,"",IF(AND('計算（触らない）'!$F87&lt;=2,('計算（触らない）'!$V87+6)&gt;'計算（触らない）'!$R87),0,INDEX('計算（触らない）'!$AS87:$EP87,MIN(('計算（触らない）'!$V87+6),101)+1))))</f>
        <v/>
      </c>
      <c r="V87" s="52">
        <f>IF('計算（触らない）'!$U87=0,"",IF(('計算（触らない）'!$V87+7)&lt;0,"",IF(AND('計算（触らない）'!$F87&lt;=2,('計算（触らない）'!$V87+7)&gt;'計算（触らない）'!$R87),0,INDEX('計算（触らない）'!$AS87:$EP87,MIN(('計算（触らない）'!$V87+7),101)+1))))</f>
        <v/>
      </c>
      <c r="W87" s="52">
        <f>IF('計算（触らない）'!$U87=0,"",IF(('計算（触らない）'!$V87+8)&lt;0,"",IF(AND('計算（触らない）'!$F87&lt;=2,('計算（触らない）'!$V87+8)&gt;'計算（触らない）'!$R87),0,INDEX('計算（触らない）'!$AS87:$EP87,MIN(('計算（触らない）'!$V87+8),101)+1))))</f>
        <v/>
      </c>
      <c r="X87" s="52">
        <f>IF('計算（触らない）'!$U87=0,"",IF(('計算（触らない）'!$V87+9)&lt;0,"",IF(AND('計算（触らない）'!$F87&lt;=2,('計算（触らない）'!$V87+9)&gt;'計算（触らない）'!$R87),0,INDEX('計算（触らない）'!$AS87:$EP87,MIN(('計算（触らない）'!$V87+9),101)+1))))</f>
        <v/>
      </c>
    </row>
    <row r="88" ht="17" customHeight="1">
      <c r="A88" s="21" t="n">
        <v>83</v>
      </c>
      <c r="B88" s="38">
        <f>IF('計算（触らない）'!$B88=0,"",'固定資産台帳'!$B88&amp;"")</f>
        <v/>
      </c>
      <c r="C88" s="38">
        <f>IF('計算（触らない）'!$B88=0,"",'固定資産台帳'!$H88&amp;"")</f>
        <v/>
      </c>
      <c r="D88" s="52">
        <f>IF('計算（触らない）'!$U88=0,"",IF(('計算（触らない）'!$V88+0)&lt;0,"",INT(ROUND((IF(('計算（触らない）'!$V88+0)=0,'計算（触らない）'!$C88,INDEX('計算（触らない）'!$AS88:$EP88,MIN(('計算（触らない）'!$V88+0),102)))-INDEX('計算（触らない）'!$AS88:$EP88,MIN(('計算（触らない）'!$V88+0),101)+1))*'計算（触らない）'!$N88,6)+'計算（触らない）'!$B$4)))</f>
        <v/>
      </c>
      <c r="E88" s="52">
        <f>IF('計算（触らない）'!$U88=0,"",IF(('計算（触らない）'!$V88+1)&lt;0,"",INT(ROUND((IF(('計算（触らない）'!$V88+1)=0,'計算（触らない）'!$C88,INDEX('計算（触らない）'!$AS88:$EP88,MIN(('計算（触らない）'!$V88+1),102)))-INDEX('計算（触らない）'!$AS88:$EP88,MIN(('計算（触らない）'!$V88+1),101)+1))*'計算（触らない）'!$N88,6)+'計算（触らない）'!$B$4)))</f>
        <v/>
      </c>
      <c r="F88" s="52">
        <f>IF('計算（触らない）'!$U88=0,"",IF(('計算（触らない）'!$V88+2)&lt;0,"",INT(ROUND((IF(('計算（触らない）'!$V88+2)=0,'計算（触らない）'!$C88,INDEX('計算（触らない）'!$AS88:$EP88,MIN(('計算（触らない）'!$V88+2),102)))-INDEX('計算（触らない）'!$AS88:$EP88,MIN(('計算（触らない）'!$V88+2),101)+1))*'計算（触らない）'!$N88,6)+'計算（触らない）'!$B$4)))</f>
        <v/>
      </c>
      <c r="G88" s="52">
        <f>IF('計算（触らない）'!$U88=0,"",IF(('計算（触らない）'!$V88+3)&lt;0,"",INT(ROUND((IF(('計算（触らない）'!$V88+3)=0,'計算（触らない）'!$C88,INDEX('計算（触らない）'!$AS88:$EP88,MIN(('計算（触らない）'!$V88+3),102)))-INDEX('計算（触らない）'!$AS88:$EP88,MIN(('計算（触らない）'!$V88+3),101)+1))*'計算（触らない）'!$N88,6)+'計算（触らない）'!$B$4)))</f>
        <v/>
      </c>
      <c r="H88" s="52">
        <f>IF('計算（触らない）'!$U88=0,"",IF(('計算（触らない）'!$V88+4)&lt;0,"",INT(ROUND((IF(('計算（触らない）'!$V88+4)=0,'計算（触らない）'!$C88,INDEX('計算（触らない）'!$AS88:$EP88,MIN(('計算（触らない）'!$V88+4),102)))-INDEX('計算（触らない）'!$AS88:$EP88,MIN(('計算（触らない）'!$V88+4),101)+1))*'計算（触らない）'!$N88,6)+'計算（触らない）'!$B$4)))</f>
        <v/>
      </c>
      <c r="I88" s="52">
        <f>IF('計算（触らない）'!$U88=0,"",IF(('計算（触らない）'!$V88+5)&lt;0,"",INT(ROUND((IF(('計算（触らない）'!$V88+5)=0,'計算（触らない）'!$C88,INDEX('計算（触らない）'!$AS88:$EP88,MIN(('計算（触らない）'!$V88+5),102)))-INDEX('計算（触らない）'!$AS88:$EP88,MIN(('計算（触らない）'!$V88+5),101)+1))*'計算（触らない）'!$N88,6)+'計算（触らない）'!$B$4)))</f>
        <v/>
      </c>
      <c r="J88" s="52">
        <f>IF('計算（触らない）'!$U88=0,"",IF(('計算（触らない）'!$V88+6)&lt;0,"",INT(ROUND((IF(('計算（触らない）'!$V88+6)=0,'計算（触らない）'!$C88,INDEX('計算（触らない）'!$AS88:$EP88,MIN(('計算（触らない）'!$V88+6),102)))-INDEX('計算（触らない）'!$AS88:$EP88,MIN(('計算（触らない）'!$V88+6),101)+1))*'計算（触らない）'!$N88,6)+'計算（触らない）'!$B$4)))</f>
        <v/>
      </c>
      <c r="K88" s="52">
        <f>IF('計算（触らない）'!$U88=0,"",IF(('計算（触らない）'!$V88+7)&lt;0,"",INT(ROUND((IF(('計算（触らない）'!$V88+7)=0,'計算（触らない）'!$C88,INDEX('計算（触らない）'!$AS88:$EP88,MIN(('計算（触らない）'!$V88+7),102)))-INDEX('計算（触らない）'!$AS88:$EP88,MIN(('計算（触らない）'!$V88+7),101)+1))*'計算（触らない）'!$N88,6)+'計算（触らない）'!$B$4)))</f>
        <v/>
      </c>
      <c r="L88" s="52">
        <f>IF('計算（触らない）'!$U88=0,"",IF(('計算（触らない）'!$V88+8)&lt;0,"",INT(ROUND((IF(('計算（触らない）'!$V88+8)=0,'計算（触らない）'!$C88,INDEX('計算（触らない）'!$AS88:$EP88,MIN(('計算（触らない）'!$V88+8),102)))-INDEX('計算（触らない）'!$AS88:$EP88,MIN(('計算（触らない）'!$V88+8),101)+1))*'計算（触らない）'!$N88,6)+'計算（触らない）'!$B$4)))</f>
        <v/>
      </c>
      <c r="M88" s="52">
        <f>IF('計算（触らない）'!$U88=0,"",IF(('計算（触らない）'!$V88+9)&lt;0,"",INT(ROUND((IF(('計算（触らない）'!$V88+9)=0,'計算（触らない）'!$C88,INDEX('計算（触らない）'!$AS88:$EP88,MIN(('計算（触らない）'!$V88+9),102)))-INDEX('計算（触らない）'!$AS88:$EP88,MIN(('計算（触らない）'!$V88+9),101)+1))*'計算（触らない）'!$N88,6)+'計算（触らない）'!$B$4)))</f>
        <v/>
      </c>
      <c r="N88" s="68" t="n"/>
      <c r="O88" s="52">
        <f>IF('計算（触らない）'!$U88=0,"",IF(('計算（触らない）'!$V88+0)&lt;0,"",IF(AND('計算（触らない）'!$F88&lt;=2,('計算（触らない）'!$V88+0)&gt;'計算（触らない）'!$R88),0,INDEX('計算（触らない）'!$AS88:$EP88,MIN(('計算（触らない）'!$V88+0),101)+1))))</f>
        <v/>
      </c>
      <c r="P88" s="52">
        <f>IF('計算（触らない）'!$U88=0,"",IF(('計算（触らない）'!$V88+1)&lt;0,"",IF(AND('計算（触らない）'!$F88&lt;=2,('計算（触らない）'!$V88+1)&gt;'計算（触らない）'!$R88),0,INDEX('計算（触らない）'!$AS88:$EP88,MIN(('計算（触らない）'!$V88+1),101)+1))))</f>
        <v/>
      </c>
      <c r="Q88" s="52">
        <f>IF('計算（触らない）'!$U88=0,"",IF(('計算（触らない）'!$V88+2)&lt;0,"",IF(AND('計算（触らない）'!$F88&lt;=2,('計算（触らない）'!$V88+2)&gt;'計算（触らない）'!$R88),0,INDEX('計算（触らない）'!$AS88:$EP88,MIN(('計算（触らない）'!$V88+2),101)+1))))</f>
        <v/>
      </c>
      <c r="R88" s="52">
        <f>IF('計算（触らない）'!$U88=0,"",IF(('計算（触らない）'!$V88+3)&lt;0,"",IF(AND('計算（触らない）'!$F88&lt;=2,('計算（触らない）'!$V88+3)&gt;'計算（触らない）'!$R88),0,INDEX('計算（触らない）'!$AS88:$EP88,MIN(('計算（触らない）'!$V88+3),101)+1))))</f>
        <v/>
      </c>
      <c r="S88" s="52">
        <f>IF('計算（触らない）'!$U88=0,"",IF(('計算（触らない）'!$V88+4)&lt;0,"",IF(AND('計算（触らない）'!$F88&lt;=2,('計算（触らない）'!$V88+4)&gt;'計算（触らない）'!$R88),0,INDEX('計算（触らない）'!$AS88:$EP88,MIN(('計算（触らない）'!$V88+4),101)+1))))</f>
        <v/>
      </c>
      <c r="T88" s="52">
        <f>IF('計算（触らない）'!$U88=0,"",IF(('計算（触らない）'!$V88+5)&lt;0,"",IF(AND('計算（触らない）'!$F88&lt;=2,('計算（触らない）'!$V88+5)&gt;'計算（触らない）'!$R88),0,INDEX('計算（触らない）'!$AS88:$EP88,MIN(('計算（触らない）'!$V88+5),101)+1))))</f>
        <v/>
      </c>
      <c r="U88" s="52">
        <f>IF('計算（触らない）'!$U88=0,"",IF(('計算（触らない）'!$V88+6)&lt;0,"",IF(AND('計算（触らない）'!$F88&lt;=2,('計算（触らない）'!$V88+6)&gt;'計算（触らない）'!$R88),0,INDEX('計算（触らない）'!$AS88:$EP88,MIN(('計算（触らない）'!$V88+6),101)+1))))</f>
        <v/>
      </c>
      <c r="V88" s="52">
        <f>IF('計算（触らない）'!$U88=0,"",IF(('計算（触らない）'!$V88+7)&lt;0,"",IF(AND('計算（触らない）'!$F88&lt;=2,('計算（触らない）'!$V88+7)&gt;'計算（触らない）'!$R88),0,INDEX('計算（触らない）'!$AS88:$EP88,MIN(('計算（触らない）'!$V88+7),101)+1))))</f>
        <v/>
      </c>
      <c r="W88" s="52">
        <f>IF('計算（触らない）'!$U88=0,"",IF(('計算（触らない）'!$V88+8)&lt;0,"",IF(AND('計算（触らない）'!$F88&lt;=2,('計算（触らない）'!$V88+8)&gt;'計算（触らない）'!$R88),0,INDEX('計算（触らない）'!$AS88:$EP88,MIN(('計算（触らない）'!$V88+8),101)+1))))</f>
        <v/>
      </c>
      <c r="X88" s="52">
        <f>IF('計算（触らない）'!$U88=0,"",IF(('計算（触らない）'!$V88+9)&lt;0,"",IF(AND('計算（触らない）'!$F88&lt;=2,('計算（触らない）'!$V88+9)&gt;'計算（触らない）'!$R88),0,INDEX('計算（触らない）'!$AS88:$EP88,MIN(('計算（触らない）'!$V88+9),101)+1))))</f>
        <v/>
      </c>
    </row>
    <row r="89" ht="17" customHeight="1">
      <c r="A89" s="21" t="n">
        <v>84</v>
      </c>
      <c r="B89" s="38">
        <f>IF('計算（触らない）'!$B89=0,"",'固定資産台帳'!$B89&amp;"")</f>
        <v/>
      </c>
      <c r="C89" s="38">
        <f>IF('計算（触らない）'!$B89=0,"",'固定資産台帳'!$H89&amp;"")</f>
        <v/>
      </c>
      <c r="D89" s="52">
        <f>IF('計算（触らない）'!$U89=0,"",IF(('計算（触らない）'!$V89+0)&lt;0,"",INT(ROUND((IF(('計算（触らない）'!$V89+0)=0,'計算（触らない）'!$C89,INDEX('計算（触らない）'!$AS89:$EP89,MIN(('計算（触らない）'!$V89+0),102)))-INDEX('計算（触らない）'!$AS89:$EP89,MIN(('計算（触らない）'!$V89+0),101)+1))*'計算（触らない）'!$N89,6)+'計算（触らない）'!$B$4)))</f>
        <v/>
      </c>
      <c r="E89" s="52">
        <f>IF('計算（触らない）'!$U89=0,"",IF(('計算（触らない）'!$V89+1)&lt;0,"",INT(ROUND((IF(('計算（触らない）'!$V89+1)=0,'計算（触らない）'!$C89,INDEX('計算（触らない）'!$AS89:$EP89,MIN(('計算（触らない）'!$V89+1),102)))-INDEX('計算（触らない）'!$AS89:$EP89,MIN(('計算（触らない）'!$V89+1),101)+1))*'計算（触らない）'!$N89,6)+'計算（触らない）'!$B$4)))</f>
        <v/>
      </c>
      <c r="F89" s="52">
        <f>IF('計算（触らない）'!$U89=0,"",IF(('計算（触らない）'!$V89+2)&lt;0,"",INT(ROUND((IF(('計算（触らない）'!$V89+2)=0,'計算（触らない）'!$C89,INDEX('計算（触らない）'!$AS89:$EP89,MIN(('計算（触らない）'!$V89+2),102)))-INDEX('計算（触らない）'!$AS89:$EP89,MIN(('計算（触らない）'!$V89+2),101)+1))*'計算（触らない）'!$N89,6)+'計算（触らない）'!$B$4)))</f>
        <v/>
      </c>
      <c r="G89" s="52">
        <f>IF('計算（触らない）'!$U89=0,"",IF(('計算（触らない）'!$V89+3)&lt;0,"",INT(ROUND((IF(('計算（触らない）'!$V89+3)=0,'計算（触らない）'!$C89,INDEX('計算（触らない）'!$AS89:$EP89,MIN(('計算（触らない）'!$V89+3),102)))-INDEX('計算（触らない）'!$AS89:$EP89,MIN(('計算（触らない）'!$V89+3),101)+1))*'計算（触らない）'!$N89,6)+'計算（触らない）'!$B$4)))</f>
        <v/>
      </c>
      <c r="H89" s="52">
        <f>IF('計算（触らない）'!$U89=0,"",IF(('計算（触らない）'!$V89+4)&lt;0,"",INT(ROUND((IF(('計算（触らない）'!$V89+4)=0,'計算（触らない）'!$C89,INDEX('計算（触らない）'!$AS89:$EP89,MIN(('計算（触らない）'!$V89+4),102)))-INDEX('計算（触らない）'!$AS89:$EP89,MIN(('計算（触らない）'!$V89+4),101)+1))*'計算（触らない）'!$N89,6)+'計算（触らない）'!$B$4)))</f>
        <v/>
      </c>
      <c r="I89" s="52">
        <f>IF('計算（触らない）'!$U89=0,"",IF(('計算（触らない）'!$V89+5)&lt;0,"",INT(ROUND((IF(('計算（触らない）'!$V89+5)=0,'計算（触らない）'!$C89,INDEX('計算（触らない）'!$AS89:$EP89,MIN(('計算（触らない）'!$V89+5),102)))-INDEX('計算（触らない）'!$AS89:$EP89,MIN(('計算（触らない）'!$V89+5),101)+1))*'計算（触らない）'!$N89,6)+'計算（触らない）'!$B$4)))</f>
        <v/>
      </c>
      <c r="J89" s="52">
        <f>IF('計算（触らない）'!$U89=0,"",IF(('計算（触らない）'!$V89+6)&lt;0,"",INT(ROUND((IF(('計算（触らない）'!$V89+6)=0,'計算（触らない）'!$C89,INDEX('計算（触らない）'!$AS89:$EP89,MIN(('計算（触らない）'!$V89+6),102)))-INDEX('計算（触らない）'!$AS89:$EP89,MIN(('計算（触らない）'!$V89+6),101)+1))*'計算（触らない）'!$N89,6)+'計算（触らない）'!$B$4)))</f>
        <v/>
      </c>
      <c r="K89" s="52">
        <f>IF('計算（触らない）'!$U89=0,"",IF(('計算（触らない）'!$V89+7)&lt;0,"",INT(ROUND((IF(('計算（触らない）'!$V89+7)=0,'計算（触らない）'!$C89,INDEX('計算（触らない）'!$AS89:$EP89,MIN(('計算（触らない）'!$V89+7),102)))-INDEX('計算（触らない）'!$AS89:$EP89,MIN(('計算（触らない）'!$V89+7),101)+1))*'計算（触らない）'!$N89,6)+'計算（触らない）'!$B$4)))</f>
        <v/>
      </c>
      <c r="L89" s="52">
        <f>IF('計算（触らない）'!$U89=0,"",IF(('計算（触らない）'!$V89+8)&lt;0,"",INT(ROUND((IF(('計算（触らない）'!$V89+8)=0,'計算（触らない）'!$C89,INDEX('計算（触らない）'!$AS89:$EP89,MIN(('計算（触らない）'!$V89+8),102)))-INDEX('計算（触らない）'!$AS89:$EP89,MIN(('計算（触らない）'!$V89+8),101)+1))*'計算（触らない）'!$N89,6)+'計算（触らない）'!$B$4)))</f>
        <v/>
      </c>
      <c r="M89" s="52">
        <f>IF('計算（触らない）'!$U89=0,"",IF(('計算（触らない）'!$V89+9)&lt;0,"",INT(ROUND((IF(('計算（触らない）'!$V89+9)=0,'計算（触らない）'!$C89,INDEX('計算（触らない）'!$AS89:$EP89,MIN(('計算（触らない）'!$V89+9),102)))-INDEX('計算（触らない）'!$AS89:$EP89,MIN(('計算（触らない）'!$V89+9),101)+1))*'計算（触らない）'!$N89,6)+'計算（触らない）'!$B$4)))</f>
        <v/>
      </c>
      <c r="N89" s="68" t="n"/>
      <c r="O89" s="52">
        <f>IF('計算（触らない）'!$U89=0,"",IF(('計算（触らない）'!$V89+0)&lt;0,"",IF(AND('計算（触らない）'!$F89&lt;=2,('計算（触らない）'!$V89+0)&gt;'計算（触らない）'!$R89),0,INDEX('計算（触らない）'!$AS89:$EP89,MIN(('計算（触らない）'!$V89+0),101)+1))))</f>
        <v/>
      </c>
      <c r="P89" s="52">
        <f>IF('計算（触らない）'!$U89=0,"",IF(('計算（触らない）'!$V89+1)&lt;0,"",IF(AND('計算（触らない）'!$F89&lt;=2,('計算（触らない）'!$V89+1)&gt;'計算（触らない）'!$R89),0,INDEX('計算（触らない）'!$AS89:$EP89,MIN(('計算（触らない）'!$V89+1),101)+1))))</f>
        <v/>
      </c>
      <c r="Q89" s="52">
        <f>IF('計算（触らない）'!$U89=0,"",IF(('計算（触らない）'!$V89+2)&lt;0,"",IF(AND('計算（触らない）'!$F89&lt;=2,('計算（触らない）'!$V89+2)&gt;'計算（触らない）'!$R89),0,INDEX('計算（触らない）'!$AS89:$EP89,MIN(('計算（触らない）'!$V89+2),101)+1))))</f>
        <v/>
      </c>
      <c r="R89" s="52">
        <f>IF('計算（触らない）'!$U89=0,"",IF(('計算（触らない）'!$V89+3)&lt;0,"",IF(AND('計算（触らない）'!$F89&lt;=2,('計算（触らない）'!$V89+3)&gt;'計算（触らない）'!$R89),0,INDEX('計算（触らない）'!$AS89:$EP89,MIN(('計算（触らない）'!$V89+3),101)+1))))</f>
        <v/>
      </c>
      <c r="S89" s="52">
        <f>IF('計算（触らない）'!$U89=0,"",IF(('計算（触らない）'!$V89+4)&lt;0,"",IF(AND('計算（触らない）'!$F89&lt;=2,('計算（触らない）'!$V89+4)&gt;'計算（触らない）'!$R89),0,INDEX('計算（触らない）'!$AS89:$EP89,MIN(('計算（触らない）'!$V89+4),101)+1))))</f>
        <v/>
      </c>
      <c r="T89" s="52">
        <f>IF('計算（触らない）'!$U89=0,"",IF(('計算（触らない）'!$V89+5)&lt;0,"",IF(AND('計算（触らない）'!$F89&lt;=2,('計算（触らない）'!$V89+5)&gt;'計算（触らない）'!$R89),0,INDEX('計算（触らない）'!$AS89:$EP89,MIN(('計算（触らない）'!$V89+5),101)+1))))</f>
        <v/>
      </c>
      <c r="U89" s="52">
        <f>IF('計算（触らない）'!$U89=0,"",IF(('計算（触らない）'!$V89+6)&lt;0,"",IF(AND('計算（触らない）'!$F89&lt;=2,('計算（触らない）'!$V89+6)&gt;'計算（触らない）'!$R89),0,INDEX('計算（触らない）'!$AS89:$EP89,MIN(('計算（触らない）'!$V89+6),101)+1))))</f>
        <v/>
      </c>
      <c r="V89" s="52">
        <f>IF('計算（触らない）'!$U89=0,"",IF(('計算（触らない）'!$V89+7)&lt;0,"",IF(AND('計算（触らない）'!$F89&lt;=2,('計算（触らない）'!$V89+7)&gt;'計算（触らない）'!$R89),0,INDEX('計算（触らない）'!$AS89:$EP89,MIN(('計算（触らない）'!$V89+7),101)+1))))</f>
        <v/>
      </c>
      <c r="W89" s="52">
        <f>IF('計算（触らない）'!$U89=0,"",IF(('計算（触らない）'!$V89+8)&lt;0,"",IF(AND('計算（触らない）'!$F89&lt;=2,('計算（触らない）'!$V89+8)&gt;'計算（触らない）'!$R89),0,INDEX('計算（触らない）'!$AS89:$EP89,MIN(('計算（触らない）'!$V89+8),101)+1))))</f>
        <v/>
      </c>
      <c r="X89" s="52">
        <f>IF('計算（触らない）'!$U89=0,"",IF(('計算（触らない）'!$V89+9)&lt;0,"",IF(AND('計算（触らない）'!$F89&lt;=2,('計算（触らない）'!$V89+9)&gt;'計算（触らない）'!$R89),0,INDEX('計算（触らない）'!$AS89:$EP89,MIN(('計算（触らない）'!$V89+9),101)+1))))</f>
        <v/>
      </c>
    </row>
    <row r="90" ht="17" customHeight="1">
      <c r="A90" s="21" t="n">
        <v>85</v>
      </c>
      <c r="B90" s="38">
        <f>IF('計算（触らない）'!$B90=0,"",'固定資産台帳'!$B90&amp;"")</f>
        <v/>
      </c>
      <c r="C90" s="38">
        <f>IF('計算（触らない）'!$B90=0,"",'固定資産台帳'!$H90&amp;"")</f>
        <v/>
      </c>
      <c r="D90" s="52">
        <f>IF('計算（触らない）'!$U90=0,"",IF(('計算（触らない）'!$V90+0)&lt;0,"",INT(ROUND((IF(('計算（触らない）'!$V90+0)=0,'計算（触らない）'!$C90,INDEX('計算（触らない）'!$AS90:$EP90,MIN(('計算（触らない）'!$V90+0),102)))-INDEX('計算（触らない）'!$AS90:$EP90,MIN(('計算（触らない）'!$V90+0),101)+1))*'計算（触らない）'!$N90,6)+'計算（触らない）'!$B$4)))</f>
        <v/>
      </c>
      <c r="E90" s="52">
        <f>IF('計算（触らない）'!$U90=0,"",IF(('計算（触らない）'!$V90+1)&lt;0,"",INT(ROUND((IF(('計算（触らない）'!$V90+1)=0,'計算（触らない）'!$C90,INDEX('計算（触らない）'!$AS90:$EP90,MIN(('計算（触らない）'!$V90+1),102)))-INDEX('計算（触らない）'!$AS90:$EP90,MIN(('計算（触らない）'!$V90+1),101)+1))*'計算（触らない）'!$N90,6)+'計算（触らない）'!$B$4)))</f>
        <v/>
      </c>
      <c r="F90" s="52">
        <f>IF('計算（触らない）'!$U90=0,"",IF(('計算（触らない）'!$V90+2)&lt;0,"",INT(ROUND((IF(('計算（触らない）'!$V90+2)=0,'計算（触らない）'!$C90,INDEX('計算（触らない）'!$AS90:$EP90,MIN(('計算（触らない）'!$V90+2),102)))-INDEX('計算（触らない）'!$AS90:$EP90,MIN(('計算（触らない）'!$V90+2),101)+1))*'計算（触らない）'!$N90,6)+'計算（触らない）'!$B$4)))</f>
        <v/>
      </c>
      <c r="G90" s="52">
        <f>IF('計算（触らない）'!$U90=0,"",IF(('計算（触らない）'!$V90+3)&lt;0,"",INT(ROUND((IF(('計算（触らない）'!$V90+3)=0,'計算（触らない）'!$C90,INDEX('計算（触らない）'!$AS90:$EP90,MIN(('計算（触らない）'!$V90+3),102)))-INDEX('計算（触らない）'!$AS90:$EP90,MIN(('計算（触らない）'!$V90+3),101)+1))*'計算（触らない）'!$N90,6)+'計算（触らない）'!$B$4)))</f>
        <v/>
      </c>
      <c r="H90" s="52">
        <f>IF('計算（触らない）'!$U90=0,"",IF(('計算（触らない）'!$V90+4)&lt;0,"",INT(ROUND((IF(('計算（触らない）'!$V90+4)=0,'計算（触らない）'!$C90,INDEX('計算（触らない）'!$AS90:$EP90,MIN(('計算（触らない）'!$V90+4),102)))-INDEX('計算（触らない）'!$AS90:$EP90,MIN(('計算（触らない）'!$V90+4),101)+1))*'計算（触らない）'!$N90,6)+'計算（触らない）'!$B$4)))</f>
        <v/>
      </c>
      <c r="I90" s="52">
        <f>IF('計算（触らない）'!$U90=0,"",IF(('計算（触らない）'!$V90+5)&lt;0,"",INT(ROUND((IF(('計算（触らない）'!$V90+5)=0,'計算（触らない）'!$C90,INDEX('計算（触らない）'!$AS90:$EP90,MIN(('計算（触らない）'!$V90+5),102)))-INDEX('計算（触らない）'!$AS90:$EP90,MIN(('計算（触らない）'!$V90+5),101)+1))*'計算（触らない）'!$N90,6)+'計算（触らない）'!$B$4)))</f>
        <v/>
      </c>
      <c r="J90" s="52">
        <f>IF('計算（触らない）'!$U90=0,"",IF(('計算（触らない）'!$V90+6)&lt;0,"",INT(ROUND((IF(('計算（触らない）'!$V90+6)=0,'計算（触らない）'!$C90,INDEX('計算（触らない）'!$AS90:$EP90,MIN(('計算（触らない）'!$V90+6),102)))-INDEX('計算（触らない）'!$AS90:$EP90,MIN(('計算（触らない）'!$V90+6),101)+1))*'計算（触らない）'!$N90,6)+'計算（触らない）'!$B$4)))</f>
        <v/>
      </c>
      <c r="K90" s="52">
        <f>IF('計算（触らない）'!$U90=0,"",IF(('計算（触らない）'!$V90+7)&lt;0,"",INT(ROUND((IF(('計算（触らない）'!$V90+7)=0,'計算（触らない）'!$C90,INDEX('計算（触らない）'!$AS90:$EP90,MIN(('計算（触らない）'!$V90+7),102)))-INDEX('計算（触らない）'!$AS90:$EP90,MIN(('計算（触らない）'!$V90+7),101)+1))*'計算（触らない）'!$N90,6)+'計算（触らない）'!$B$4)))</f>
        <v/>
      </c>
      <c r="L90" s="52">
        <f>IF('計算（触らない）'!$U90=0,"",IF(('計算（触らない）'!$V90+8)&lt;0,"",INT(ROUND((IF(('計算（触らない）'!$V90+8)=0,'計算（触らない）'!$C90,INDEX('計算（触らない）'!$AS90:$EP90,MIN(('計算（触らない）'!$V90+8),102)))-INDEX('計算（触らない）'!$AS90:$EP90,MIN(('計算（触らない）'!$V90+8),101)+1))*'計算（触らない）'!$N90,6)+'計算（触らない）'!$B$4)))</f>
        <v/>
      </c>
      <c r="M90" s="52">
        <f>IF('計算（触らない）'!$U90=0,"",IF(('計算（触らない）'!$V90+9)&lt;0,"",INT(ROUND((IF(('計算（触らない）'!$V90+9)=0,'計算（触らない）'!$C90,INDEX('計算（触らない）'!$AS90:$EP90,MIN(('計算（触らない）'!$V90+9),102)))-INDEX('計算（触らない）'!$AS90:$EP90,MIN(('計算（触らない）'!$V90+9),101)+1))*'計算（触らない）'!$N90,6)+'計算（触らない）'!$B$4)))</f>
        <v/>
      </c>
      <c r="N90" s="68" t="n"/>
      <c r="O90" s="52">
        <f>IF('計算（触らない）'!$U90=0,"",IF(('計算（触らない）'!$V90+0)&lt;0,"",IF(AND('計算（触らない）'!$F90&lt;=2,('計算（触らない）'!$V90+0)&gt;'計算（触らない）'!$R90),0,INDEX('計算（触らない）'!$AS90:$EP90,MIN(('計算（触らない）'!$V90+0),101)+1))))</f>
        <v/>
      </c>
      <c r="P90" s="52">
        <f>IF('計算（触らない）'!$U90=0,"",IF(('計算（触らない）'!$V90+1)&lt;0,"",IF(AND('計算（触らない）'!$F90&lt;=2,('計算（触らない）'!$V90+1)&gt;'計算（触らない）'!$R90),0,INDEX('計算（触らない）'!$AS90:$EP90,MIN(('計算（触らない）'!$V90+1),101)+1))))</f>
        <v/>
      </c>
      <c r="Q90" s="52">
        <f>IF('計算（触らない）'!$U90=0,"",IF(('計算（触らない）'!$V90+2)&lt;0,"",IF(AND('計算（触らない）'!$F90&lt;=2,('計算（触らない）'!$V90+2)&gt;'計算（触らない）'!$R90),0,INDEX('計算（触らない）'!$AS90:$EP90,MIN(('計算（触らない）'!$V90+2),101)+1))))</f>
        <v/>
      </c>
      <c r="R90" s="52">
        <f>IF('計算（触らない）'!$U90=0,"",IF(('計算（触らない）'!$V90+3)&lt;0,"",IF(AND('計算（触らない）'!$F90&lt;=2,('計算（触らない）'!$V90+3)&gt;'計算（触らない）'!$R90),0,INDEX('計算（触らない）'!$AS90:$EP90,MIN(('計算（触らない）'!$V90+3),101)+1))))</f>
        <v/>
      </c>
      <c r="S90" s="52">
        <f>IF('計算（触らない）'!$U90=0,"",IF(('計算（触らない）'!$V90+4)&lt;0,"",IF(AND('計算（触らない）'!$F90&lt;=2,('計算（触らない）'!$V90+4)&gt;'計算（触らない）'!$R90),0,INDEX('計算（触らない）'!$AS90:$EP90,MIN(('計算（触らない）'!$V90+4),101)+1))))</f>
        <v/>
      </c>
      <c r="T90" s="52">
        <f>IF('計算（触らない）'!$U90=0,"",IF(('計算（触らない）'!$V90+5)&lt;0,"",IF(AND('計算（触らない）'!$F90&lt;=2,('計算（触らない）'!$V90+5)&gt;'計算（触らない）'!$R90),0,INDEX('計算（触らない）'!$AS90:$EP90,MIN(('計算（触らない）'!$V90+5),101)+1))))</f>
        <v/>
      </c>
      <c r="U90" s="52">
        <f>IF('計算（触らない）'!$U90=0,"",IF(('計算（触らない）'!$V90+6)&lt;0,"",IF(AND('計算（触らない）'!$F90&lt;=2,('計算（触らない）'!$V90+6)&gt;'計算（触らない）'!$R90),0,INDEX('計算（触らない）'!$AS90:$EP90,MIN(('計算（触らない）'!$V90+6),101)+1))))</f>
        <v/>
      </c>
      <c r="V90" s="52">
        <f>IF('計算（触らない）'!$U90=0,"",IF(('計算（触らない）'!$V90+7)&lt;0,"",IF(AND('計算（触らない）'!$F90&lt;=2,('計算（触らない）'!$V90+7)&gt;'計算（触らない）'!$R90),0,INDEX('計算（触らない）'!$AS90:$EP90,MIN(('計算（触らない）'!$V90+7),101)+1))))</f>
        <v/>
      </c>
      <c r="W90" s="52">
        <f>IF('計算（触らない）'!$U90=0,"",IF(('計算（触らない）'!$V90+8)&lt;0,"",IF(AND('計算（触らない）'!$F90&lt;=2,('計算（触らない）'!$V90+8)&gt;'計算（触らない）'!$R90),0,INDEX('計算（触らない）'!$AS90:$EP90,MIN(('計算（触らない）'!$V90+8),101)+1))))</f>
        <v/>
      </c>
      <c r="X90" s="52">
        <f>IF('計算（触らない）'!$U90=0,"",IF(('計算（触らない）'!$V90+9)&lt;0,"",IF(AND('計算（触らない）'!$F90&lt;=2,('計算（触らない）'!$V90+9)&gt;'計算（触らない）'!$R90),0,INDEX('計算（触らない）'!$AS90:$EP90,MIN(('計算（触らない）'!$V90+9),101)+1))))</f>
        <v/>
      </c>
    </row>
    <row r="91" ht="17" customHeight="1">
      <c r="A91" s="21" t="n">
        <v>86</v>
      </c>
      <c r="B91" s="38">
        <f>IF('計算（触らない）'!$B91=0,"",'固定資産台帳'!$B91&amp;"")</f>
        <v/>
      </c>
      <c r="C91" s="38">
        <f>IF('計算（触らない）'!$B91=0,"",'固定資産台帳'!$H91&amp;"")</f>
        <v/>
      </c>
      <c r="D91" s="52">
        <f>IF('計算（触らない）'!$U91=0,"",IF(('計算（触らない）'!$V91+0)&lt;0,"",INT(ROUND((IF(('計算（触らない）'!$V91+0)=0,'計算（触らない）'!$C91,INDEX('計算（触らない）'!$AS91:$EP91,MIN(('計算（触らない）'!$V91+0),102)))-INDEX('計算（触らない）'!$AS91:$EP91,MIN(('計算（触らない）'!$V91+0),101)+1))*'計算（触らない）'!$N91,6)+'計算（触らない）'!$B$4)))</f>
        <v/>
      </c>
      <c r="E91" s="52">
        <f>IF('計算（触らない）'!$U91=0,"",IF(('計算（触らない）'!$V91+1)&lt;0,"",INT(ROUND((IF(('計算（触らない）'!$V91+1)=0,'計算（触らない）'!$C91,INDEX('計算（触らない）'!$AS91:$EP91,MIN(('計算（触らない）'!$V91+1),102)))-INDEX('計算（触らない）'!$AS91:$EP91,MIN(('計算（触らない）'!$V91+1),101)+1))*'計算（触らない）'!$N91,6)+'計算（触らない）'!$B$4)))</f>
        <v/>
      </c>
      <c r="F91" s="52">
        <f>IF('計算（触らない）'!$U91=0,"",IF(('計算（触らない）'!$V91+2)&lt;0,"",INT(ROUND((IF(('計算（触らない）'!$V91+2)=0,'計算（触らない）'!$C91,INDEX('計算（触らない）'!$AS91:$EP91,MIN(('計算（触らない）'!$V91+2),102)))-INDEX('計算（触らない）'!$AS91:$EP91,MIN(('計算（触らない）'!$V91+2),101)+1))*'計算（触らない）'!$N91,6)+'計算（触らない）'!$B$4)))</f>
        <v/>
      </c>
      <c r="G91" s="52">
        <f>IF('計算（触らない）'!$U91=0,"",IF(('計算（触らない）'!$V91+3)&lt;0,"",INT(ROUND((IF(('計算（触らない）'!$V91+3)=0,'計算（触らない）'!$C91,INDEX('計算（触らない）'!$AS91:$EP91,MIN(('計算（触らない）'!$V91+3),102)))-INDEX('計算（触らない）'!$AS91:$EP91,MIN(('計算（触らない）'!$V91+3),101)+1))*'計算（触らない）'!$N91,6)+'計算（触らない）'!$B$4)))</f>
        <v/>
      </c>
      <c r="H91" s="52">
        <f>IF('計算（触らない）'!$U91=0,"",IF(('計算（触らない）'!$V91+4)&lt;0,"",INT(ROUND((IF(('計算（触らない）'!$V91+4)=0,'計算（触らない）'!$C91,INDEX('計算（触らない）'!$AS91:$EP91,MIN(('計算（触らない）'!$V91+4),102)))-INDEX('計算（触らない）'!$AS91:$EP91,MIN(('計算（触らない）'!$V91+4),101)+1))*'計算（触らない）'!$N91,6)+'計算（触らない）'!$B$4)))</f>
        <v/>
      </c>
      <c r="I91" s="52">
        <f>IF('計算（触らない）'!$U91=0,"",IF(('計算（触らない）'!$V91+5)&lt;0,"",INT(ROUND((IF(('計算（触らない）'!$V91+5)=0,'計算（触らない）'!$C91,INDEX('計算（触らない）'!$AS91:$EP91,MIN(('計算（触らない）'!$V91+5),102)))-INDEX('計算（触らない）'!$AS91:$EP91,MIN(('計算（触らない）'!$V91+5),101)+1))*'計算（触らない）'!$N91,6)+'計算（触らない）'!$B$4)))</f>
        <v/>
      </c>
      <c r="J91" s="52">
        <f>IF('計算（触らない）'!$U91=0,"",IF(('計算（触らない）'!$V91+6)&lt;0,"",INT(ROUND((IF(('計算（触らない）'!$V91+6)=0,'計算（触らない）'!$C91,INDEX('計算（触らない）'!$AS91:$EP91,MIN(('計算（触らない）'!$V91+6),102)))-INDEX('計算（触らない）'!$AS91:$EP91,MIN(('計算（触らない）'!$V91+6),101)+1))*'計算（触らない）'!$N91,6)+'計算（触らない）'!$B$4)))</f>
        <v/>
      </c>
      <c r="K91" s="52">
        <f>IF('計算（触らない）'!$U91=0,"",IF(('計算（触らない）'!$V91+7)&lt;0,"",INT(ROUND((IF(('計算（触らない）'!$V91+7)=0,'計算（触らない）'!$C91,INDEX('計算（触らない）'!$AS91:$EP91,MIN(('計算（触らない）'!$V91+7),102)))-INDEX('計算（触らない）'!$AS91:$EP91,MIN(('計算（触らない）'!$V91+7),101)+1))*'計算（触らない）'!$N91,6)+'計算（触らない）'!$B$4)))</f>
        <v/>
      </c>
      <c r="L91" s="52">
        <f>IF('計算（触らない）'!$U91=0,"",IF(('計算（触らない）'!$V91+8)&lt;0,"",INT(ROUND((IF(('計算（触らない）'!$V91+8)=0,'計算（触らない）'!$C91,INDEX('計算（触らない）'!$AS91:$EP91,MIN(('計算（触らない）'!$V91+8),102)))-INDEX('計算（触らない）'!$AS91:$EP91,MIN(('計算（触らない）'!$V91+8),101)+1))*'計算（触らない）'!$N91,6)+'計算（触らない）'!$B$4)))</f>
        <v/>
      </c>
      <c r="M91" s="52">
        <f>IF('計算（触らない）'!$U91=0,"",IF(('計算（触らない）'!$V91+9)&lt;0,"",INT(ROUND((IF(('計算（触らない）'!$V91+9)=0,'計算（触らない）'!$C91,INDEX('計算（触らない）'!$AS91:$EP91,MIN(('計算（触らない）'!$V91+9),102)))-INDEX('計算（触らない）'!$AS91:$EP91,MIN(('計算（触らない）'!$V91+9),101)+1))*'計算（触らない）'!$N91,6)+'計算（触らない）'!$B$4)))</f>
        <v/>
      </c>
      <c r="N91" s="68" t="n"/>
      <c r="O91" s="52">
        <f>IF('計算（触らない）'!$U91=0,"",IF(('計算（触らない）'!$V91+0)&lt;0,"",IF(AND('計算（触らない）'!$F91&lt;=2,('計算（触らない）'!$V91+0)&gt;'計算（触らない）'!$R91),0,INDEX('計算（触らない）'!$AS91:$EP91,MIN(('計算（触らない）'!$V91+0),101)+1))))</f>
        <v/>
      </c>
      <c r="P91" s="52">
        <f>IF('計算（触らない）'!$U91=0,"",IF(('計算（触らない）'!$V91+1)&lt;0,"",IF(AND('計算（触らない）'!$F91&lt;=2,('計算（触らない）'!$V91+1)&gt;'計算（触らない）'!$R91),0,INDEX('計算（触らない）'!$AS91:$EP91,MIN(('計算（触らない）'!$V91+1),101)+1))))</f>
        <v/>
      </c>
      <c r="Q91" s="52">
        <f>IF('計算（触らない）'!$U91=0,"",IF(('計算（触らない）'!$V91+2)&lt;0,"",IF(AND('計算（触らない）'!$F91&lt;=2,('計算（触らない）'!$V91+2)&gt;'計算（触らない）'!$R91),0,INDEX('計算（触らない）'!$AS91:$EP91,MIN(('計算（触らない）'!$V91+2),101)+1))))</f>
        <v/>
      </c>
      <c r="R91" s="52">
        <f>IF('計算（触らない）'!$U91=0,"",IF(('計算（触らない）'!$V91+3)&lt;0,"",IF(AND('計算（触らない）'!$F91&lt;=2,('計算（触らない）'!$V91+3)&gt;'計算（触らない）'!$R91),0,INDEX('計算（触らない）'!$AS91:$EP91,MIN(('計算（触らない）'!$V91+3),101)+1))))</f>
        <v/>
      </c>
      <c r="S91" s="52">
        <f>IF('計算（触らない）'!$U91=0,"",IF(('計算（触らない）'!$V91+4)&lt;0,"",IF(AND('計算（触らない）'!$F91&lt;=2,('計算（触らない）'!$V91+4)&gt;'計算（触らない）'!$R91),0,INDEX('計算（触らない）'!$AS91:$EP91,MIN(('計算（触らない）'!$V91+4),101)+1))))</f>
        <v/>
      </c>
      <c r="T91" s="52">
        <f>IF('計算（触らない）'!$U91=0,"",IF(('計算（触らない）'!$V91+5)&lt;0,"",IF(AND('計算（触らない）'!$F91&lt;=2,('計算（触らない）'!$V91+5)&gt;'計算（触らない）'!$R91),0,INDEX('計算（触らない）'!$AS91:$EP91,MIN(('計算（触らない）'!$V91+5),101)+1))))</f>
        <v/>
      </c>
      <c r="U91" s="52">
        <f>IF('計算（触らない）'!$U91=0,"",IF(('計算（触らない）'!$V91+6)&lt;0,"",IF(AND('計算（触らない）'!$F91&lt;=2,('計算（触らない）'!$V91+6)&gt;'計算（触らない）'!$R91),0,INDEX('計算（触らない）'!$AS91:$EP91,MIN(('計算（触らない）'!$V91+6),101)+1))))</f>
        <v/>
      </c>
      <c r="V91" s="52">
        <f>IF('計算（触らない）'!$U91=0,"",IF(('計算（触らない）'!$V91+7)&lt;0,"",IF(AND('計算（触らない）'!$F91&lt;=2,('計算（触らない）'!$V91+7)&gt;'計算（触らない）'!$R91),0,INDEX('計算（触らない）'!$AS91:$EP91,MIN(('計算（触らない）'!$V91+7),101)+1))))</f>
        <v/>
      </c>
      <c r="W91" s="52">
        <f>IF('計算（触らない）'!$U91=0,"",IF(('計算（触らない）'!$V91+8)&lt;0,"",IF(AND('計算（触らない）'!$F91&lt;=2,('計算（触らない）'!$V91+8)&gt;'計算（触らない）'!$R91),0,INDEX('計算（触らない）'!$AS91:$EP91,MIN(('計算（触らない）'!$V91+8),101)+1))))</f>
        <v/>
      </c>
      <c r="X91" s="52">
        <f>IF('計算（触らない）'!$U91=0,"",IF(('計算（触らない）'!$V91+9)&lt;0,"",IF(AND('計算（触らない）'!$F91&lt;=2,('計算（触らない）'!$V91+9)&gt;'計算（触らない）'!$R91),0,INDEX('計算（触らない）'!$AS91:$EP91,MIN(('計算（触らない）'!$V91+9),101)+1))))</f>
        <v/>
      </c>
    </row>
    <row r="92" ht="17" customHeight="1">
      <c r="A92" s="21" t="n">
        <v>87</v>
      </c>
      <c r="B92" s="38">
        <f>IF('計算（触らない）'!$B92=0,"",'固定資産台帳'!$B92&amp;"")</f>
        <v/>
      </c>
      <c r="C92" s="38">
        <f>IF('計算（触らない）'!$B92=0,"",'固定資産台帳'!$H92&amp;"")</f>
        <v/>
      </c>
      <c r="D92" s="52">
        <f>IF('計算（触らない）'!$U92=0,"",IF(('計算（触らない）'!$V92+0)&lt;0,"",INT(ROUND((IF(('計算（触らない）'!$V92+0)=0,'計算（触らない）'!$C92,INDEX('計算（触らない）'!$AS92:$EP92,MIN(('計算（触らない）'!$V92+0),102)))-INDEX('計算（触らない）'!$AS92:$EP92,MIN(('計算（触らない）'!$V92+0),101)+1))*'計算（触らない）'!$N92,6)+'計算（触らない）'!$B$4)))</f>
        <v/>
      </c>
      <c r="E92" s="52">
        <f>IF('計算（触らない）'!$U92=0,"",IF(('計算（触らない）'!$V92+1)&lt;0,"",INT(ROUND((IF(('計算（触らない）'!$V92+1)=0,'計算（触らない）'!$C92,INDEX('計算（触らない）'!$AS92:$EP92,MIN(('計算（触らない）'!$V92+1),102)))-INDEX('計算（触らない）'!$AS92:$EP92,MIN(('計算（触らない）'!$V92+1),101)+1))*'計算（触らない）'!$N92,6)+'計算（触らない）'!$B$4)))</f>
        <v/>
      </c>
      <c r="F92" s="52">
        <f>IF('計算（触らない）'!$U92=0,"",IF(('計算（触らない）'!$V92+2)&lt;0,"",INT(ROUND((IF(('計算（触らない）'!$V92+2)=0,'計算（触らない）'!$C92,INDEX('計算（触らない）'!$AS92:$EP92,MIN(('計算（触らない）'!$V92+2),102)))-INDEX('計算（触らない）'!$AS92:$EP92,MIN(('計算（触らない）'!$V92+2),101)+1))*'計算（触らない）'!$N92,6)+'計算（触らない）'!$B$4)))</f>
        <v/>
      </c>
      <c r="G92" s="52">
        <f>IF('計算（触らない）'!$U92=0,"",IF(('計算（触らない）'!$V92+3)&lt;0,"",INT(ROUND((IF(('計算（触らない）'!$V92+3)=0,'計算（触らない）'!$C92,INDEX('計算（触らない）'!$AS92:$EP92,MIN(('計算（触らない）'!$V92+3),102)))-INDEX('計算（触らない）'!$AS92:$EP92,MIN(('計算（触らない）'!$V92+3),101)+1))*'計算（触らない）'!$N92,6)+'計算（触らない）'!$B$4)))</f>
        <v/>
      </c>
      <c r="H92" s="52">
        <f>IF('計算（触らない）'!$U92=0,"",IF(('計算（触らない）'!$V92+4)&lt;0,"",INT(ROUND((IF(('計算（触らない）'!$V92+4)=0,'計算（触らない）'!$C92,INDEX('計算（触らない）'!$AS92:$EP92,MIN(('計算（触らない）'!$V92+4),102)))-INDEX('計算（触らない）'!$AS92:$EP92,MIN(('計算（触らない）'!$V92+4),101)+1))*'計算（触らない）'!$N92,6)+'計算（触らない）'!$B$4)))</f>
        <v/>
      </c>
      <c r="I92" s="52">
        <f>IF('計算（触らない）'!$U92=0,"",IF(('計算（触らない）'!$V92+5)&lt;0,"",INT(ROUND((IF(('計算（触らない）'!$V92+5)=0,'計算（触らない）'!$C92,INDEX('計算（触らない）'!$AS92:$EP92,MIN(('計算（触らない）'!$V92+5),102)))-INDEX('計算（触らない）'!$AS92:$EP92,MIN(('計算（触らない）'!$V92+5),101)+1))*'計算（触らない）'!$N92,6)+'計算（触らない）'!$B$4)))</f>
        <v/>
      </c>
      <c r="J92" s="52">
        <f>IF('計算（触らない）'!$U92=0,"",IF(('計算（触らない）'!$V92+6)&lt;0,"",INT(ROUND((IF(('計算（触らない）'!$V92+6)=0,'計算（触らない）'!$C92,INDEX('計算（触らない）'!$AS92:$EP92,MIN(('計算（触らない）'!$V92+6),102)))-INDEX('計算（触らない）'!$AS92:$EP92,MIN(('計算（触らない）'!$V92+6),101)+1))*'計算（触らない）'!$N92,6)+'計算（触らない）'!$B$4)))</f>
        <v/>
      </c>
      <c r="K92" s="52">
        <f>IF('計算（触らない）'!$U92=0,"",IF(('計算（触らない）'!$V92+7)&lt;0,"",INT(ROUND((IF(('計算（触らない）'!$V92+7)=0,'計算（触らない）'!$C92,INDEX('計算（触らない）'!$AS92:$EP92,MIN(('計算（触らない）'!$V92+7),102)))-INDEX('計算（触らない）'!$AS92:$EP92,MIN(('計算（触らない）'!$V92+7),101)+1))*'計算（触らない）'!$N92,6)+'計算（触らない）'!$B$4)))</f>
        <v/>
      </c>
      <c r="L92" s="52">
        <f>IF('計算（触らない）'!$U92=0,"",IF(('計算（触らない）'!$V92+8)&lt;0,"",INT(ROUND((IF(('計算（触らない）'!$V92+8)=0,'計算（触らない）'!$C92,INDEX('計算（触らない）'!$AS92:$EP92,MIN(('計算（触らない）'!$V92+8),102)))-INDEX('計算（触らない）'!$AS92:$EP92,MIN(('計算（触らない）'!$V92+8),101)+1))*'計算（触らない）'!$N92,6)+'計算（触らない）'!$B$4)))</f>
        <v/>
      </c>
      <c r="M92" s="52">
        <f>IF('計算（触らない）'!$U92=0,"",IF(('計算（触らない）'!$V92+9)&lt;0,"",INT(ROUND((IF(('計算（触らない）'!$V92+9)=0,'計算（触らない）'!$C92,INDEX('計算（触らない）'!$AS92:$EP92,MIN(('計算（触らない）'!$V92+9),102)))-INDEX('計算（触らない）'!$AS92:$EP92,MIN(('計算（触らない）'!$V92+9),101)+1))*'計算（触らない）'!$N92,6)+'計算（触らない）'!$B$4)))</f>
        <v/>
      </c>
      <c r="N92" s="68" t="n"/>
      <c r="O92" s="52">
        <f>IF('計算（触らない）'!$U92=0,"",IF(('計算（触らない）'!$V92+0)&lt;0,"",IF(AND('計算（触らない）'!$F92&lt;=2,('計算（触らない）'!$V92+0)&gt;'計算（触らない）'!$R92),0,INDEX('計算（触らない）'!$AS92:$EP92,MIN(('計算（触らない）'!$V92+0),101)+1))))</f>
        <v/>
      </c>
      <c r="P92" s="52">
        <f>IF('計算（触らない）'!$U92=0,"",IF(('計算（触らない）'!$V92+1)&lt;0,"",IF(AND('計算（触らない）'!$F92&lt;=2,('計算（触らない）'!$V92+1)&gt;'計算（触らない）'!$R92),0,INDEX('計算（触らない）'!$AS92:$EP92,MIN(('計算（触らない）'!$V92+1),101)+1))))</f>
        <v/>
      </c>
      <c r="Q92" s="52">
        <f>IF('計算（触らない）'!$U92=0,"",IF(('計算（触らない）'!$V92+2)&lt;0,"",IF(AND('計算（触らない）'!$F92&lt;=2,('計算（触らない）'!$V92+2)&gt;'計算（触らない）'!$R92),0,INDEX('計算（触らない）'!$AS92:$EP92,MIN(('計算（触らない）'!$V92+2),101)+1))))</f>
        <v/>
      </c>
      <c r="R92" s="52">
        <f>IF('計算（触らない）'!$U92=0,"",IF(('計算（触らない）'!$V92+3)&lt;0,"",IF(AND('計算（触らない）'!$F92&lt;=2,('計算（触らない）'!$V92+3)&gt;'計算（触らない）'!$R92),0,INDEX('計算（触らない）'!$AS92:$EP92,MIN(('計算（触らない）'!$V92+3),101)+1))))</f>
        <v/>
      </c>
      <c r="S92" s="52">
        <f>IF('計算（触らない）'!$U92=0,"",IF(('計算（触らない）'!$V92+4)&lt;0,"",IF(AND('計算（触らない）'!$F92&lt;=2,('計算（触らない）'!$V92+4)&gt;'計算（触らない）'!$R92),0,INDEX('計算（触らない）'!$AS92:$EP92,MIN(('計算（触らない）'!$V92+4),101)+1))))</f>
        <v/>
      </c>
      <c r="T92" s="52">
        <f>IF('計算（触らない）'!$U92=0,"",IF(('計算（触らない）'!$V92+5)&lt;0,"",IF(AND('計算（触らない）'!$F92&lt;=2,('計算（触らない）'!$V92+5)&gt;'計算（触らない）'!$R92),0,INDEX('計算（触らない）'!$AS92:$EP92,MIN(('計算（触らない）'!$V92+5),101)+1))))</f>
        <v/>
      </c>
      <c r="U92" s="52">
        <f>IF('計算（触らない）'!$U92=0,"",IF(('計算（触らない）'!$V92+6)&lt;0,"",IF(AND('計算（触らない）'!$F92&lt;=2,('計算（触らない）'!$V92+6)&gt;'計算（触らない）'!$R92),0,INDEX('計算（触らない）'!$AS92:$EP92,MIN(('計算（触らない）'!$V92+6),101)+1))))</f>
        <v/>
      </c>
      <c r="V92" s="52">
        <f>IF('計算（触らない）'!$U92=0,"",IF(('計算（触らない）'!$V92+7)&lt;0,"",IF(AND('計算（触らない）'!$F92&lt;=2,('計算（触らない）'!$V92+7)&gt;'計算（触らない）'!$R92),0,INDEX('計算（触らない）'!$AS92:$EP92,MIN(('計算（触らない）'!$V92+7),101)+1))))</f>
        <v/>
      </c>
      <c r="W92" s="52">
        <f>IF('計算（触らない）'!$U92=0,"",IF(('計算（触らない）'!$V92+8)&lt;0,"",IF(AND('計算（触らない）'!$F92&lt;=2,('計算（触らない）'!$V92+8)&gt;'計算（触らない）'!$R92),0,INDEX('計算（触らない）'!$AS92:$EP92,MIN(('計算（触らない）'!$V92+8),101)+1))))</f>
        <v/>
      </c>
      <c r="X92" s="52">
        <f>IF('計算（触らない）'!$U92=0,"",IF(('計算（触らない）'!$V92+9)&lt;0,"",IF(AND('計算（触らない）'!$F92&lt;=2,('計算（触らない）'!$V92+9)&gt;'計算（触らない）'!$R92),0,INDEX('計算（触らない）'!$AS92:$EP92,MIN(('計算（触らない）'!$V92+9),101)+1))))</f>
        <v/>
      </c>
    </row>
    <row r="93" ht="17" customHeight="1">
      <c r="A93" s="21" t="n">
        <v>88</v>
      </c>
      <c r="B93" s="38">
        <f>IF('計算（触らない）'!$B93=0,"",'固定資産台帳'!$B93&amp;"")</f>
        <v/>
      </c>
      <c r="C93" s="38">
        <f>IF('計算（触らない）'!$B93=0,"",'固定資産台帳'!$H93&amp;"")</f>
        <v/>
      </c>
      <c r="D93" s="52">
        <f>IF('計算（触らない）'!$U93=0,"",IF(('計算（触らない）'!$V93+0)&lt;0,"",INT(ROUND((IF(('計算（触らない）'!$V93+0)=0,'計算（触らない）'!$C93,INDEX('計算（触らない）'!$AS93:$EP93,MIN(('計算（触らない）'!$V93+0),102)))-INDEX('計算（触らない）'!$AS93:$EP93,MIN(('計算（触らない）'!$V93+0),101)+1))*'計算（触らない）'!$N93,6)+'計算（触らない）'!$B$4)))</f>
        <v/>
      </c>
      <c r="E93" s="52">
        <f>IF('計算（触らない）'!$U93=0,"",IF(('計算（触らない）'!$V93+1)&lt;0,"",INT(ROUND((IF(('計算（触らない）'!$V93+1)=0,'計算（触らない）'!$C93,INDEX('計算（触らない）'!$AS93:$EP93,MIN(('計算（触らない）'!$V93+1),102)))-INDEX('計算（触らない）'!$AS93:$EP93,MIN(('計算（触らない）'!$V93+1),101)+1))*'計算（触らない）'!$N93,6)+'計算（触らない）'!$B$4)))</f>
        <v/>
      </c>
      <c r="F93" s="52">
        <f>IF('計算（触らない）'!$U93=0,"",IF(('計算（触らない）'!$V93+2)&lt;0,"",INT(ROUND((IF(('計算（触らない）'!$V93+2)=0,'計算（触らない）'!$C93,INDEX('計算（触らない）'!$AS93:$EP93,MIN(('計算（触らない）'!$V93+2),102)))-INDEX('計算（触らない）'!$AS93:$EP93,MIN(('計算（触らない）'!$V93+2),101)+1))*'計算（触らない）'!$N93,6)+'計算（触らない）'!$B$4)))</f>
        <v/>
      </c>
      <c r="G93" s="52">
        <f>IF('計算（触らない）'!$U93=0,"",IF(('計算（触らない）'!$V93+3)&lt;0,"",INT(ROUND((IF(('計算（触らない）'!$V93+3)=0,'計算（触らない）'!$C93,INDEX('計算（触らない）'!$AS93:$EP93,MIN(('計算（触らない）'!$V93+3),102)))-INDEX('計算（触らない）'!$AS93:$EP93,MIN(('計算（触らない）'!$V93+3),101)+1))*'計算（触らない）'!$N93,6)+'計算（触らない）'!$B$4)))</f>
        <v/>
      </c>
      <c r="H93" s="52">
        <f>IF('計算（触らない）'!$U93=0,"",IF(('計算（触らない）'!$V93+4)&lt;0,"",INT(ROUND((IF(('計算（触らない）'!$V93+4)=0,'計算（触らない）'!$C93,INDEX('計算（触らない）'!$AS93:$EP93,MIN(('計算（触らない）'!$V93+4),102)))-INDEX('計算（触らない）'!$AS93:$EP93,MIN(('計算（触らない）'!$V93+4),101)+1))*'計算（触らない）'!$N93,6)+'計算（触らない）'!$B$4)))</f>
        <v/>
      </c>
      <c r="I93" s="52">
        <f>IF('計算（触らない）'!$U93=0,"",IF(('計算（触らない）'!$V93+5)&lt;0,"",INT(ROUND((IF(('計算（触らない）'!$V93+5)=0,'計算（触らない）'!$C93,INDEX('計算（触らない）'!$AS93:$EP93,MIN(('計算（触らない）'!$V93+5),102)))-INDEX('計算（触らない）'!$AS93:$EP93,MIN(('計算（触らない）'!$V93+5),101)+1))*'計算（触らない）'!$N93,6)+'計算（触らない）'!$B$4)))</f>
        <v/>
      </c>
      <c r="J93" s="52">
        <f>IF('計算（触らない）'!$U93=0,"",IF(('計算（触らない）'!$V93+6)&lt;0,"",INT(ROUND((IF(('計算（触らない）'!$V93+6)=0,'計算（触らない）'!$C93,INDEX('計算（触らない）'!$AS93:$EP93,MIN(('計算（触らない）'!$V93+6),102)))-INDEX('計算（触らない）'!$AS93:$EP93,MIN(('計算（触らない）'!$V93+6),101)+1))*'計算（触らない）'!$N93,6)+'計算（触らない）'!$B$4)))</f>
        <v/>
      </c>
      <c r="K93" s="52">
        <f>IF('計算（触らない）'!$U93=0,"",IF(('計算（触らない）'!$V93+7)&lt;0,"",INT(ROUND((IF(('計算（触らない）'!$V93+7)=0,'計算（触らない）'!$C93,INDEX('計算（触らない）'!$AS93:$EP93,MIN(('計算（触らない）'!$V93+7),102)))-INDEX('計算（触らない）'!$AS93:$EP93,MIN(('計算（触らない）'!$V93+7),101)+1))*'計算（触らない）'!$N93,6)+'計算（触らない）'!$B$4)))</f>
        <v/>
      </c>
      <c r="L93" s="52">
        <f>IF('計算（触らない）'!$U93=0,"",IF(('計算（触らない）'!$V93+8)&lt;0,"",INT(ROUND((IF(('計算（触らない）'!$V93+8)=0,'計算（触らない）'!$C93,INDEX('計算（触らない）'!$AS93:$EP93,MIN(('計算（触らない）'!$V93+8),102)))-INDEX('計算（触らない）'!$AS93:$EP93,MIN(('計算（触らない）'!$V93+8),101)+1))*'計算（触らない）'!$N93,6)+'計算（触らない）'!$B$4)))</f>
        <v/>
      </c>
      <c r="M93" s="52">
        <f>IF('計算（触らない）'!$U93=0,"",IF(('計算（触らない）'!$V93+9)&lt;0,"",INT(ROUND((IF(('計算（触らない）'!$V93+9)=0,'計算（触らない）'!$C93,INDEX('計算（触らない）'!$AS93:$EP93,MIN(('計算（触らない）'!$V93+9),102)))-INDEX('計算（触らない）'!$AS93:$EP93,MIN(('計算（触らない）'!$V93+9),101)+1))*'計算（触らない）'!$N93,6)+'計算（触らない）'!$B$4)))</f>
        <v/>
      </c>
      <c r="N93" s="68" t="n"/>
      <c r="O93" s="52">
        <f>IF('計算（触らない）'!$U93=0,"",IF(('計算（触らない）'!$V93+0)&lt;0,"",IF(AND('計算（触らない）'!$F93&lt;=2,('計算（触らない）'!$V93+0)&gt;'計算（触らない）'!$R93),0,INDEX('計算（触らない）'!$AS93:$EP93,MIN(('計算（触らない）'!$V93+0),101)+1))))</f>
        <v/>
      </c>
      <c r="P93" s="52">
        <f>IF('計算（触らない）'!$U93=0,"",IF(('計算（触らない）'!$V93+1)&lt;0,"",IF(AND('計算（触らない）'!$F93&lt;=2,('計算（触らない）'!$V93+1)&gt;'計算（触らない）'!$R93),0,INDEX('計算（触らない）'!$AS93:$EP93,MIN(('計算（触らない）'!$V93+1),101)+1))))</f>
        <v/>
      </c>
      <c r="Q93" s="52">
        <f>IF('計算（触らない）'!$U93=0,"",IF(('計算（触らない）'!$V93+2)&lt;0,"",IF(AND('計算（触らない）'!$F93&lt;=2,('計算（触らない）'!$V93+2)&gt;'計算（触らない）'!$R93),0,INDEX('計算（触らない）'!$AS93:$EP93,MIN(('計算（触らない）'!$V93+2),101)+1))))</f>
        <v/>
      </c>
      <c r="R93" s="52">
        <f>IF('計算（触らない）'!$U93=0,"",IF(('計算（触らない）'!$V93+3)&lt;0,"",IF(AND('計算（触らない）'!$F93&lt;=2,('計算（触らない）'!$V93+3)&gt;'計算（触らない）'!$R93),0,INDEX('計算（触らない）'!$AS93:$EP93,MIN(('計算（触らない）'!$V93+3),101)+1))))</f>
        <v/>
      </c>
      <c r="S93" s="52">
        <f>IF('計算（触らない）'!$U93=0,"",IF(('計算（触らない）'!$V93+4)&lt;0,"",IF(AND('計算（触らない）'!$F93&lt;=2,('計算（触らない）'!$V93+4)&gt;'計算（触らない）'!$R93),0,INDEX('計算（触らない）'!$AS93:$EP93,MIN(('計算（触らない）'!$V93+4),101)+1))))</f>
        <v/>
      </c>
      <c r="T93" s="52">
        <f>IF('計算（触らない）'!$U93=0,"",IF(('計算（触らない）'!$V93+5)&lt;0,"",IF(AND('計算（触らない）'!$F93&lt;=2,('計算（触らない）'!$V93+5)&gt;'計算（触らない）'!$R93),0,INDEX('計算（触らない）'!$AS93:$EP93,MIN(('計算（触らない）'!$V93+5),101)+1))))</f>
        <v/>
      </c>
      <c r="U93" s="52">
        <f>IF('計算（触らない）'!$U93=0,"",IF(('計算（触らない）'!$V93+6)&lt;0,"",IF(AND('計算（触らない）'!$F93&lt;=2,('計算（触らない）'!$V93+6)&gt;'計算（触らない）'!$R93),0,INDEX('計算（触らない）'!$AS93:$EP93,MIN(('計算（触らない）'!$V93+6),101)+1))))</f>
        <v/>
      </c>
      <c r="V93" s="52">
        <f>IF('計算（触らない）'!$U93=0,"",IF(('計算（触らない）'!$V93+7)&lt;0,"",IF(AND('計算（触らない）'!$F93&lt;=2,('計算（触らない）'!$V93+7)&gt;'計算（触らない）'!$R93),0,INDEX('計算（触らない）'!$AS93:$EP93,MIN(('計算（触らない）'!$V93+7),101)+1))))</f>
        <v/>
      </c>
      <c r="W93" s="52">
        <f>IF('計算（触らない）'!$U93=0,"",IF(('計算（触らない）'!$V93+8)&lt;0,"",IF(AND('計算（触らない）'!$F93&lt;=2,('計算（触らない）'!$V93+8)&gt;'計算（触らない）'!$R93),0,INDEX('計算（触らない）'!$AS93:$EP93,MIN(('計算（触らない）'!$V93+8),101)+1))))</f>
        <v/>
      </c>
      <c r="X93" s="52">
        <f>IF('計算（触らない）'!$U93=0,"",IF(('計算（触らない）'!$V93+9)&lt;0,"",IF(AND('計算（触らない）'!$F93&lt;=2,('計算（触らない）'!$V93+9)&gt;'計算（触らない）'!$R93),0,INDEX('計算（触らない）'!$AS93:$EP93,MIN(('計算（触らない）'!$V93+9),101)+1))))</f>
        <v/>
      </c>
    </row>
    <row r="94" ht="17" customHeight="1">
      <c r="A94" s="21" t="n">
        <v>89</v>
      </c>
      <c r="B94" s="38">
        <f>IF('計算（触らない）'!$B94=0,"",'固定資産台帳'!$B94&amp;"")</f>
        <v/>
      </c>
      <c r="C94" s="38">
        <f>IF('計算（触らない）'!$B94=0,"",'固定資産台帳'!$H94&amp;"")</f>
        <v/>
      </c>
      <c r="D94" s="52">
        <f>IF('計算（触らない）'!$U94=0,"",IF(('計算（触らない）'!$V94+0)&lt;0,"",INT(ROUND((IF(('計算（触らない）'!$V94+0)=0,'計算（触らない）'!$C94,INDEX('計算（触らない）'!$AS94:$EP94,MIN(('計算（触らない）'!$V94+0),102)))-INDEX('計算（触らない）'!$AS94:$EP94,MIN(('計算（触らない）'!$V94+0),101)+1))*'計算（触らない）'!$N94,6)+'計算（触らない）'!$B$4)))</f>
        <v/>
      </c>
      <c r="E94" s="52">
        <f>IF('計算（触らない）'!$U94=0,"",IF(('計算（触らない）'!$V94+1)&lt;0,"",INT(ROUND((IF(('計算（触らない）'!$V94+1)=0,'計算（触らない）'!$C94,INDEX('計算（触らない）'!$AS94:$EP94,MIN(('計算（触らない）'!$V94+1),102)))-INDEX('計算（触らない）'!$AS94:$EP94,MIN(('計算（触らない）'!$V94+1),101)+1))*'計算（触らない）'!$N94,6)+'計算（触らない）'!$B$4)))</f>
        <v/>
      </c>
      <c r="F94" s="52">
        <f>IF('計算（触らない）'!$U94=0,"",IF(('計算（触らない）'!$V94+2)&lt;0,"",INT(ROUND((IF(('計算（触らない）'!$V94+2)=0,'計算（触らない）'!$C94,INDEX('計算（触らない）'!$AS94:$EP94,MIN(('計算（触らない）'!$V94+2),102)))-INDEX('計算（触らない）'!$AS94:$EP94,MIN(('計算（触らない）'!$V94+2),101)+1))*'計算（触らない）'!$N94,6)+'計算（触らない）'!$B$4)))</f>
        <v/>
      </c>
      <c r="G94" s="52">
        <f>IF('計算（触らない）'!$U94=0,"",IF(('計算（触らない）'!$V94+3)&lt;0,"",INT(ROUND((IF(('計算（触らない）'!$V94+3)=0,'計算（触らない）'!$C94,INDEX('計算（触らない）'!$AS94:$EP94,MIN(('計算（触らない）'!$V94+3),102)))-INDEX('計算（触らない）'!$AS94:$EP94,MIN(('計算（触らない）'!$V94+3),101)+1))*'計算（触らない）'!$N94,6)+'計算（触らない）'!$B$4)))</f>
        <v/>
      </c>
      <c r="H94" s="52">
        <f>IF('計算（触らない）'!$U94=0,"",IF(('計算（触らない）'!$V94+4)&lt;0,"",INT(ROUND((IF(('計算（触らない）'!$V94+4)=0,'計算（触らない）'!$C94,INDEX('計算（触らない）'!$AS94:$EP94,MIN(('計算（触らない）'!$V94+4),102)))-INDEX('計算（触らない）'!$AS94:$EP94,MIN(('計算（触らない）'!$V94+4),101)+1))*'計算（触らない）'!$N94,6)+'計算（触らない）'!$B$4)))</f>
        <v/>
      </c>
      <c r="I94" s="52">
        <f>IF('計算（触らない）'!$U94=0,"",IF(('計算（触らない）'!$V94+5)&lt;0,"",INT(ROUND((IF(('計算（触らない）'!$V94+5)=0,'計算（触らない）'!$C94,INDEX('計算（触らない）'!$AS94:$EP94,MIN(('計算（触らない）'!$V94+5),102)))-INDEX('計算（触らない）'!$AS94:$EP94,MIN(('計算（触らない）'!$V94+5),101)+1))*'計算（触らない）'!$N94,6)+'計算（触らない）'!$B$4)))</f>
        <v/>
      </c>
      <c r="J94" s="52">
        <f>IF('計算（触らない）'!$U94=0,"",IF(('計算（触らない）'!$V94+6)&lt;0,"",INT(ROUND((IF(('計算（触らない）'!$V94+6)=0,'計算（触らない）'!$C94,INDEX('計算（触らない）'!$AS94:$EP94,MIN(('計算（触らない）'!$V94+6),102)))-INDEX('計算（触らない）'!$AS94:$EP94,MIN(('計算（触らない）'!$V94+6),101)+1))*'計算（触らない）'!$N94,6)+'計算（触らない）'!$B$4)))</f>
        <v/>
      </c>
      <c r="K94" s="52">
        <f>IF('計算（触らない）'!$U94=0,"",IF(('計算（触らない）'!$V94+7)&lt;0,"",INT(ROUND((IF(('計算（触らない）'!$V94+7)=0,'計算（触らない）'!$C94,INDEX('計算（触らない）'!$AS94:$EP94,MIN(('計算（触らない）'!$V94+7),102)))-INDEX('計算（触らない）'!$AS94:$EP94,MIN(('計算（触らない）'!$V94+7),101)+1))*'計算（触らない）'!$N94,6)+'計算（触らない）'!$B$4)))</f>
        <v/>
      </c>
      <c r="L94" s="52">
        <f>IF('計算（触らない）'!$U94=0,"",IF(('計算（触らない）'!$V94+8)&lt;0,"",INT(ROUND((IF(('計算（触らない）'!$V94+8)=0,'計算（触らない）'!$C94,INDEX('計算（触らない）'!$AS94:$EP94,MIN(('計算（触らない）'!$V94+8),102)))-INDEX('計算（触らない）'!$AS94:$EP94,MIN(('計算（触らない）'!$V94+8),101)+1))*'計算（触らない）'!$N94,6)+'計算（触らない）'!$B$4)))</f>
        <v/>
      </c>
      <c r="M94" s="52">
        <f>IF('計算（触らない）'!$U94=0,"",IF(('計算（触らない）'!$V94+9)&lt;0,"",INT(ROUND((IF(('計算（触らない）'!$V94+9)=0,'計算（触らない）'!$C94,INDEX('計算（触らない）'!$AS94:$EP94,MIN(('計算（触らない）'!$V94+9),102)))-INDEX('計算（触らない）'!$AS94:$EP94,MIN(('計算（触らない）'!$V94+9),101)+1))*'計算（触らない）'!$N94,6)+'計算（触らない）'!$B$4)))</f>
        <v/>
      </c>
      <c r="N94" s="68" t="n"/>
      <c r="O94" s="52">
        <f>IF('計算（触らない）'!$U94=0,"",IF(('計算（触らない）'!$V94+0)&lt;0,"",IF(AND('計算（触らない）'!$F94&lt;=2,('計算（触らない）'!$V94+0)&gt;'計算（触らない）'!$R94),0,INDEX('計算（触らない）'!$AS94:$EP94,MIN(('計算（触らない）'!$V94+0),101)+1))))</f>
        <v/>
      </c>
      <c r="P94" s="52">
        <f>IF('計算（触らない）'!$U94=0,"",IF(('計算（触らない）'!$V94+1)&lt;0,"",IF(AND('計算（触らない）'!$F94&lt;=2,('計算（触らない）'!$V94+1)&gt;'計算（触らない）'!$R94),0,INDEX('計算（触らない）'!$AS94:$EP94,MIN(('計算（触らない）'!$V94+1),101)+1))))</f>
        <v/>
      </c>
      <c r="Q94" s="52">
        <f>IF('計算（触らない）'!$U94=0,"",IF(('計算（触らない）'!$V94+2)&lt;0,"",IF(AND('計算（触らない）'!$F94&lt;=2,('計算（触らない）'!$V94+2)&gt;'計算（触らない）'!$R94),0,INDEX('計算（触らない）'!$AS94:$EP94,MIN(('計算（触らない）'!$V94+2),101)+1))))</f>
        <v/>
      </c>
      <c r="R94" s="52">
        <f>IF('計算（触らない）'!$U94=0,"",IF(('計算（触らない）'!$V94+3)&lt;0,"",IF(AND('計算（触らない）'!$F94&lt;=2,('計算（触らない）'!$V94+3)&gt;'計算（触らない）'!$R94),0,INDEX('計算（触らない）'!$AS94:$EP94,MIN(('計算（触らない）'!$V94+3),101)+1))))</f>
        <v/>
      </c>
      <c r="S94" s="52">
        <f>IF('計算（触らない）'!$U94=0,"",IF(('計算（触らない）'!$V94+4)&lt;0,"",IF(AND('計算（触らない）'!$F94&lt;=2,('計算（触らない）'!$V94+4)&gt;'計算（触らない）'!$R94),0,INDEX('計算（触らない）'!$AS94:$EP94,MIN(('計算（触らない）'!$V94+4),101)+1))))</f>
        <v/>
      </c>
      <c r="T94" s="52">
        <f>IF('計算（触らない）'!$U94=0,"",IF(('計算（触らない）'!$V94+5)&lt;0,"",IF(AND('計算（触らない）'!$F94&lt;=2,('計算（触らない）'!$V94+5)&gt;'計算（触らない）'!$R94),0,INDEX('計算（触らない）'!$AS94:$EP94,MIN(('計算（触らない）'!$V94+5),101)+1))))</f>
        <v/>
      </c>
      <c r="U94" s="52">
        <f>IF('計算（触らない）'!$U94=0,"",IF(('計算（触らない）'!$V94+6)&lt;0,"",IF(AND('計算（触らない）'!$F94&lt;=2,('計算（触らない）'!$V94+6)&gt;'計算（触らない）'!$R94),0,INDEX('計算（触らない）'!$AS94:$EP94,MIN(('計算（触らない）'!$V94+6),101)+1))))</f>
        <v/>
      </c>
      <c r="V94" s="52">
        <f>IF('計算（触らない）'!$U94=0,"",IF(('計算（触らない）'!$V94+7)&lt;0,"",IF(AND('計算（触らない）'!$F94&lt;=2,('計算（触らない）'!$V94+7)&gt;'計算（触らない）'!$R94),0,INDEX('計算（触らない）'!$AS94:$EP94,MIN(('計算（触らない）'!$V94+7),101)+1))))</f>
        <v/>
      </c>
      <c r="W94" s="52">
        <f>IF('計算（触らない）'!$U94=0,"",IF(('計算（触らない）'!$V94+8)&lt;0,"",IF(AND('計算（触らない）'!$F94&lt;=2,('計算（触らない）'!$V94+8)&gt;'計算（触らない）'!$R94),0,INDEX('計算（触らない）'!$AS94:$EP94,MIN(('計算（触らない）'!$V94+8),101)+1))))</f>
        <v/>
      </c>
      <c r="X94" s="52">
        <f>IF('計算（触らない）'!$U94=0,"",IF(('計算（触らない）'!$V94+9)&lt;0,"",IF(AND('計算（触らない）'!$F94&lt;=2,('計算（触らない）'!$V94+9)&gt;'計算（触らない）'!$R94),0,INDEX('計算（触らない）'!$AS94:$EP94,MIN(('計算（触らない）'!$V94+9),101)+1))))</f>
        <v/>
      </c>
    </row>
    <row r="95" ht="17" customHeight="1">
      <c r="A95" s="21" t="n">
        <v>90</v>
      </c>
      <c r="B95" s="38">
        <f>IF('計算（触らない）'!$B95=0,"",'固定資産台帳'!$B95&amp;"")</f>
        <v/>
      </c>
      <c r="C95" s="38">
        <f>IF('計算（触らない）'!$B95=0,"",'固定資産台帳'!$H95&amp;"")</f>
        <v/>
      </c>
      <c r="D95" s="52">
        <f>IF('計算（触らない）'!$U95=0,"",IF(('計算（触らない）'!$V95+0)&lt;0,"",INT(ROUND((IF(('計算（触らない）'!$V95+0)=0,'計算（触らない）'!$C95,INDEX('計算（触らない）'!$AS95:$EP95,MIN(('計算（触らない）'!$V95+0),102)))-INDEX('計算（触らない）'!$AS95:$EP95,MIN(('計算（触らない）'!$V95+0),101)+1))*'計算（触らない）'!$N95,6)+'計算（触らない）'!$B$4)))</f>
        <v/>
      </c>
      <c r="E95" s="52">
        <f>IF('計算（触らない）'!$U95=0,"",IF(('計算（触らない）'!$V95+1)&lt;0,"",INT(ROUND((IF(('計算（触らない）'!$V95+1)=0,'計算（触らない）'!$C95,INDEX('計算（触らない）'!$AS95:$EP95,MIN(('計算（触らない）'!$V95+1),102)))-INDEX('計算（触らない）'!$AS95:$EP95,MIN(('計算（触らない）'!$V95+1),101)+1))*'計算（触らない）'!$N95,6)+'計算（触らない）'!$B$4)))</f>
        <v/>
      </c>
      <c r="F95" s="52">
        <f>IF('計算（触らない）'!$U95=0,"",IF(('計算（触らない）'!$V95+2)&lt;0,"",INT(ROUND((IF(('計算（触らない）'!$V95+2)=0,'計算（触らない）'!$C95,INDEX('計算（触らない）'!$AS95:$EP95,MIN(('計算（触らない）'!$V95+2),102)))-INDEX('計算（触らない）'!$AS95:$EP95,MIN(('計算（触らない）'!$V95+2),101)+1))*'計算（触らない）'!$N95,6)+'計算（触らない）'!$B$4)))</f>
        <v/>
      </c>
      <c r="G95" s="52">
        <f>IF('計算（触らない）'!$U95=0,"",IF(('計算（触らない）'!$V95+3)&lt;0,"",INT(ROUND((IF(('計算（触らない）'!$V95+3)=0,'計算（触らない）'!$C95,INDEX('計算（触らない）'!$AS95:$EP95,MIN(('計算（触らない）'!$V95+3),102)))-INDEX('計算（触らない）'!$AS95:$EP95,MIN(('計算（触らない）'!$V95+3),101)+1))*'計算（触らない）'!$N95,6)+'計算（触らない）'!$B$4)))</f>
        <v/>
      </c>
      <c r="H95" s="52">
        <f>IF('計算（触らない）'!$U95=0,"",IF(('計算（触らない）'!$V95+4)&lt;0,"",INT(ROUND((IF(('計算（触らない）'!$V95+4)=0,'計算（触らない）'!$C95,INDEX('計算（触らない）'!$AS95:$EP95,MIN(('計算（触らない）'!$V95+4),102)))-INDEX('計算（触らない）'!$AS95:$EP95,MIN(('計算（触らない）'!$V95+4),101)+1))*'計算（触らない）'!$N95,6)+'計算（触らない）'!$B$4)))</f>
        <v/>
      </c>
      <c r="I95" s="52">
        <f>IF('計算（触らない）'!$U95=0,"",IF(('計算（触らない）'!$V95+5)&lt;0,"",INT(ROUND((IF(('計算（触らない）'!$V95+5)=0,'計算（触らない）'!$C95,INDEX('計算（触らない）'!$AS95:$EP95,MIN(('計算（触らない）'!$V95+5),102)))-INDEX('計算（触らない）'!$AS95:$EP95,MIN(('計算（触らない）'!$V95+5),101)+1))*'計算（触らない）'!$N95,6)+'計算（触らない）'!$B$4)))</f>
        <v/>
      </c>
      <c r="J95" s="52">
        <f>IF('計算（触らない）'!$U95=0,"",IF(('計算（触らない）'!$V95+6)&lt;0,"",INT(ROUND((IF(('計算（触らない）'!$V95+6)=0,'計算（触らない）'!$C95,INDEX('計算（触らない）'!$AS95:$EP95,MIN(('計算（触らない）'!$V95+6),102)))-INDEX('計算（触らない）'!$AS95:$EP95,MIN(('計算（触らない）'!$V95+6),101)+1))*'計算（触らない）'!$N95,6)+'計算（触らない）'!$B$4)))</f>
        <v/>
      </c>
      <c r="K95" s="52">
        <f>IF('計算（触らない）'!$U95=0,"",IF(('計算（触らない）'!$V95+7)&lt;0,"",INT(ROUND((IF(('計算（触らない）'!$V95+7)=0,'計算（触らない）'!$C95,INDEX('計算（触らない）'!$AS95:$EP95,MIN(('計算（触らない）'!$V95+7),102)))-INDEX('計算（触らない）'!$AS95:$EP95,MIN(('計算（触らない）'!$V95+7),101)+1))*'計算（触らない）'!$N95,6)+'計算（触らない）'!$B$4)))</f>
        <v/>
      </c>
      <c r="L95" s="52">
        <f>IF('計算（触らない）'!$U95=0,"",IF(('計算（触らない）'!$V95+8)&lt;0,"",INT(ROUND((IF(('計算（触らない）'!$V95+8)=0,'計算（触らない）'!$C95,INDEX('計算（触らない）'!$AS95:$EP95,MIN(('計算（触らない）'!$V95+8),102)))-INDEX('計算（触らない）'!$AS95:$EP95,MIN(('計算（触らない）'!$V95+8),101)+1))*'計算（触らない）'!$N95,6)+'計算（触らない）'!$B$4)))</f>
        <v/>
      </c>
      <c r="M95" s="52">
        <f>IF('計算（触らない）'!$U95=0,"",IF(('計算（触らない）'!$V95+9)&lt;0,"",INT(ROUND((IF(('計算（触らない）'!$V95+9)=0,'計算（触らない）'!$C95,INDEX('計算（触らない）'!$AS95:$EP95,MIN(('計算（触らない）'!$V95+9),102)))-INDEX('計算（触らない）'!$AS95:$EP95,MIN(('計算（触らない）'!$V95+9),101)+1))*'計算（触らない）'!$N95,6)+'計算（触らない）'!$B$4)))</f>
        <v/>
      </c>
      <c r="N95" s="68" t="n"/>
      <c r="O95" s="52">
        <f>IF('計算（触らない）'!$U95=0,"",IF(('計算（触らない）'!$V95+0)&lt;0,"",IF(AND('計算（触らない）'!$F95&lt;=2,('計算（触らない）'!$V95+0)&gt;'計算（触らない）'!$R95),0,INDEX('計算（触らない）'!$AS95:$EP95,MIN(('計算（触らない）'!$V95+0),101)+1))))</f>
        <v/>
      </c>
      <c r="P95" s="52">
        <f>IF('計算（触らない）'!$U95=0,"",IF(('計算（触らない）'!$V95+1)&lt;0,"",IF(AND('計算（触らない）'!$F95&lt;=2,('計算（触らない）'!$V95+1)&gt;'計算（触らない）'!$R95),0,INDEX('計算（触らない）'!$AS95:$EP95,MIN(('計算（触らない）'!$V95+1),101)+1))))</f>
        <v/>
      </c>
      <c r="Q95" s="52">
        <f>IF('計算（触らない）'!$U95=0,"",IF(('計算（触らない）'!$V95+2)&lt;0,"",IF(AND('計算（触らない）'!$F95&lt;=2,('計算（触らない）'!$V95+2)&gt;'計算（触らない）'!$R95),0,INDEX('計算（触らない）'!$AS95:$EP95,MIN(('計算（触らない）'!$V95+2),101)+1))))</f>
        <v/>
      </c>
      <c r="R95" s="52">
        <f>IF('計算（触らない）'!$U95=0,"",IF(('計算（触らない）'!$V95+3)&lt;0,"",IF(AND('計算（触らない）'!$F95&lt;=2,('計算（触らない）'!$V95+3)&gt;'計算（触らない）'!$R95),0,INDEX('計算（触らない）'!$AS95:$EP95,MIN(('計算（触らない）'!$V95+3),101)+1))))</f>
        <v/>
      </c>
      <c r="S95" s="52">
        <f>IF('計算（触らない）'!$U95=0,"",IF(('計算（触らない）'!$V95+4)&lt;0,"",IF(AND('計算（触らない）'!$F95&lt;=2,('計算（触らない）'!$V95+4)&gt;'計算（触らない）'!$R95),0,INDEX('計算（触らない）'!$AS95:$EP95,MIN(('計算（触らない）'!$V95+4),101)+1))))</f>
        <v/>
      </c>
      <c r="T95" s="52">
        <f>IF('計算（触らない）'!$U95=0,"",IF(('計算（触らない）'!$V95+5)&lt;0,"",IF(AND('計算（触らない）'!$F95&lt;=2,('計算（触らない）'!$V95+5)&gt;'計算（触らない）'!$R95),0,INDEX('計算（触らない）'!$AS95:$EP95,MIN(('計算（触らない）'!$V95+5),101)+1))))</f>
        <v/>
      </c>
      <c r="U95" s="52">
        <f>IF('計算（触らない）'!$U95=0,"",IF(('計算（触らない）'!$V95+6)&lt;0,"",IF(AND('計算（触らない）'!$F95&lt;=2,('計算（触らない）'!$V95+6)&gt;'計算（触らない）'!$R95),0,INDEX('計算（触らない）'!$AS95:$EP95,MIN(('計算（触らない）'!$V95+6),101)+1))))</f>
        <v/>
      </c>
      <c r="V95" s="52">
        <f>IF('計算（触らない）'!$U95=0,"",IF(('計算（触らない）'!$V95+7)&lt;0,"",IF(AND('計算（触らない）'!$F95&lt;=2,('計算（触らない）'!$V95+7)&gt;'計算（触らない）'!$R95),0,INDEX('計算（触らない）'!$AS95:$EP95,MIN(('計算（触らない）'!$V95+7),101)+1))))</f>
        <v/>
      </c>
      <c r="W95" s="52">
        <f>IF('計算（触らない）'!$U95=0,"",IF(('計算（触らない）'!$V95+8)&lt;0,"",IF(AND('計算（触らない）'!$F95&lt;=2,('計算（触らない）'!$V95+8)&gt;'計算（触らない）'!$R95),0,INDEX('計算（触らない）'!$AS95:$EP95,MIN(('計算（触らない）'!$V95+8),101)+1))))</f>
        <v/>
      </c>
      <c r="X95" s="52">
        <f>IF('計算（触らない）'!$U95=0,"",IF(('計算（触らない）'!$V95+9)&lt;0,"",IF(AND('計算（触らない）'!$F95&lt;=2,('計算（触らない）'!$V95+9)&gt;'計算（触らない）'!$R95),0,INDEX('計算（触らない）'!$AS95:$EP95,MIN(('計算（触らない）'!$V95+9),101)+1))))</f>
        <v/>
      </c>
    </row>
    <row r="96" ht="17" customHeight="1">
      <c r="A96" s="21" t="n">
        <v>91</v>
      </c>
      <c r="B96" s="38">
        <f>IF('計算（触らない）'!$B96=0,"",'固定資産台帳'!$B96&amp;"")</f>
        <v/>
      </c>
      <c r="C96" s="38">
        <f>IF('計算（触らない）'!$B96=0,"",'固定資産台帳'!$H96&amp;"")</f>
        <v/>
      </c>
      <c r="D96" s="52">
        <f>IF('計算（触らない）'!$U96=0,"",IF(('計算（触らない）'!$V96+0)&lt;0,"",INT(ROUND((IF(('計算（触らない）'!$V96+0)=0,'計算（触らない）'!$C96,INDEX('計算（触らない）'!$AS96:$EP96,MIN(('計算（触らない）'!$V96+0),102)))-INDEX('計算（触らない）'!$AS96:$EP96,MIN(('計算（触らない）'!$V96+0),101)+1))*'計算（触らない）'!$N96,6)+'計算（触らない）'!$B$4)))</f>
        <v/>
      </c>
      <c r="E96" s="52">
        <f>IF('計算（触らない）'!$U96=0,"",IF(('計算（触らない）'!$V96+1)&lt;0,"",INT(ROUND((IF(('計算（触らない）'!$V96+1)=0,'計算（触らない）'!$C96,INDEX('計算（触らない）'!$AS96:$EP96,MIN(('計算（触らない）'!$V96+1),102)))-INDEX('計算（触らない）'!$AS96:$EP96,MIN(('計算（触らない）'!$V96+1),101)+1))*'計算（触らない）'!$N96,6)+'計算（触らない）'!$B$4)))</f>
        <v/>
      </c>
      <c r="F96" s="52">
        <f>IF('計算（触らない）'!$U96=0,"",IF(('計算（触らない）'!$V96+2)&lt;0,"",INT(ROUND((IF(('計算（触らない）'!$V96+2)=0,'計算（触らない）'!$C96,INDEX('計算（触らない）'!$AS96:$EP96,MIN(('計算（触らない）'!$V96+2),102)))-INDEX('計算（触らない）'!$AS96:$EP96,MIN(('計算（触らない）'!$V96+2),101)+1))*'計算（触らない）'!$N96,6)+'計算（触らない）'!$B$4)))</f>
        <v/>
      </c>
      <c r="G96" s="52">
        <f>IF('計算（触らない）'!$U96=0,"",IF(('計算（触らない）'!$V96+3)&lt;0,"",INT(ROUND((IF(('計算（触らない）'!$V96+3)=0,'計算（触らない）'!$C96,INDEX('計算（触らない）'!$AS96:$EP96,MIN(('計算（触らない）'!$V96+3),102)))-INDEX('計算（触らない）'!$AS96:$EP96,MIN(('計算（触らない）'!$V96+3),101)+1))*'計算（触らない）'!$N96,6)+'計算（触らない）'!$B$4)))</f>
        <v/>
      </c>
      <c r="H96" s="52">
        <f>IF('計算（触らない）'!$U96=0,"",IF(('計算（触らない）'!$V96+4)&lt;0,"",INT(ROUND((IF(('計算（触らない）'!$V96+4)=0,'計算（触らない）'!$C96,INDEX('計算（触らない）'!$AS96:$EP96,MIN(('計算（触らない）'!$V96+4),102)))-INDEX('計算（触らない）'!$AS96:$EP96,MIN(('計算（触らない）'!$V96+4),101)+1))*'計算（触らない）'!$N96,6)+'計算（触らない）'!$B$4)))</f>
        <v/>
      </c>
      <c r="I96" s="52">
        <f>IF('計算（触らない）'!$U96=0,"",IF(('計算（触らない）'!$V96+5)&lt;0,"",INT(ROUND((IF(('計算（触らない）'!$V96+5)=0,'計算（触らない）'!$C96,INDEX('計算（触らない）'!$AS96:$EP96,MIN(('計算（触らない）'!$V96+5),102)))-INDEX('計算（触らない）'!$AS96:$EP96,MIN(('計算（触らない）'!$V96+5),101)+1))*'計算（触らない）'!$N96,6)+'計算（触らない）'!$B$4)))</f>
        <v/>
      </c>
      <c r="J96" s="52">
        <f>IF('計算（触らない）'!$U96=0,"",IF(('計算（触らない）'!$V96+6)&lt;0,"",INT(ROUND((IF(('計算（触らない）'!$V96+6)=0,'計算（触らない）'!$C96,INDEX('計算（触らない）'!$AS96:$EP96,MIN(('計算（触らない）'!$V96+6),102)))-INDEX('計算（触らない）'!$AS96:$EP96,MIN(('計算（触らない）'!$V96+6),101)+1))*'計算（触らない）'!$N96,6)+'計算（触らない）'!$B$4)))</f>
        <v/>
      </c>
      <c r="K96" s="52">
        <f>IF('計算（触らない）'!$U96=0,"",IF(('計算（触らない）'!$V96+7)&lt;0,"",INT(ROUND((IF(('計算（触らない）'!$V96+7)=0,'計算（触らない）'!$C96,INDEX('計算（触らない）'!$AS96:$EP96,MIN(('計算（触らない）'!$V96+7),102)))-INDEX('計算（触らない）'!$AS96:$EP96,MIN(('計算（触らない）'!$V96+7),101)+1))*'計算（触らない）'!$N96,6)+'計算（触らない）'!$B$4)))</f>
        <v/>
      </c>
      <c r="L96" s="52">
        <f>IF('計算（触らない）'!$U96=0,"",IF(('計算（触らない）'!$V96+8)&lt;0,"",INT(ROUND((IF(('計算（触らない）'!$V96+8)=0,'計算（触らない）'!$C96,INDEX('計算（触らない）'!$AS96:$EP96,MIN(('計算（触らない）'!$V96+8),102)))-INDEX('計算（触らない）'!$AS96:$EP96,MIN(('計算（触らない）'!$V96+8),101)+1))*'計算（触らない）'!$N96,6)+'計算（触らない）'!$B$4)))</f>
        <v/>
      </c>
      <c r="M96" s="52">
        <f>IF('計算（触らない）'!$U96=0,"",IF(('計算（触らない）'!$V96+9)&lt;0,"",INT(ROUND((IF(('計算（触らない）'!$V96+9)=0,'計算（触らない）'!$C96,INDEX('計算（触らない）'!$AS96:$EP96,MIN(('計算（触らない）'!$V96+9),102)))-INDEX('計算（触らない）'!$AS96:$EP96,MIN(('計算（触らない）'!$V96+9),101)+1))*'計算（触らない）'!$N96,6)+'計算（触らない）'!$B$4)))</f>
        <v/>
      </c>
      <c r="N96" s="68" t="n"/>
      <c r="O96" s="52">
        <f>IF('計算（触らない）'!$U96=0,"",IF(('計算（触らない）'!$V96+0)&lt;0,"",IF(AND('計算（触らない）'!$F96&lt;=2,('計算（触らない）'!$V96+0)&gt;'計算（触らない）'!$R96),0,INDEX('計算（触らない）'!$AS96:$EP96,MIN(('計算（触らない）'!$V96+0),101)+1))))</f>
        <v/>
      </c>
      <c r="P96" s="52">
        <f>IF('計算（触らない）'!$U96=0,"",IF(('計算（触らない）'!$V96+1)&lt;0,"",IF(AND('計算（触らない）'!$F96&lt;=2,('計算（触らない）'!$V96+1)&gt;'計算（触らない）'!$R96),0,INDEX('計算（触らない）'!$AS96:$EP96,MIN(('計算（触らない）'!$V96+1),101)+1))))</f>
        <v/>
      </c>
      <c r="Q96" s="52">
        <f>IF('計算（触らない）'!$U96=0,"",IF(('計算（触らない）'!$V96+2)&lt;0,"",IF(AND('計算（触らない）'!$F96&lt;=2,('計算（触らない）'!$V96+2)&gt;'計算（触らない）'!$R96),0,INDEX('計算（触らない）'!$AS96:$EP96,MIN(('計算（触らない）'!$V96+2),101)+1))))</f>
        <v/>
      </c>
      <c r="R96" s="52">
        <f>IF('計算（触らない）'!$U96=0,"",IF(('計算（触らない）'!$V96+3)&lt;0,"",IF(AND('計算（触らない）'!$F96&lt;=2,('計算（触らない）'!$V96+3)&gt;'計算（触らない）'!$R96),0,INDEX('計算（触らない）'!$AS96:$EP96,MIN(('計算（触らない）'!$V96+3),101)+1))))</f>
        <v/>
      </c>
      <c r="S96" s="52">
        <f>IF('計算（触らない）'!$U96=0,"",IF(('計算（触らない）'!$V96+4)&lt;0,"",IF(AND('計算（触らない）'!$F96&lt;=2,('計算（触らない）'!$V96+4)&gt;'計算（触らない）'!$R96),0,INDEX('計算（触らない）'!$AS96:$EP96,MIN(('計算（触らない）'!$V96+4),101)+1))))</f>
        <v/>
      </c>
      <c r="T96" s="52">
        <f>IF('計算（触らない）'!$U96=0,"",IF(('計算（触らない）'!$V96+5)&lt;0,"",IF(AND('計算（触らない）'!$F96&lt;=2,('計算（触らない）'!$V96+5)&gt;'計算（触らない）'!$R96),0,INDEX('計算（触らない）'!$AS96:$EP96,MIN(('計算（触らない）'!$V96+5),101)+1))))</f>
        <v/>
      </c>
      <c r="U96" s="52">
        <f>IF('計算（触らない）'!$U96=0,"",IF(('計算（触らない）'!$V96+6)&lt;0,"",IF(AND('計算（触らない）'!$F96&lt;=2,('計算（触らない）'!$V96+6)&gt;'計算（触らない）'!$R96),0,INDEX('計算（触らない）'!$AS96:$EP96,MIN(('計算（触らない）'!$V96+6),101)+1))))</f>
        <v/>
      </c>
      <c r="V96" s="52">
        <f>IF('計算（触らない）'!$U96=0,"",IF(('計算（触らない）'!$V96+7)&lt;0,"",IF(AND('計算（触らない）'!$F96&lt;=2,('計算（触らない）'!$V96+7)&gt;'計算（触らない）'!$R96),0,INDEX('計算（触らない）'!$AS96:$EP96,MIN(('計算（触らない）'!$V96+7),101)+1))))</f>
        <v/>
      </c>
      <c r="W96" s="52">
        <f>IF('計算（触らない）'!$U96=0,"",IF(('計算（触らない）'!$V96+8)&lt;0,"",IF(AND('計算（触らない）'!$F96&lt;=2,('計算（触らない）'!$V96+8)&gt;'計算（触らない）'!$R96),0,INDEX('計算（触らない）'!$AS96:$EP96,MIN(('計算（触らない）'!$V96+8),101)+1))))</f>
        <v/>
      </c>
      <c r="X96" s="52">
        <f>IF('計算（触らない）'!$U96=0,"",IF(('計算（触らない）'!$V96+9)&lt;0,"",IF(AND('計算（触らない）'!$F96&lt;=2,('計算（触らない）'!$V96+9)&gt;'計算（触らない）'!$R96),0,INDEX('計算（触らない）'!$AS96:$EP96,MIN(('計算（触らない）'!$V96+9),101)+1))))</f>
        <v/>
      </c>
    </row>
    <row r="97" ht="17" customHeight="1">
      <c r="A97" s="21" t="n">
        <v>92</v>
      </c>
      <c r="B97" s="38">
        <f>IF('計算（触らない）'!$B97=0,"",'固定資産台帳'!$B97&amp;"")</f>
        <v/>
      </c>
      <c r="C97" s="38">
        <f>IF('計算（触らない）'!$B97=0,"",'固定資産台帳'!$H97&amp;"")</f>
        <v/>
      </c>
      <c r="D97" s="52">
        <f>IF('計算（触らない）'!$U97=0,"",IF(('計算（触らない）'!$V97+0)&lt;0,"",INT(ROUND((IF(('計算（触らない）'!$V97+0)=0,'計算（触らない）'!$C97,INDEX('計算（触らない）'!$AS97:$EP97,MIN(('計算（触らない）'!$V97+0),102)))-INDEX('計算（触らない）'!$AS97:$EP97,MIN(('計算（触らない）'!$V97+0),101)+1))*'計算（触らない）'!$N97,6)+'計算（触らない）'!$B$4)))</f>
        <v/>
      </c>
      <c r="E97" s="52">
        <f>IF('計算（触らない）'!$U97=0,"",IF(('計算（触らない）'!$V97+1)&lt;0,"",INT(ROUND((IF(('計算（触らない）'!$V97+1)=0,'計算（触らない）'!$C97,INDEX('計算（触らない）'!$AS97:$EP97,MIN(('計算（触らない）'!$V97+1),102)))-INDEX('計算（触らない）'!$AS97:$EP97,MIN(('計算（触らない）'!$V97+1),101)+1))*'計算（触らない）'!$N97,6)+'計算（触らない）'!$B$4)))</f>
        <v/>
      </c>
      <c r="F97" s="52">
        <f>IF('計算（触らない）'!$U97=0,"",IF(('計算（触らない）'!$V97+2)&lt;0,"",INT(ROUND((IF(('計算（触らない）'!$V97+2)=0,'計算（触らない）'!$C97,INDEX('計算（触らない）'!$AS97:$EP97,MIN(('計算（触らない）'!$V97+2),102)))-INDEX('計算（触らない）'!$AS97:$EP97,MIN(('計算（触らない）'!$V97+2),101)+1))*'計算（触らない）'!$N97,6)+'計算（触らない）'!$B$4)))</f>
        <v/>
      </c>
      <c r="G97" s="52">
        <f>IF('計算（触らない）'!$U97=0,"",IF(('計算（触らない）'!$V97+3)&lt;0,"",INT(ROUND((IF(('計算（触らない）'!$V97+3)=0,'計算（触らない）'!$C97,INDEX('計算（触らない）'!$AS97:$EP97,MIN(('計算（触らない）'!$V97+3),102)))-INDEX('計算（触らない）'!$AS97:$EP97,MIN(('計算（触らない）'!$V97+3),101)+1))*'計算（触らない）'!$N97,6)+'計算（触らない）'!$B$4)))</f>
        <v/>
      </c>
      <c r="H97" s="52">
        <f>IF('計算（触らない）'!$U97=0,"",IF(('計算（触らない）'!$V97+4)&lt;0,"",INT(ROUND((IF(('計算（触らない）'!$V97+4)=0,'計算（触らない）'!$C97,INDEX('計算（触らない）'!$AS97:$EP97,MIN(('計算（触らない）'!$V97+4),102)))-INDEX('計算（触らない）'!$AS97:$EP97,MIN(('計算（触らない）'!$V97+4),101)+1))*'計算（触らない）'!$N97,6)+'計算（触らない）'!$B$4)))</f>
        <v/>
      </c>
      <c r="I97" s="52">
        <f>IF('計算（触らない）'!$U97=0,"",IF(('計算（触らない）'!$V97+5)&lt;0,"",INT(ROUND((IF(('計算（触らない）'!$V97+5)=0,'計算（触らない）'!$C97,INDEX('計算（触らない）'!$AS97:$EP97,MIN(('計算（触らない）'!$V97+5),102)))-INDEX('計算（触らない）'!$AS97:$EP97,MIN(('計算（触らない）'!$V97+5),101)+1))*'計算（触らない）'!$N97,6)+'計算（触らない）'!$B$4)))</f>
        <v/>
      </c>
      <c r="J97" s="52">
        <f>IF('計算（触らない）'!$U97=0,"",IF(('計算（触らない）'!$V97+6)&lt;0,"",INT(ROUND((IF(('計算（触らない）'!$V97+6)=0,'計算（触らない）'!$C97,INDEX('計算（触らない）'!$AS97:$EP97,MIN(('計算（触らない）'!$V97+6),102)))-INDEX('計算（触らない）'!$AS97:$EP97,MIN(('計算（触らない）'!$V97+6),101)+1))*'計算（触らない）'!$N97,6)+'計算（触らない）'!$B$4)))</f>
        <v/>
      </c>
      <c r="K97" s="52">
        <f>IF('計算（触らない）'!$U97=0,"",IF(('計算（触らない）'!$V97+7)&lt;0,"",INT(ROUND((IF(('計算（触らない）'!$V97+7)=0,'計算（触らない）'!$C97,INDEX('計算（触らない）'!$AS97:$EP97,MIN(('計算（触らない）'!$V97+7),102)))-INDEX('計算（触らない）'!$AS97:$EP97,MIN(('計算（触らない）'!$V97+7),101)+1))*'計算（触らない）'!$N97,6)+'計算（触らない）'!$B$4)))</f>
        <v/>
      </c>
      <c r="L97" s="52">
        <f>IF('計算（触らない）'!$U97=0,"",IF(('計算（触らない）'!$V97+8)&lt;0,"",INT(ROUND((IF(('計算（触らない）'!$V97+8)=0,'計算（触らない）'!$C97,INDEX('計算（触らない）'!$AS97:$EP97,MIN(('計算（触らない）'!$V97+8),102)))-INDEX('計算（触らない）'!$AS97:$EP97,MIN(('計算（触らない）'!$V97+8),101)+1))*'計算（触らない）'!$N97,6)+'計算（触らない）'!$B$4)))</f>
        <v/>
      </c>
      <c r="M97" s="52">
        <f>IF('計算（触らない）'!$U97=0,"",IF(('計算（触らない）'!$V97+9)&lt;0,"",INT(ROUND((IF(('計算（触らない）'!$V97+9)=0,'計算（触らない）'!$C97,INDEX('計算（触らない）'!$AS97:$EP97,MIN(('計算（触らない）'!$V97+9),102)))-INDEX('計算（触らない）'!$AS97:$EP97,MIN(('計算（触らない）'!$V97+9),101)+1))*'計算（触らない）'!$N97,6)+'計算（触らない）'!$B$4)))</f>
        <v/>
      </c>
      <c r="N97" s="68" t="n"/>
      <c r="O97" s="52">
        <f>IF('計算（触らない）'!$U97=0,"",IF(('計算（触らない）'!$V97+0)&lt;0,"",IF(AND('計算（触らない）'!$F97&lt;=2,('計算（触らない）'!$V97+0)&gt;'計算（触らない）'!$R97),0,INDEX('計算（触らない）'!$AS97:$EP97,MIN(('計算（触らない）'!$V97+0),101)+1))))</f>
        <v/>
      </c>
      <c r="P97" s="52">
        <f>IF('計算（触らない）'!$U97=0,"",IF(('計算（触らない）'!$V97+1)&lt;0,"",IF(AND('計算（触らない）'!$F97&lt;=2,('計算（触らない）'!$V97+1)&gt;'計算（触らない）'!$R97),0,INDEX('計算（触らない）'!$AS97:$EP97,MIN(('計算（触らない）'!$V97+1),101)+1))))</f>
        <v/>
      </c>
      <c r="Q97" s="52">
        <f>IF('計算（触らない）'!$U97=0,"",IF(('計算（触らない）'!$V97+2)&lt;0,"",IF(AND('計算（触らない）'!$F97&lt;=2,('計算（触らない）'!$V97+2)&gt;'計算（触らない）'!$R97),0,INDEX('計算（触らない）'!$AS97:$EP97,MIN(('計算（触らない）'!$V97+2),101)+1))))</f>
        <v/>
      </c>
      <c r="R97" s="52">
        <f>IF('計算（触らない）'!$U97=0,"",IF(('計算（触らない）'!$V97+3)&lt;0,"",IF(AND('計算（触らない）'!$F97&lt;=2,('計算（触らない）'!$V97+3)&gt;'計算（触らない）'!$R97),0,INDEX('計算（触らない）'!$AS97:$EP97,MIN(('計算（触らない）'!$V97+3),101)+1))))</f>
        <v/>
      </c>
      <c r="S97" s="52">
        <f>IF('計算（触らない）'!$U97=0,"",IF(('計算（触らない）'!$V97+4)&lt;0,"",IF(AND('計算（触らない）'!$F97&lt;=2,('計算（触らない）'!$V97+4)&gt;'計算（触らない）'!$R97),0,INDEX('計算（触らない）'!$AS97:$EP97,MIN(('計算（触らない）'!$V97+4),101)+1))))</f>
        <v/>
      </c>
      <c r="T97" s="52">
        <f>IF('計算（触らない）'!$U97=0,"",IF(('計算（触らない）'!$V97+5)&lt;0,"",IF(AND('計算（触らない）'!$F97&lt;=2,('計算（触らない）'!$V97+5)&gt;'計算（触らない）'!$R97),0,INDEX('計算（触らない）'!$AS97:$EP97,MIN(('計算（触らない）'!$V97+5),101)+1))))</f>
        <v/>
      </c>
      <c r="U97" s="52">
        <f>IF('計算（触らない）'!$U97=0,"",IF(('計算（触らない）'!$V97+6)&lt;0,"",IF(AND('計算（触らない）'!$F97&lt;=2,('計算（触らない）'!$V97+6)&gt;'計算（触らない）'!$R97),0,INDEX('計算（触らない）'!$AS97:$EP97,MIN(('計算（触らない）'!$V97+6),101)+1))))</f>
        <v/>
      </c>
      <c r="V97" s="52">
        <f>IF('計算（触らない）'!$U97=0,"",IF(('計算（触らない）'!$V97+7)&lt;0,"",IF(AND('計算（触らない）'!$F97&lt;=2,('計算（触らない）'!$V97+7)&gt;'計算（触らない）'!$R97),0,INDEX('計算（触らない）'!$AS97:$EP97,MIN(('計算（触らない）'!$V97+7),101)+1))))</f>
        <v/>
      </c>
      <c r="W97" s="52">
        <f>IF('計算（触らない）'!$U97=0,"",IF(('計算（触らない）'!$V97+8)&lt;0,"",IF(AND('計算（触らない）'!$F97&lt;=2,('計算（触らない）'!$V97+8)&gt;'計算（触らない）'!$R97),0,INDEX('計算（触らない）'!$AS97:$EP97,MIN(('計算（触らない）'!$V97+8),101)+1))))</f>
        <v/>
      </c>
      <c r="X97" s="52">
        <f>IF('計算（触らない）'!$U97=0,"",IF(('計算（触らない）'!$V97+9)&lt;0,"",IF(AND('計算（触らない）'!$F97&lt;=2,('計算（触らない）'!$V97+9)&gt;'計算（触らない）'!$R97),0,INDEX('計算（触らない）'!$AS97:$EP97,MIN(('計算（触らない）'!$V97+9),101)+1))))</f>
        <v/>
      </c>
    </row>
    <row r="98" ht="17" customHeight="1">
      <c r="A98" s="21" t="n">
        <v>93</v>
      </c>
      <c r="B98" s="38">
        <f>IF('計算（触らない）'!$B98=0,"",'固定資産台帳'!$B98&amp;"")</f>
        <v/>
      </c>
      <c r="C98" s="38">
        <f>IF('計算（触らない）'!$B98=0,"",'固定資産台帳'!$H98&amp;"")</f>
        <v/>
      </c>
      <c r="D98" s="52">
        <f>IF('計算（触らない）'!$U98=0,"",IF(('計算（触らない）'!$V98+0)&lt;0,"",INT(ROUND((IF(('計算（触らない）'!$V98+0)=0,'計算（触らない）'!$C98,INDEX('計算（触らない）'!$AS98:$EP98,MIN(('計算（触らない）'!$V98+0),102)))-INDEX('計算（触らない）'!$AS98:$EP98,MIN(('計算（触らない）'!$V98+0),101)+1))*'計算（触らない）'!$N98,6)+'計算（触らない）'!$B$4)))</f>
        <v/>
      </c>
      <c r="E98" s="52">
        <f>IF('計算（触らない）'!$U98=0,"",IF(('計算（触らない）'!$V98+1)&lt;0,"",INT(ROUND((IF(('計算（触らない）'!$V98+1)=0,'計算（触らない）'!$C98,INDEX('計算（触らない）'!$AS98:$EP98,MIN(('計算（触らない）'!$V98+1),102)))-INDEX('計算（触らない）'!$AS98:$EP98,MIN(('計算（触らない）'!$V98+1),101)+1))*'計算（触らない）'!$N98,6)+'計算（触らない）'!$B$4)))</f>
        <v/>
      </c>
      <c r="F98" s="52">
        <f>IF('計算（触らない）'!$U98=0,"",IF(('計算（触らない）'!$V98+2)&lt;0,"",INT(ROUND((IF(('計算（触らない）'!$V98+2)=0,'計算（触らない）'!$C98,INDEX('計算（触らない）'!$AS98:$EP98,MIN(('計算（触らない）'!$V98+2),102)))-INDEX('計算（触らない）'!$AS98:$EP98,MIN(('計算（触らない）'!$V98+2),101)+1))*'計算（触らない）'!$N98,6)+'計算（触らない）'!$B$4)))</f>
        <v/>
      </c>
      <c r="G98" s="52">
        <f>IF('計算（触らない）'!$U98=0,"",IF(('計算（触らない）'!$V98+3)&lt;0,"",INT(ROUND((IF(('計算（触らない）'!$V98+3)=0,'計算（触らない）'!$C98,INDEX('計算（触らない）'!$AS98:$EP98,MIN(('計算（触らない）'!$V98+3),102)))-INDEX('計算（触らない）'!$AS98:$EP98,MIN(('計算（触らない）'!$V98+3),101)+1))*'計算（触らない）'!$N98,6)+'計算（触らない）'!$B$4)))</f>
        <v/>
      </c>
      <c r="H98" s="52">
        <f>IF('計算（触らない）'!$U98=0,"",IF(('計算（触らない）'!$V98+4)&lt;0,"",INT(ROUND((IF(('計算（触らない）'!$V98+4)=0,'計算（触らない）'!$C98,INDEX('計算（触らない）'!$AS98:$EP98,MIN(('計算（触らない）'!$V98+4),102)))-INDEX('計算（触らない）'!$AS98:$EP98,MIN(('計算（触らない）'!$V98+4),101)+1))*'計算（触らない）'!$N98,6)+'計算（触らない）'!$B$4)))</f>
        <v/>
      </c>
      <c r="I98" s="52">
        <f>IF('計算（触らない）'!$U98=0,"",IF(('計算（触らない）'!$V98+5)&lt;0,"",INT(ROUND((IF(('計算（触らない）'!$V98+5)=0,'計算（触らない）'!$C98,INDEX('計算（触らない）'!$AS98:$EP98,MIN(('計算（触らない）'!$V98+5),102)))-INDEX('計算（触らない）'!$AS98:$EP98,MIN(('計算（触らない）'!$V98+5),101)+1))*'計算（触らない）'!$N98,6)+'計算（触らない）'!$B$4)))</f>
        <v/>
      </c>
      <c r="J98" s="52">
        <f>IF('計算（触らない）'!$U98=0,"",IF(('計算（触らない）'!$V98+6)&lt;0,"",INT(ROUND((IF(('計算（触らない）'!$V98+6)=0,'計算（触らない）'!$C98,INDEX('計算（触らない）'!$AS98:$EP98,MIN(('計算（触らない）'!$V98+6),102)))-INDEX('計算（触らない）'!$AS98:$EP98,MIN(('計算（触らない）'!$V98+6),101)+1))*'計算（触らない）'!$N98,6)+'計算（触らない）'!$B$4)))</f>
        <v/>
      </c>
      <c r="K98" s="52">
        <f>IF('計算（触らない）'!$U98=0,"",IF(('計算（触らない）'!$V98+7)&lt;0,"",INT(ROUND((IF(('計算（触らない）'!$V98+7)=0,'計算（触らない）'!$C98,INDEX('計算（触らない）'!$AS98:$EP98,MIN(('計算（触らない）'!$V98+7),102)))-INDEX('計算（触らない）'!$AS98:$EP98,MIN(('計算（触らない）'!$V98+7),101)+1))*'計算（触らない）'!$N98,6)+'計算（触らない）'!$B$4)))</f>
        <v/>
      </c>
      <c r="L98" s="52">
        <f>IF('計算（触らない）'!$U98=0,"",IF(('計算（触らない）'!$V98+8)&lt;0,"",INT(ROUND((IF(('計算（触らない）'!$V98+8)=0,'計算（触らない）'!$C98,INDEX('計算（触らない）'!$AS98:$EP98,MIN(('計算（触らない）'!$V98+8),102)))-INDEX('計算（触らない）'!$AS98:$EP98,MIN(('計算（触らない）'!$V98+8),101)+1))*'計算（触らない）'!$N98,6)+'計算（触らない）'!$B$4)))</f>
        <v/>
      </c>
      <c r="M98" s="52">
        <f>IF('計算（触らない）'!$U98=0,"",IF(('計算（触らない）'!$V98+9)&lt;0,"",INT(ROUND((IF(('計算（触らない）'!$V98+9)=0,'計算（触らない）'!$C98,INDEX('計算（触らない）'!$AS98:$EP98,MIN(('計算（触らない）'!$V98+9),102)))-INDEX('計算（触らない）'!$AS98:$EP98,MIN(('計算（触らない）'!$V98+9),101)+1))*'計算（触らない）'!$N98,6)+'計算（触らない）'!$B$4)))</f>
        <v/>
      </c>
      <c r="N98" s="68" t="n"/>
      <c r="O98" s="52">
        <f>IF('計算（触らない）'!$U98=0,"",IF(('計算（触らない）'!$V98+0)&lt;0,"",IF(AND('計算（触らない）'!$F98&lt;=2,('計算（触らない）'!$V98+0)&gt;'計算（触らない）'!$R98),0,INDEX('計算（触らない）'!$AS98:$EP98,MIN(('計算（触らない）'!$V98+0),101)+1))))</f>
        <v/>
      </c>
      <c r="P98" s="52">
        <f>IF('計算（触らない）'!$U98=0,"",IF(('計算（触らない）'!$V98+1)&lt;0,"",IF(AND('計算（触らない）'!$F98&lt;=2,('計算（触らない）'!$V98+1)&gt;'計算（触らない）'!$R98),0,INDEX('計算（触らない）'!$AS98:$EP98,MIN(('計算（触らない）'!$V98+1),101)+1))))</f>
        <v/>
      </c>
      <c r="Q98" s="52">
        <f>IF('計算（触らない）'!$U98=0,"",IF(('計算（触らない）'!$V98+2)&lt;0,"",IF(AND('計算（触らない）'!$F98&lt;=2,('計算（触らない）'!$V98+2)&gt;'計算（触らない）'!$R98),0,INDEX('計算（触らない）'!$AS98:$EP98,MIN(('計算（触らない）'!$V98+2),101)+1))))</f>
        <v/>
      </c>
      <c r="R98" s="52">
        <f>IF('計算（触らない）'!$U98=0,"",IF(('計算（触らない）'!$V98+3)&lt;0,"",IF(AND('計算（触らない）'!$F98&lt;=2,('計算（触らない）'!$V98+3)&gt;'計算（触らない）'!$R98),0,INDEX('計算（触らない）'!$AS98:$EP98,MIN(('計算（触らない）'!$V98+3),101)+1))))</f>
        <v/>
      </c>
      <c r="S98" s="52">
        <f>IF('計算（触らない）'!$U98=0,"",IF(('計算（触らない）'!$V98+4)&lt;0,"",IF(AND('計算（触らない）'!$F98&lt;=2,('計算（触らない）'!$V98+4)&gt;'計算（触らない）'!$R98),0,INDEX('計算（触らない）'!$AS98:$EP98,MIN(('計算（触らない）'!$V98+4),101)+1))))</f>
        <v/>
      </c>
      <c r="T98" s="52">
        <f>IF('計算（触らない）'!$U98=0,"",IF(('計算（触らない）'!$V98+5)&lt;0,"",IF(AND('計算（触らない）'!$F98&lt;=2,('計算（触らない）'!$V98+5)&gt;'計算（触らない）'!$R98),0,INDEX('計算（触らない）'!$AS98:$EP98,MIN(('計算（触らない）'!$V98+5),101)+1))))</f>
        <v/>
      </c>
      <c r="U98" s="52">
        <f>IF('計算（触らない）'!$U98=0,"",IF(('計算（触らない）'!$V98+6)&lt;0,"",IF(AND('計算（触らない）'!$F98&lt;=2,('計算（触らない）'!$V98+6)&gt;'計算（触らない）'!$R98),0,INDEX('計算（触らない）'!$AS98:$EP98,MIN(('計算（触らない）'!$V98+6),101)+1))))</f>
        <v/>
      </c>
      <c r="V98" s="52">
        <f>IF('計算（触らない）'!$U98=0,"",IF(('計算（触らない）'!$V98+7)&lt;0,"",IF(AND('計算（触らない）'!$F98&lt;=2,('計算（触らない）'!$V98+7)&gt;'計算（触らない）'!$R98),0,INDEX('計算（触らない）'!$AS98:$EP98,MIN(('計算（触らない）'!$V98+7),101)+1))))</f>
        <v/>
      </c>
      <c r="W98" s="52">
        <f>IF('計算（触らない）'!$U98=0,"",IF(('計算（触らない）'!$V98+8)&lt;0,"",IF(AND('計算（触らない）'!$F98&lt;=2,('計算（触らない）'!$V98+8)&gt;'計算（触らない）'!$R98),0,INDEX('計算（触らない）'!$AS98:$EP98,MIN(('計算（触らない）'!$V98+8),101)+1))))</f>
        <v/>
      </c>
      <c r="X98" s="52">
        <f>IF('計算（触らない）'!$U98=0,"",IF(('計算（触らない）'!$V98+9)&lt;0,"",IF(AND('計算（触らない）'!$F98&lt;=2,('計算（触らない）'!$V98+9)&gt;'計算（触らない）'!$R98),0,INDEX('計算（触らない）'!$AS98:$EP98,MIN(('計算（触らない）'!$V98+9),101)+1))))</f>
        <v/>
      </c>
    </row>
    <row r="99" ht="17" customHeight="1">
      <c r="A99" s="21" t="n">
        <v>94</v>
      </c>
      <c r="B99" s="38">
        <f>IF('計算（触らない）'!$B99=0,"",'固定資産台帳'!$B99&amp;"")</f>
        <v/>
      </c>
      <c r="C99" s="38">
        <f>IF('計算（触らない）'!$B99=0,"",'固定資産台帳'!$H99&amp;"")</f>
        <v/>
      </c>
      <c r="D99" s="52">
        <f>IF('計算（触らない）'!$U99=0,"",IF(('計算（触らない）'!$V99+0)&lt;0,"",INT(ROUND((IF(('計算（触らない）'!$V99+0)=0,'計算（触らない）'!$C99,INDEX('計算（触らない）'!$AS99:$EP99,MIN(('計算（触らない）'!$V99+0),102)))-INDEX('計算（触らない）'!$AS99:$EP99,MIN(('計算（触らない）'!$V99+0),101)+1))*'計算（触らない）'!$N99,6)+'計算（触らない）'!$B$4)))</f>
        <v/>
      </c>
      <c r="E99" s="52">
        <f>IF('計算（触らない）'!$U99=0,"",IF(('計算（触らない）'!$V99+1)&lt;0,"",INT(ROUND((IF(('計算（触らない）'!$V99+1)=0,'計算（触らない）'!$C99,INDEX('計算（触らない）'!$AS99:$EP99,MIN(('計算（触らない）'!$V99+1),102)))-INDEX('計算（触らない）'!$AS99:$EP99,MIN(('計算（触らない）'!$V99+1),101)+1))*'計算（触らない）'!$N99,6)+'計算（触らない）'!$B$4)))</f>
        <v/>
      </c>
      <c r="F99" s="52">
        <f>IF('計算（触らない）'!$U99=0,"",IF(('計算（触らない）'!$V99+2)&lt;0,"",INT(ROUND((IF(('計算（触らない）'!$V99+2)=0,'計算（触らない）'!$C99,INDEX('計算（触らない）'!$AS99:$EP99,MIN(('計算（触らない）'!$V99+2),102)))-INDEX('計算（触らない）'!$AS99:$EP99,MIN(('計算（触らない）'!$V99+2),101)+1))*'計算（触らない）'!$N99,6)+'計算（触らない）'!$B$4)))</f>
        <v/>
      </c>
      <c r="G99" s="52">
        <f>IF('計算（触らない）'!$U99=0,"",IF(('計算（触らない）'!$V99+3)&lt;0,"",INT(ROUND((IF(('計算（触らない）'!$V99+3)=0,'計算（触らない）'!$C99,INDEX('計算（触らない）'!$AS99:$EP99,MIN(('計算（触らない）'!$V99+3),102)))-INDEX('計算（触らない）'!$AS99:$EP99,MIN(('計算（触らない）'!$V99+3),101)+1))*'計算（触らない）'!$N99,6)+'計算（触らない）'!$B$4)))</f>
        <v/>
      </c>
      <c r="H99" s="52">
        <f>IF('計算（触らない）'!$U99=0,"",IF(('計算（触らない）'!$V99+4)&lt;0,"",INT(ROUND((IF(('計算（触らない）'!$V99+4)=0,'計算（触らない）'!$C99,INDEX('計算（触らない）'!$AS99:$EP99,MIN(('計算（触らない）'!$V99+4),102)))-INDEX('計算（触らない）'!$AS99:$EP99,MIN(('計算（触らない）'!$V99+4),101)+1))*'計算（触らない）'!$N99,6)+'計算（触らない）'!$B$4)))</f>
        <v/>
      </c>
      <c r="I99" s="52">
        <f>IF('計算（触らない）'!$U99=0,"",IF(('計算（触らない）'!$V99+5)&lt;0,"",INT(ROUND((IF(('計算（触らない）'!$V99+5)=0,'計算（触らない）'!$C99,INDEX('計算（触らない）'!$AS99:$EP99,MIN(('計算（触らない）'!$V99+5),102)))-INDEX('計算（触らない）'!$AS99:$EP99,MIN(('計算（触らない）'!$V99+5),101)+1))*'計算（触らない）'!$N99,6)+'計算（触らない）'!$B$4)))</f>
        <v/>
      </c>
      <c r="J99" s="52">
        <f>IF('計算（触らない）'!$U99=0,"",IF(('計算（触らない）'!$V99+6)&lt;0,"",INT(ROUND((IF(('計算（触らない）'!$V99+6)=0,'計算（触らない）'!$C99,INDEX('計算（触らない）'!$AS99:$EP99,MIN(('計算（触らない）'!$V99+6),102)))-INDEX('計算（触らない）'!$AS99:$EP99,MIN(('計算（触らない）'!$V99+6),101)+1))*'計算（触らない）'!$N99,6)+'計算（触らない）'!$B$4)))</f>
        <v/>
      </c>
      <c r="K99" s="52">
        <f>IF('計算（触らない）'!$U99=0,"",IF(('計算（触らない）'!$V99+7)&lt;0,"",INT(ROUND((IF(('計算（触らない）'!$V99+7)=0,'計算（触らない）'!$C99,INDEX('計算（触らない）'!$AS99:$EP99,MIN(('計算（触らない）'!$V99+7),102)))-INDEX('計算（触らない）'!$AS99:$EP99,MIN(('計算（触らない）'!$V99+7),101)+1))*'計算（触らない）'!$N99,6)+'計算（触らない）'!$B$4)))</f>
        <v/>
      </c>
      <c r="L99" s="52">
        <f>IF('計算（触らない）'!$U99=0,"",IF(('計算（触らない）'!$V99+8)&lt;0,"",INT(ROUND((IF(('計算（触らない）'!$V99+8)=0,'計算（触らない）'!$C99,INDEX('計算（触らない）'!$AS99:$EP99,MIN(('計算（触らない）'!$V99+8),102)))-INDEX('計算（触らない）'!$AS99:$EP99,MIN(('計算（触らない）'!$V99+8),101)+1))*'計算（触らない）'!$N99,6)+'計算（触らない）'!$B$4)))</f>
        <v/>
      </c>
      <c r="M99" s="52">
        <f>IF('計算（触らない）'!$U99=0,"",IF(('計算（触らない）'!$V99+9)&lt;0,"",INT(ROUND((IF(('計算（触らない）'!$V99+9)=0,'計算（触らない）'!$C99,INDEX('計算（触らない）'!$AS99:$EP99,MIN(('計算（触らない）'!$V99+9),102)))-INDEX('計算（触らない）'!$AS99:$EP99,MIN(('計算（触らない）'!$V99+9),101)+1))*'計算（触らない）'!$N99,6)+'計算（触らない）'!$B$4)))</f>
        <v/>
      </c>
      <c r="N99" s="68" t="n"/>
      <c r="O99" s="52">
        <f>IF('計算（触らない）'!$U99=0,"",IF(('計算（触らない）'!$V99+0)&lt;0,"",IF(AND('計算（触らない）'!$F99&lt;=2,('計算（触らない）'!$V99+0)&gt;'計算（触らない）'!$R99),0,INDEX('計算（触らない）'!$AS99:$EP99,MIN(('計算（触らない）'!$V99+0),101)+1))))</f>
        <v/>
      </c>
      <c r="P99" s="52">
        <f>IF('計算（触らない）'!$U99=0,"",IF(('計算（触らない）'!$V99+1)&lt;0,"",IF(AND('計算（触らない）'!$F99&lt;=2,('計算（触らない）'!$V99+1)&gt;'計算（触らない）'!$R99),0,INDEX('計算（触らない）'!$AS99:$EP99,MIN(('計算（触らない）'!$V99+1),101)+1))))</f>
        <v/>
      </c>
      <c r="Q99" s="52">
        <f>IF('計算（触らない）'!$U99=0,"",IF(('計算（触らない）'!$V99+2)&lt;0,"",IF(AND('計算（触らない）'!$F99&lt;=2,('計算（触らない）'!$V99+2)&gt;'計算（触らない）'!$R99),0,INDEX('計算（触らない）'!$AS99:$EP99,MIN(('計算（触らない）'!$V99+2),101)+1))))</f>
        <v/>
      </c>
      <c r="R99" s="52">
        <f>IF('計算（触らない）'!$U99=0,"",IF(('計算（触らない）'!$V99+3)&lt;0,"",IF(AND('計算（触らない）'!$F99&lt;=2,('計算（触らない）'!$V99+3)&gt;'計算（触らない）'!$R99),0,INDEX('計算（触らない）'!$AS99:$EP99,MIN(('計算（触らない）'!$V99+3),101)+1))))</f>
        <v/>
      </c>
      <c r="S99" s="52">
        <f>IF('計算（触らない）'!$U99=0,"",IF(('計算（触らない）'!$V99+4)&lt;0,"",IF(AND('計算（触らない）'!$F99&lt;=2,('計算（触らない）'!$V99+4)&gt;'計算（触らない）'!$R99),0,INDEX('計算（触らない）'!$AS99:$EP99,MIN(('計算（触らない）'!$V99+4),101)+1))))</f>
        <v/>
      </c>
      <c r="T99" s="52">
        <f>IF('計算（触らない）'!$U99=0,"",IF(('計算（触らない）'!$V99+5)&lt;0,"",IF(AND('計算（触らない）'!$F99&lt;=2,('計算（触らない）'!$V99+5)&gt;'計算（触らない）'!$R99),0,INDEX('計算（触らない）'!$AS99:$EP99,MIN(('計算（触らない）'!$V99+5),101)+1))))</f>
        <v/>
      </c>
      <c r="U99" s="52">
        <f>IF('計算（触らない）'!$U99=0,"",IF(('計算（触らない）'!$V99+6)&lt;0,"",IF(AND('計算（触らない）'!$F99&lt;=2,('計算（触らない）'!$V99+6)&gt;'計算（触らない）'!$R99),0,INDEX('計算（触らない）'!$AS99:$EP99,MIN(('計算（触らない）'!$V99+6),101)+1))))</f>
        <v/>
      </c>
      <c r="V99" s="52">
        <f>IF('計算（触らない）'!$U99=0,"",IF(('計算（触らない）'!$V99+7)&lt;0,"",IF(AND('計算（触らない）'!$F99&lt;=2,('計算（触らない）'!$V99+7)&gt;'計算（触らない）'!$R99),0,INDEX('計算（触らない）'!$AS99:$EP99,MIN(('計算（触らない）'!$V99+7),101)+1))))</f>
        <v/>
      </c>
      <c r="W99" s="52">
        <f>IF('計算（触らない）'!$U99=0,"",IF(('計算（触らない）'!$V99+8)&lt;0,"",IF(AND('計算（触らない）'!$F99&lt;=2,('計算（触らない）'!$V99+8)&gt;'計算（触らない）'!$R99),0,INDEX('計算（触らない）'!$AS99:$EP99,MIN(('計算（触らない）'!$V99+8),101)+1))))</f>
        <v/>
      </c>
      <c r="X99" s="52">
        <f>IF('計算（触らない）'!$U99=0,"",IF(('計算（触らない）'!$V99+9)&lt;0,"",IF(AND('計算（触らない）'!$F99&lt;=2,('計算（触らない）'!$V99+9)&gt;'計算（触らない）'!$R99),0,INDEX('計算（触らない）'!$AS99:$EP99,MIN(('計算（触らない）'!$V99+9),101)+1))))</f>
        <v/>
      </c>
    </row>
    <row r="100" ht="17" customHeight="1">
      <c r="A100" s="21" t="n">
        <v>95</v>
      </c>
      <c r="B100" s="38">
        <f>IF('計算（触らない）'!$B100=0,"",'固定資産台帳'!$B100&amp;"")</f>
        <v/>
      </c>
      <c r="C100" s="38">
        <f>IF('計算（触らない）'!$B100=0,"",'固定資産台帳'!$H100&amp;"")</f>
        <v/>
      </c>
      <c r="D100" s="52">
        <f>IF('計算（触らない）'!$U100=0,"",IF(('計算（触らない）'!$V100+0)&lt;0,"",INT(ROUND((IF(('計算（触らない）'!$V100+0)=0,'計算（触らない）'!$C100,INDEX('計算（触らない）'!$AS100:$EP100,MIN(('計算（触らない）'!$V100+0),102)))-INDEX('計算（触らない）'!$AS100:$EP100,MIN(('計算（触らない）'!$V100+0),101)+1))*'計算（触らない）'!$N100,6)+'計算（触らない）'!$B$4)))</f>
        <v/>
      </c>
      <c r="E100" s="52">
        <f>IF('計算（触らない）'!$U100=0,"",IF(('計算（触らない）'!$V100+1)&lt;0,"",INT(ROUND((IF(('計算（触らない）'!$V100+1)=0,'計算（触らない）'!$C100,INDEX('計算（触らない）'!$AS100:$EP100,MIN(('計算（触らない）'!$V100+1),102)))-INDEX('計算（触らない）'!$AS100:$EP100,MIN(('計算（触らない）'!$V100+1),101)+1))*'計算（触らない）'!$N100,6)+'計算（触らない）'!$B$4)))</f>
        <v/>
      </c>
      <c r="F100" s="52">
        <f>IF('計算（触らない）'!$U100=0,"",IF(('計算（触らない）'!$V100+2)&lt;0,"",INT(ROUND((IF(('計算（触らない）'!$V100+2)=0,'計算（触らない）'!$C100,INDEX('計算（触らない）'!$AS100:$EP100,MIN(('計算（触らない）'!$V100+2),102)))-INDEX('計算（触らない）'!$AS100:$EP100,MIN(('計算（触らない）'!$V100+2),101)+1))*'計算（触らない）'!$N100,6)+'計算（触らない）'!$B$4)))</f>
        <v/>
      </c>
      <c r="G100" s="52">
        <f>IF('計算（触らない）'!$U100=0,"",IF(('計算（触らない）'!$V100+3)&lt;0,"",INT(ROUND((IF(('計算（触らない）'!$V100+3)=0,'計算（触らない）'!$C100,INDEX('計算（触らない）'!$AS100:$EP100,MIN(('計算（触らない）'!$V100+3),102)))-INDEX('計算（触らない）'!$AS100:$EP100,MIN(('計算（触らない）'!$V100+3),101)+1))*'計算（触らない）'!$N100,6)+'計算（触らない）'!$B$4)))</f>
        <v/>
      </c>
      <c r="H100" s="52">
        <f>IF('計算（触らない）'!$U100=0,"",IF(('計算（触らない）'!$V100+4)&lt;0,"",INT(ROUND((IF(('計算（触らない）'!$V100+4)=0,'計算（触らない）'!$C100,INDEX('計算（触らない）'!$AS100:$EP100,MIN(('計算（触らない）'!$V100+4),102)))-INDEX('計算（触らない）'!$AS100:$EP100,MIN(('計算（触らない）'!$V100+4),101)+1))*'計算（触らない）'!$N100,6)+'計算（触らない）'!$B$4)))</f>
        <v/>
      </c>
      <c r="I100" s="52">
        <f>IF('計算（触らない）'!$U100=0,"",IF(('計算（触らない）'!$V100+5)&lt;0,"",INT(ROUND((IF(('計算（触らない）'!$V100+5)=0,'計算（触らない）'!$C100,INDEX('計算（触らない）'!$AS100:$EP100,MIN(('計算（触らない）'!$V100+5),102)))-INDEX('計算（触らない）'!$AS100:$EP100,MIN(('計算（触らない）'!$V100+5),101)+1))*'計算（触らない）'!$N100,6)+'計算（触らない）'!$B$4)))</f>
        <v/>
      </c>
      <c r="J100" s="52">
        <f>IF('計算（触らない）'!$U100=0,"",IF(('計算（触らない）'!$V100+6)&lt;0,"",INT(ROUND((IF(('計算（触らない）'!$V100+6)=0,'計算（触らない）'!$C100,INDEX('計算（触らない）'!$AS100:$EP100,MIN(('計算（触らない）'!$V100+6),102)))-INDEX('計算（触らない）'!$AS100:$EP100,MIN(('計算（触らない）'!$V100+6),101)+1))*'計算（触らない）'!$N100,6)+'計算（触らない）'!$B$4)))</f>
        <v/>
      </c>
      <c r="K100" s="52">
        <f>IF('計算（触らない）'!$U100=0,"",IF(('計算（触らない）'!$V100+7)&lt;0,"",INT(ROUND((IF(('計算（触らない）'!$V100+7)=0,'計算（触らない）'!$C100,INDEX('計算（触らない）'!$AS100:$EP100,MIN(('計算（触らない）'!$V100+7),102)))-INDEX('計算（触らない）'!$AS100:$EP100,MIN(('計算（触らない）'!$V100+7),101)+1))*'計算（触らない）'!$N100,6)+'計算（触らない）'!$B$4)))</f>
        <v/>
      </c>
      <c r="L100" s="52">
        <f>IF('計算（触らない）'!$U100=0,"",IF(('計算（触らない）'!$V100+8)&lt;0,"",INT(ROUND((IF(('計算（触らない）'!$V100+8)=0,'計算（触らない）'!$C100,INDEX('計算（触らない）'!$AS100:$EP100,MIN(('計算（触らない）'!$V100+8),102)))-INDEX('計算（触らない）'!$AS100:$EP100,MIN(('計算（触らない）'!$V100+8),101)+1))*'計算（触らない）'!$N100,6)+'計算（触らない）'!$B$4)))</f>
        <v/>
      </c>
      <c r="M100" s="52">
        <f>IF('計算（触らない）'!$U100=0,"",IF(('計算（触らない）'!$V100+9)&lt;0,"",INT(ROUND((IF(('計算（触らない）'!$V100+9)=0,'計算（触らない）'!$C100,INDEX('計算（触らない）'!$AS100:$EP100,MIN(('計算（触らない）'!$V100+9),102)))-INDEX('計算（触らない）'!$AS100:$EP100,MIN(('計算（触らない）'!$V100+9),101)+1))*'計算（触らない）'!$N100,6)+'計算（触らない）'!$B$4)))</f>
        <v/>
      </c>
      <c r="N100" s="68" t="n"/>
      <c r="O100" s="52">
        <f>IF('計算（触らない）'!$U100=0,"",IF(('計算（触らない）'!$V100+0)&lt;0,"",IF(AND('計算（触らない）'!$F100&lt;=2,('計算（触らない）'!$V100+0)&gt;'計算（触らない）'!$R100),0,INDEX('計算（触らない）'!$AS100:$EP100,MIN(('計算（触らない）'!$V100+0),101)+1))))</f>
        <v/>
      </c>
      <c r="P100" s="52">
        <f>IF('計算（触らない）'!$U100=0,"",IF(('計算（触らない）'!$V100+1)&lt;0,"",IF(AND('計算（触らない）'!$F100&lt;=2,('計算（触らない）'!$V100+1)&gt;'計算（触らない）'!$R100),0,INDEX('計算（触らない）'!$AS100:$EP100,MIN(('計算（触らない）'!$V100+1),101)+1))))</f>
        <v/>
      </c>
      <c r="Q100" s="52">
        <f>IF('計算（触らない）'!$U100=0,"",IF(('計算（触らない）'!$V100+2)&lt;0,"",IF(AND('計算（触らない）'!$F100&lt;=2,('計算（触らない）'!$V100+2)&gt;'計算（触らない）'!$R100),0,INDEX('計算（触らない）'!$AS100:$EP100,MIN(('計算（触らない）'!$V100+2),101)+1))))</f>
        <v/>
      </c>
      <c r="R100" s="52">
        <f>IF('計算（触らない）'!$U100=0,"",IF(('計算（触らない）'!$V100+3)&lt;0,"",IF(AND('計算（触らない）'!$F100&lt;=2,('計算（触らない）'!$V100+3)&gt;'計算（触らない）'!$R100),0,INDEX('計算（触らない）'!$AS100:$EP100,MIN(('計算（触らない）'!$V100+3),101)+1))))</f>
        <v/>
      </c>
      <c r="S100" s="52">
        <f>IF('計算（触らない）'!$U100=0,"",IF(('計算（触らない）'!$V100+4)&lt;0,"",IF(AND('計算（触らない）'!$F100&lt;=2,('計算（触らない）'!$V100+4)&gt;'計算（触らない）'!$R100),0,INDEX('計算（触らない）'!$AS100:$EP100,MIN(('計算（触らない）'!$V100+4),101)+1))))</f>
        <v/>
      </c>
      <c r="T100" s="52">
        <f>IF('計算（触らない）'!$U100=0,"",IF(('計算（触らない）'!$V100+5)&lt;0,"",IF(AND('計算（触らない）'!$F100&lt;=2,('計算（触らない）'!$V100+5)&gt;'計算（触らない）'!$R100),0,INDEX('計算（触らない）'!$AS100:$EP100,MIN(('計算（触らない）'!$V100+5),101)+1))))</f>
        <v/>
      </c>
      <c r="U100" s="52">
        <f>IF('計算（触らない）'!$U100=0,"",IF(('計算（触らない）'!$V100+6)&lt;0,"",IF(AND('計算（触らない）'!$F100&lt;=2,('計算（触らない）'!$V100+6)&gt;'計算（触らない）'!$R100),0,INDEX('計算（触らない）'!$AS100:$EP100,MIN(('計算（触らない）'!$V100+6),101)+1))))</f>
        <v/>
      </c>
      <c r="V100" s="52">
        <f>IF('計算（触らない）'!$U100=0,"",IF(('計算（触らない）'!$V100+7)&lt;0,"",IF(AND('計算（触らない）'!$F100&lt;=2,('計算（触らない）'!$V100+7)&gt;'計算（触らない）'!$R100),0,INDEX('計算（触らない）'!$AS100:$EP100,MIN(('計算（触らない）'!$V100+7),101)+1))))</f>
        <v/>
      </c>
      <c r="W100" s="52">
        <f>IF('計算（触らない）'!$U100=0,"",IF(('計算（触らない）'!$V100+8)&lt;0,"",IF(AND('計算（触らない）'!$F100&lt;=2,('計算（触らない）'!$V100+8)&gt;'計算（触らない）'!$R100),0,INDEX('計算（触らない）'!$AS100:$EP100,MIN(('計算（触らない）'!$V100+8),101)+1))))</f>
        <v/>
      </c>
      <c r="X100" s="52">
        <f>IF('計算（触らない）'!$U100=0,"",IF(('計算（触らない）'!$V100+9)&lt;0,"",IF(AND('計算（触らない）'!$F100&lt;=2,('計算（触らない）'!$V100+9)&gt;'計算（触らない）'!$R100),0,INDEX('計算（触らない）'!$AS100:$EP100,MIN(('計算（触らない）'!$V100+9),101)+1))))</f>
        <v/>
      </c>
    </row>
    <row r="101" ht="17" customHeight="1">
      <c r="A101" s="21" t="n">
        <v>96</v>
      </c>
      <c r="B101" s="38">
        <f>IF('計算（触らない）'!$B101=0,"",'固定資産台帳'!$B101&amp;"")</f>
        <v/>
      </c>
      <c r="C101" s="38">
        <f>IF('計算（触らない）'!$B101=0,"",'固定資産台帳'!$H101&amp;"")</f>
        <v/>
      </c>
      <c r="D101" s="52">
        <f>IF('計算（触らない）'!$U101=0,"",IF(('計算（触らない）'!$V101+0)&lt;0,"",INT(ROUND((IF(('計算（触らない）'!$V101+0)=0,'計算（触らない）'!$C101,INDEX('計算（触らない）'!$AS101:$EP101,MIN(('計算（触らない）'!$V101+0),102)))-INDEX('計算（触らない）'!$AS101:$EP101,MIN(('計算（触らない）'!$V101+0),101)+1))*'計算（触らない）'!$N101,6)+'計算（触らない）'!$B$4)))</f>
        <v/>
      </c>
      <c r="E101" s="52">
        <f>IF('計算（触らない）'!$U101=0,"",IF(('計算（触らない）'!$V101+1)&lt;0,"",INT(ROUND((IF(('計算（触らない）'!$V101+1)=0,'計算（触らない）'!$C101,INDEX('計算（触らない）'!$AS101:$EP101,MIN(('計算（触らない）'!$V101+1),102)))-INDEX('計算（触らない）'!$AS101:$EP101,MIN(('計算（触らない）'!$V101+1),101)+1))*'計算（触らない）'!$N101,6)+'計算（触らない）'!$B$4)))</f>
        <v/>
      </c>
      <c r="F101" s="52">
        <f>IF('計算（触らない）'!$U101=0,"",IF(('計算（触らない）'!$V101+2)&lt;0,"",INT(ROUND((IF(('計算（触らない）'!$V101+2)=0,'計算（触らない）'!$C101,INDEX('計算（触らない）'!$AS101:$EP101,MIN(('計算（触らない）'!$V101+2),102)))-INDEX('計算（触らない）'!$AS101:$EP101,MIN(('計算（触らない）'!$V101+2),101)+1))*'計算（触らない）'!$N101,6)+'計算（触らない）'!$B$4)))</f>
        <v/>
      </c>
      <c r="G101" s="52">
        <f>IF('計算（触らない）'!$U101=0,"",IF(('計算（触らない）'!$V101+3)&lt;0,"",INT(ROUND((IF(('計算（触らない）'!$V101+3)=0,'計算（触らない）'!$C101,INDEX('計算（触らない）'!$AS101:$EP101,MIN(('計算（触らない）'!$V101+3),102)))-INDEX('計算（触らない）'!$AS101:$EP101,MIN(('計算（触らない）'!$V101+3),101)+1))*'計算（触らない）'!$N101,6)+'計算（触らない）'!$B$4)))</f>
        <v/>
      </c>
      <c r="H101" s="52">
        <f>IF('計算（触らない）'!$U101=0,"",IF(('計算（触らない）'!$V101+4)&lt;0,"",INT(ROUND((IF(('計算（触らない）'!$V101+4)=0,'計算（触らない）'!$C101,INDEX('計算（触らない）'!$AS101:$EP101,MIN(('計算（触らない）'!$V101+4),102)))-INDEX('計算（触らない）'!$AS101:$EP101,MIN(('計算（触らない）'!$V101+4),101)+1))*'計算（触らない）'!$N101,6)+'計算（触らない）'!$B$4)))</f>
        <v/>
      </c>
      <c r="I101" s="52">
        <f>IF('計算（触らない）'!$U101=0,"",IF(('計算（触らない）'!$V101+5)&lt;0,"",INT(ROUND((IF(('計算（触らない）'!$V101+5)=0,'計算（触らない）'!$C101,INDEX('計算（触らない）'!$AS101:$EP101,MIN(('計算（触らない）'!$V101+5),102)))-INDEX('計算（触らない）'!$AS101:$EP101,MIN(('計算（触らない）'!$V101+5),101)+1))*'計算（触らない）'!$N101,6)+'計算（触らない）'!$B$4)))</f>
        <v/>
      </c>
      <c r="J101" s="52">
        <f>IF('計算（触らない）'!$U101=0,"",IF(('計算（触らない）'!$V101+6)&lt;0,"",INT(ROUND((IF(('計算（触らない）'!$V101+6)=0,'計算（触らない）'!$C101,INDEX('計算（触らない）'!$AS101:$EP101,MIN(('計算（触らない）'!$V101+6),102)))-INDEX('計算（触らない）'!$AS101:$EP101,MIN(('計算（触らない）'!$V101+6),101)+1))*'計算（触らない）'!$N101,6)+'計算（触らない）'!$B$4)))</f>
        <v/>
      </c>
      <c r="K101" s="52">
        <f>IF('計算（触らない）'!$U101=0,"",IF(('計算（触らない）'!$V101+7)&lt;0,"",INT(ROUND((IF(('計算（触らない）'!$V101+7)=0,'計算（触らない）'!$C101,INDEX('計算（触らない）'!$AS101:$EP101,MIN(('計算（触らない）'!$V101+7),102)))-INDEX('計算（触らない）'!$AS101:$EP101,MIN(('計算（触らない）'!$V101+7),101)+1))*'計算（触らない）'!$N101,6)+'計算（触らない）'!$B$4)))</f>
        <v/>
      </c>
      <c r="L101" s="52">
        <f>IF('計算（触らない）'!$U101=0,"",IF(('計算（触らない）'!$V101+8)&lt;0,"",INT(ROUND((IF(('計算（触らない）'!$V101+8)=0,'計算（触らない）'!$C101,INDEX('計算（触らない）'!$AS101:$EP101,MIN(('計算（触らない）'!$V101+8),102)))-INDEX('計算（触らない）'!$AS101:$EP101,MIN(('計算（触らない）'!$V101+8),101)+1))*'計算（触らない）'!$N101,6)+'計算（触らない）'!$B$4)))</f>
        <v/>
      </c>
      <c r="M101" s="52">
        <f>IF('計算（触らない）'!$U101=0,"",IF(('計算（触らない）'!$V101+9)&lt;0,"",INT(ROUND((IF(('計算（触らない）'!$V101+9)=0,'計算（触らない）'!$C101,INDEX('計算（触らない）'!$AS101:$EP101,MIN(('計算（触らない）'!$V101+9),102)))-INDEX('計算（触らない）'!$AS101:$EP101,MIN(('計算（触らない）'!$V101+9),101)+1))*'計算（触らない）'!$N101,6)+'計算（触らない）'!$B$4)))</f>
        <v/>
      </c>
      <c r="N101" s="68" t="n"/>
      <c r="O101" s="52">
        <f>IF('計算（触らない）'!$U101=0,"",IF(('計算（触らない）'!$V101+0)&lt;0,"",IF(AND('計算（触らない）'!$F101&lt;=2,('計算（触らない）'!$V101+0)&gt;'計算（触らない）'!$R101),0,INDEX('計算（触らない）'!$AS101:$EP101,MIN(('計算（触らない）'!$V101+0),101)+1))))</f>
        <v/>
      </c>
      <c r="P101" s="52">
        <f>IF('計算（触らない）'!$U101=0,"",IF(('計算（触らない）'!$V101+1)&lt;0,"",IF(AND('計算（触らない）'!$F101&lt;=2,('計算（触らない）'!$V101+1)&gt;'計算（触らない）'!$R101),0,INDEX('計算（触らない）'!$AS101:$EP101,MIN(('計算（触らない）'!$V101+1),101)+1))))</f>
        <v/>
      </c>
      <c r="Q101" s="52">
        <f>IF('計算（触らない）'!$U101=0,"",IF(('計算（触らない）'!$V101+2)&lt;0,"",IF(AND('計算（触らない）'!$F101&lt;=2,('計算（触らない）'!$V101+2)&gt;'計算（触らない）'!$R101),0,INDEX('計算（触らない）'!$AS101:$EP101,MIN(('計算（触らない）'!$V101+2),101)+1))))</f>
        <v/>
      </c>
      <c r="R101" s="52">
        <f>IF('計算（触らない）'!$U101=0,"",IF(('計算（触らない）'!$V101+3)&lt;0,"",IF(AND('計算（触らない）'!$F101&lt;=2,('計算（触らない）'!$V101+3)&gt;'計算（触らない）'!$R101),0,INDEX('計算（触らない）'!$AS101:$EP101,MIN(('計算（触らない）'!$V101+3),101)+1))))</f>
        <v/>
      </c>
      <c r="S101" s="52">
        <f>IF('計算（触らない）'!$U101=0,"",IF(('計算（触らない）'!$V101+4)&lt;0,"",IF(AND('計算（触らない）'!$F101&lt;=2,('計算（触らない）'!$V101+4)&gt;'計算（触らない）'!$R101),0,INDEX('計算（触らない）'!$AS101:$EP101,MIN(('計算（触らない）'!$V101+4),101)+1))))</f>
        <v/>
      </c>
      <c r="T101" s="52">
        <f>IF('計算（触らない）'!$U101=0,"",IF(('計算（触らない）'!$V101+5)&lt;0,"",IF(AND('計算（触らない）'!$F101&lt;=2,('計算（触らない）'!$V101+5)&gt;'計算（触らない）'!$R101),0,INDEX('計算（触らない）'!$AS101:$EP101,MIN(('計算（触らない）'!$V101+5),101)+1))))</f>
        <v/>
      </c>
      <c r="U101" s="52">
        <f>IF('計算（触らない）'!$U101=0,"",IF(('計算（触らない）'!$V101+6)&lt;0,"",IF(AND('計算（触らない）'!$F101&lt;=2,('計算（触らない）'!$V101+6)&gt;'計算（触らない）'!$R101),0,INDEX('計算（触らない）'!$AS101:$EP101,MIN(('計算（触らない）'!$V101+6),101)+1))))</f>
        <v/>
      </c>
      <c r="V101" s="52">
        <f>IF('計算（触らない）'!$U101=0,"",IF(('計算（触らない）'!$V101+7)&lt;0,"",IF(AND('計算（触らない）'!$F101&lt;=2,('計算（触らない）'!$V101+7)&gt;'計算（触らない）'!$R101),0,INDEX('計算（触らない）'!$AS101:$EP101,MIN(('計算（触らない）'!$V101+7),101)+1))))</f>
        <v/>
      </c>
      <c r="W101" s="52">
        <f>IF('計算（触らない）'!$U101=0,"",IF(('計算（触らない）'!$V101+8)&lt;0,"",IF(AND('計算（触らない）'!$F101&lt;=2,('計算（触らない）'!$V101+8)&gt;'計算（触らない）'!$R101),0,INDEX('計算（触らない）'!$AS101:$EP101,MIN(('計算（触らない）'!$V101+8),101)+1))))</f>
        <v/>
      </c>
      <c r="X101" s="52">
        <f>IF('計算（触らない）'!$U101=0,"",IF(('計算（触らない）'!$V101+9)&lt;0,"",IF(AND('計算（触らない）'!$F101&lt;=2,('計算（触らない）'!$V101+9)&gt;'計算（触らない）'!$R101),0,INDEX('計算（触らない）'!$AS101:$EP101,MIN(('計算（触らない）'!$V101+9),101)+1))))</f>
        <v/>
      </c>
    </row>
    <row r="102" ht="17" customHeight="1">
      <c r="A102" s="21" t="n">
        <v>97</v>
      </c>
      <c r="B102" s="38">
        <f>IF('計算（触らない）'!$B102=0,"",'固定資産台帳'!$B102&amp;"")</f>
        <v/>
      </c>
      <c r="C102" s="38">
        <f>IF('計算（触らない）'!$B102=0,"",'固定資産台帳'!$H102&amp;"")</f>
        <v/>
      </c>
      <c r="D102" s="52">
        <f>IF('計算（触らない）'!$U102=0,"",IF(('計算（触らない）'!$V102+0)&lt;0,"",INT(ROUND((IF(('計算（触らない）'!$V102+0)=0,'計算（触らない）'!$C102,INDEX('計算（触らない）'!$AS102:$EP102,MIN(('計算（触らない）'!$V102+0),102)))-INDEX('計算（触らない）'!$AS102:$EP102,MIN(('計算（触らない）'!$V102+0),101)+1))*'計算（触らない）'!$N102,6)+'計算（触らない）'!$B$4)))</f>
        <v/>
      </c>
      <c r="E102" s="52">
        <f>IF('計算（触らない）'!$U102=0,"",IF(('計算（触らない）'!$V102+1)&lt;0,"",INT(ROUND((IF(('計算（触らない）'!$V102+1)=0,'計算（触らない）'!$C102,INDEX('計算（触らない）'!$AS102:$EP102,MIN(('計算（触らない）'!$V102+1),102)))-INDEX('計算（触らない）'!$AS102:$EP102,MIN(('計算（触らない）'!$V102+1),101)+1))*'計算（触らない）'!$N102,6)+'計算（触らない）'!$B$4)))</f>
        <v/>
      </c>
      <c r="F102" s="52">
        <f>IF('計算（触らない）'!$U102=0,"",IF(('計算（触らない）'!$V102+2)&lt;0,"",INT(ROUND((IF(('計算（触らない）'!$V102+2)=0,'計算（触らない）'!$C102,INDEX('計算（触らない）'!$AS102:$EP102,MIN(('計算（触らない）'!$V102+2),102)))-INDEX('計算（触らない）'!$AS102:$EP102,MIN(('計算（触らない）'!$V102+2),101)+1))*'計算（触らない）'!$N102,6)+'計算（触らない）'!$B$4)))</f>
        <v/>
      </c>
      <c r="G102" s="52">
        <f>IF('計算（触らない）'!$U102=0,"",IF(('計算（触らない）'!$V102+3)&lt;0,"",INT(ROUND((IF(('計算（触らない）'!$V102+3)=0,'計算（触らない）'!$C102,INDEX('計算（触らない）'!$AS102:$EP102,MIN(('計算（触らない）'!$V102+3),102)))-INDEX('計算（触らない）'!$AS102:$EP102,MIN(('計算（触らない）'!$V102+3),101)+1))*'計算（触らない）'!$N102,6)+'計算（触らない）'!$B$4)))</f>
        <v/>
      </c>
      <c r="H102" s="52">
        <f>IF('計算（触らない）'!$U102=0,"",IF(('計算（触らない）'!$V102+4)&lt;0,"",INT(ROUND((IF(('計算（触らない）'!$V102+4)=0,'計算（触らない）'!$C102,INDEX('計算（触らない）'!$AS102:$EP102,MIN(('計算（触らない）'!$V102+4),102)))-INDEX('計算（触らない）'!$AS102:$EP102,MIN(('計算（触らない）'!$V102+4),101)+1))*'計算（触らない）'!$N102,6)+'計算（触らない）'!$B$4)))</f>
        <v/>
      </c>
      <c r="I102" s="52">
        <f>IF('計算（触らない）'!$U102=0,"",IF(('計算（触らない）'!$V102+5)&lt;0,"",INT(ROUND((IF(('計算（触らない）'!$V102+5)=0,'計算（触らない）'!$C102,INDEX('計算（触らない）'!$AS102:$EP102,MIN(('計算（触らない）'!$V102+5),102)))-INDEX('計算（触らない）'!$AS102:$EP102,MIN(('計算（触らない）'!$V102+5),101)+1))*'計算（触らない）'!$N102,6)+'計算（触らない）'!$B$4)))</f>
        <v/>
      </c>
      <c r="J102" s="52">
        <f>IF('計算（触らない）'!$U102=0,"",IF(('計算（触らない）'!$V102+6)&lt;0,"",INT(ROUND((IF(('計算（触らない）'!$V102+6)=0,'計算（触らない）'!$C102,INDEX('計算（触らない）'!$AS102:$EP102,MIN(('計算（触らない）'!$V102+6),102)))-INDEX('計算（触らない）'!$AS102:$EP102,MIN(('計算（触らない）'!$V102+6),101)+1))*'計算（触らない）'!$N102,6)+'計算（触らない）'!$B$4)))</f>
        <v/>
      </c>
      <c r="K102" s="52">
        <f>IF('計算（触らない）'!$U102=0,"",IF(('計算（触らない）'!$V102+7)&lt;0,"",INT(ROUND((IF(('計算（触らない）'!$V102+7)=0,'計算（触らない）'!$C102,INDEX('計算（触らない）'!$AS102:$EP102,MIN(('計算（触らない）'!$V102+7),102)))-INDEX('計算（触らない）'!$AS102:$EP102,MIN(('計算（触らない）'!$V102+7),101)+1))*'計算（触らない）'!$N102,6)+'計算（触らない）'!$B$4)))</f>
        <v/>
      </c>
      <c r="L102" s="52">
        <f>IF('計算（触らない）'!$U102=0,"",IF(('計算（触らない）'!$V102+8)&lt;0,"",INT(ROUND((IF(('計算（触らない）'!$V102+8)=0,'計算（触らない）'!$C102,INDEX('計算（触らない）'!$AS102:$EP102,MIN(('計算（触らない）'!$V102+8),102)))-INDEX('計算（触らない）'!$AS102:$EP102,MIN(('計算（触らない）'!$V102+8),101)+1))*'計算（触らない）'!$N102,6)+'計算（触らない）'!$B$4)))</f>
        <v/>
      </c>
      <c r="M102" s="52">
        <f>IF('計算（触らない）'!$U102=0,"",IF(('計算（触らない）'!$V102+9)&lt;0,"",INT(ROUND((IF(('計算（触らない）'!$V102+9)=0,'計算（触らない）'!$C102,INDEX('計算（触らない）'!$AS102:$EP102,MIN(('計算（触らない）'!$V102+9),102)))-INDEX('計算（触らない）'!$AS102:$EP102,MIN(('計算（触らない）'!$V102+9),101)+1))*'計算（触らない）'!$N102,6)+'計算（触らない）'!$B$4)))</f>
        <v/>
      </c>
      <c r="N102" s="68" t="n"/>
      <c r="O102" s="52">
        <f>IF('計算（触らない）'!$U102=0,"",IF(('計算（触らない）'!$V102+0)&lt;0,"",IF(AND('計算（触らない）'!$F102&lt;=2,('計算（触らない）'!$V102+0)&gt;'計算（触らない）'!$R102),0,INDEX('計算（触らない）'!$AS102:$EP102,MIN(('計算（触らない）'!$V102+0),101)+1))))</f>
        <v/>
      </c>
      <c r="P102" s="52">
        <f>IF('計算（触らない）'!$U102=0,"",IF(('計算（触らない）'!$V102+1)&lt;0,"",IF(AND('計算（触らない）'!$F102&lt;=2,('計算（触らない）'!$V102+1)&gt;'計算（触らない）'!$R102),0,INDEX('計算（触らない）'!$AS102:$EP102,MIN(('計算（触らない）'!$V102+1),101)+1))))</f>
        <v/>
      </c>
      <c r="Q102" s="52">
        <f>IF('計算（触らない）'!$U102=0,"",IF(('計算（触らない）'!$V102+2)&lt;0,"",IF(AND('計算（触らない）'!$F102&lt;=2,('計算（触らない）'!$V102+2)&gt;'計算（触らない）'!$R102),0,INDEX('計算（触らない）'!$AS102:$EP102,MIN(('計算（触らない）'!$V102+2),101)+1))))</f>
        <v/>
      </c>
      <c r="R102" s="52">
        <f>IF('計算（触らない）'!$U102=0,"",IF(('計算（触らない）'!$V102+3)&lt;0,"",IF(AND('計算（触らない）'!$F102&lt;=2,('計算（触らない）'!$V102+3)&gt;'計算（触らない）'!$R102),0,INDEX('計算（触らない）'!$AS102:$EP102,MIN(('計算（触らない）'!$V102+3),101)+1))))</f>
        <v/>
      </c>
      <c r="S102" s="52">
        <f>IF('計算（触らない）'!$U102=0,"",IF(('計算（触らない）'!$V102+4)&lt;0,"",IF(AND('計算（触らない）'!$F102&lt;=2,('計算（触らない）'!$V102+4)&gt;'計算（触らない）'!$R102),0,INDEX('計算（触らない）'!$AS102:$EP102,MIN(('計算（触らない）'!$V102+4),101)+1))))</f>
        <v/>
      </c>
      <c r="T102" s="52">
        <f>IF('計算（触らない）'!$U102=0,"",IF(('計算（触らない）'!$V102+5)&lt;0,"",IF(AND('計算（触らない）'!$F102&lt;=2,('計算（触らない）'!$V102+5)&gt;'計算（触らない）'!$R102),0,INDEX('計算（触らない）'!$AS102:$EP102,MIN(('計算（触らない）'!$V102+5),101)+1))))</f>
        <v/>
      </c>
      <c r="U102" s="52">
        <f>IF('計算（触らない）'!$U102=0,"",IF(('計算（触らない）'!$V102+6)&lt;0,"",IF(AND('計算（触らない）'!$F102&lt;=2,('計算（触らない）'!$V102+6)&gt;'計算（触らない）'!$R102),0,INDEX('計算（触らない）'!$AS102:$EP102,MIN(('計算（触らない）'!$V102+6),101)+1))))</f>
        <v/>
      </c>
      <c r="V102" s="52">
        <f>IF('計算（触らない）'!$U102=0,"",IF(('計算（触らない）'!$V102+7)&lt;0,"",IF(AND('計算（触らない）'!$F102&lt;=2,('計算（触らない）'!$V102+7)&gt;'計算（触らない）'!$R102),0,INDEX('計算（触らない）'!$AS102:$EP102,MIN(('計算（触らない）'!$V102+7),101)+1))))</f>
        <v/>
      </c>
      <c r="W102" s="52">
        <f>IF('計算（触らない）'!$U102=0,"",IF(('計算（触らない）'!$V102+8)&lt;0,"",IF(AND('計算（触らない）'!$F102&lt;=2,('計算（触らない）'!$V102+8)&gt;'計算（触らない）'!$R102),0,INDEX('計算（触らない）'!$AS102:$EP102,MIN(('計算（触らない）'!$V102+8),101)+1))))</f>
        <v/>
      </c>
      <c r="X102" s="52">
        <f>IF('計算（触らない）'!$U102=0,"",IF(('計算（触らない）'!$V102+9)&lt;0,"",IF(AND('計算（触らない）'!$F102&lt;=2,('計算（触らない）'!$V102+9)&gt;'計算（触らない）'!$R102),0,INDEX('計算（触らない）'!$AS102:$EP102,MIN(('計算（触らない）'!$V102+9),101)+1))))</f>
        <v/>
      </c>
    </row>
    <row r="103" ht="17" customHeight="1">
      <c r="A103" s="21" t="n">
        <v>98</v>
      </c>
      <c r="B103" s="38">
        <f>IF('計算（触らない）'!$B103=0,"",'固定資産台帳'!$B103&amp;"")</f>
        <v/>
      </c>
      <c r="C103" s="38">
        <f>IF('計算（触らない）'!$B103=0,"",'固定資産台帳'!$H103&amp;"")</f>
        <v/>
      </c>
      <c r="D103" s="52">
        <f>IF('計算（触らない）'!$U103=0,"",IF(('計算（触らない）'!$V103+0)&lt;0,"",INT(ROUND((IF(('計算（触らない）'!$V103+0)=0,'計算（触らない）'!$C103,INDEX('計算（触らない）'!$AS103:$EP103,MIN(('計算（触らない）'!$V103+0),102)))-INDEX('計算（触らない）'!$AS103:$EP103,MIN(('計算（触らない）'!$V103+0),101)+1))*'計算（触らない）'!$N103,6)+'計算（触らない）'!$B$4)))</f>
        <v/>
      </c>
      <c r="E103" s="52">
        <f>IF('計算（触らない）'!$U103=0,"",IF(('計算（触らない）'!$V103+1)&lt;0,"",INT(ROUND((IF(('計算（触らない）'!$V103+1)=0,'計算（触らない）'!$C103,INDEX('計算（触らない）'!$AS103:$EP103,MIN(('計算（触らない）'!$V103+1),102)))-INDEX('計算（触らない）'!$AS103:$EP103,MIN(('計算（触らない）'!$V103+1),101)+1))*'計算（触らない）'!$N103,6)+'計算（触らない）'!$B$4)))</f>
        <v/>
      </c>
      <c r="F103" s="52">
        <f>IF('計算（触らない）'!$U103=0,"",IF(('計算（触らない）'!$V103+2)&lt;0,"",INT(ROUND((IF(('計算（触らない）'!$V103+2)=0,'計算（触らない）'!$C103,INDEX('計算（触らない）'!$AS103:$EP103,MIN(('計算（触らない）'!$V103+2),102)))-INDEX('計算（触らない）'!$AS103:$EP103,MIN(('計算（触らない）'!$V103+2),101)+1))*'計算（触らない）'!$N103,6)+'計算（触らない）'!$B$4)))</f>
        <v/>
      </c>
      <c r="G103" s="52">
        <f>IF('計算（触らない）'!$U103=0,"",IF(('計算（触らない）'!$V103+3)&lt;0,"",INT(ROUND((IF(('計算（触らない）'!$V103+3)=0,'計算（触らない）'!$C103,INDEX('計算（触らない）'!$AS103:$EP103,MIN(('計算（触らない）'!$V103+3),102)))-INDEX('計算（触らない）'!$AS103:$EP103,MIN(('計算（触らない）'!$V103+3),101)+1))*'計算（触らない）'!$N103,6)+'計算（触らない）'!$B$4)))</f>
        <v/>
      </c>
      <c r="H103" s="52">
        <f>IF('計算（触らない）'!$U103=0,"",IF(('計算（触らない）'!$V103+4)&lt;0,"",INT(ROUND((IF(('計算（触らない）'!$V103+4)=0,'計算（触らない）'!$C103,INDEX('計算（触らない）'!$AS103:$EP103,MIN(('計算（触らない）'!$V103+4),102)))-INDEX('計算（触らない）'!$AS103:$EP103,MIN(('計算（触らない）'!$V103+4),101)+1))*'計算（触らない）'!$N103,6)+'計算（触らない）'!$B$4)))</f>
        <v/>
      </c>
      <c r="I103" s="52">
        <f>IF('計算（触らない）'!$U103=0,"",IF(('計算（触らない）'!$V103+5)&lt;0,"",INT(ROUND((IF(('計算（触らない）'!$V103+5)=0,'計算（触らない）'!$C103,INDEX('計算（触らない）'!$AS103:$EP103,MIN(('計算（触らない）'!$V103+5),102)))-INDEX('計算（触らない）'!$AS103:$EP103,MIN(('計算（触らない）'!$V103+5),101)+1))*'計算（触らない）'!$N103,6)+'計算（触らない）'!$B$4)))</f>
        <v/>
      </c>
      <c r="J103" s="52">
        <f>IF('計算（触らない）'!$U103=0,"",IF(('計算（触らない）'!$V103+6)&lt;0,"",INT(ROUND((IF(('計算（触らない）'!$V103+6)=0,'計算（触らない）'!$C103,INDEX('計算（触らない）'!$AS103:$EP103,MIN(('計算（触らない）'!$V103+6),102)))-INDEX('計算（触らない）'!$AS103:$EP103,MIN(('計算（触らない）'!$V103+6),101)+1))*'計算（触らない）'!$N103,6)+'計算（触らない）'!$B$4)))</f>
        <v/>
      </c>
      <c r="K103" s="52">
        <f>IF('計算（触らない）'!$U103=0,"",IF(('計算（触らない）'!$V103+7)&lt;0,"",INT(ROUND((IF(('計算（触らない）'!$V103+7)=0,'計算（触らない）'!$C103,INDEX('計算（触らない）'!$AS103:$EP103,MIN(('計算（触らない）'!$V103+7),102)))-INDEX('計算（触らない）'!$AS103:$EP103,MIN(('計算（触らない）'!$V103+7),101)+1))*'計算（触らない）'!$N103,6)+'計算（触らない）'!$B$4)))</f>
        <v/>
      </c>
      <c r="L103" s="52">
        <f>IF('計算（触らない）'!$U103=0,"",IF(('計算（触らない）'!$V103+8)&lt;0,"",INT(ROUND((IF(('計算（触らない）'!$V103+8)=0,'計算（触らない）'!$C103,INDEX('計算（触らない）'!$AS103:$EP103,MIN(('計算（触らない）'!$V103+8),102)))-INDEX('計算（触らない）'!$AS103:$EP103,MIN(('計算（触らない）'!$V103+8),101)+1))*'計算（触らない）'!$N103,6)+'計算（触らない）'!$B$4)))</f>
        <v/>
      </c>
      <c r="M103" s="52">
        <f>IF('計算（触らない）'!$U103=0,"",IF(('計算（触らない）'!$V103+9)&lt;0,"",INT(ROUND((IF(('計算（触らない）'!$V103+9)=0,'計算（触らない）'!$C103,INDEX('計算（触らない）'!$AS103:$EP103,MIN(('計算（触らない）'!$V103+9),102)))-INDEX('計算（触らない）'!$AS103:$EP103,MIN(('計算（触らない）'!$V103+9),101)+1))*'計算（触らない）'!$N103,6)+'計算（触らない）'!$B$4)))</f>
        <v/>
      </c>
      <c r="N103" s="68" t="n"/>
      <c r="O103" s="52">
        <f>IF('計算（触らない）'!$U103=0,"",IF(('計算（触らない）'!$V103+0)&lt;0,"",IF(AND('計算（触らない）'!$F103&lt;=2,('計算（触らない）'!$V103+0)&gt;'計算（触らない）'!$R103),0,INDEX('計算（触らない）'!$AS103:$EP103,MIN(('計算（触らない）'!$V103+0),101)+1))))</f>
        <v/>
      </c>
      <c r="P103" s="52">
        <f>IF('計算（触らない）'!$U103=0,"",IF(('計算（触らない）'!$V103+1)&lt;0,"",IF(AND('計算（触らない）'!$F103&lt;=2,('計算（触らない）'!$V103+1)&gt;'計算（触らない）'!$R103),0,INDEX('計算（触らない）'!$AS103:$EP103,MIN(('計算（触らない）'!$V103+1),101)+1))))</f>
        <v/>
      </c>
      <c r="Q103" s="52">
        <f>IF('計算（触らない）'!$U103=0,"",IF(('計算（触らない）'!$V103+2)&lt;0,"",IF(AND('計算（触らない）'!$F103&lt;=2,('計算（触らない）'!$V103+2)&gt;'計算（触らない）'!$R103),0,INDEX('計算（触らない）'!$AS103:$EP103,MIN(('計算（触らない）'!$V103+2),101)+1))))</f>
        <v/>
      </c>
      <c r="R103" s="52">
        <f>IF('計算（触らない）'!$U103=0,"",IF(('計算（触らない）'!$V103+3)&lt;0,"",IF(AND('計算（触らない）'!$F103&lt;=2,('計算（触らない）'!$V103+3)&gt;'計算（触らない）'!$R103),0,INDEX('計算（触らない）'!$AS103:$EP103,MIN(('計算（触らない）'!$V103+3),101)+1))))</f>
        <v/>
      </c>
      <c r="S103" s="52">
        <f>IF('計算（触らない）'!$U103=0,"",IF(('計算（触らない）'!$V103+4)&lt;0,"",IF(AND('計算（触らない）'!$F103&lt;=2,('計算（触らない）'!$V103+4)&gt;'計算（触らない）'!$R103),0,INDEX('計算（触らない）'!$AS103:$EP103,MIN(('計算（触らない）'!$V103+4),101)+1))))</f>
        <v/>
      </c>
      <c r="T103" s="52">
        <f>IF('計算（触らない）'!$U103=0,"",IF(('計算（触らない）'!$V103+5)&lt;0,"",IF(AND('計算（触らない）'!$F103&lt;=2,('計算（触らない）'!$V103+5)&gt;'計算（触らない）'!$R103),0,INDEX('計算（触らない）'!$AS103:$EP103,MIN(('計算（触らない）'!$V103+5),101)+1))))</f>
        <v/>
      </c>
      <c r="U103" s="52">
        <f>IF('計算（触らない）'!$U103=0,"",IF(('計算（触らない）'!$V103+6)&lt;0,"",IF(AND('計算（触らない）'!$F103&lt;=2,('計算（触らない）'!$V103+6)&gt;'計算（触らない）'!$R103),0,INDEX('計算（触らない）'!$AS103:$EP103,MIN(('計算（触らない）'!$V103+6),101)+1))))</f>
        <v/>
      </c>
      <c r="V103" s="52">
        <f>IF('計算（触らない）'!$U103=0,"",IF(('計算（触らない）'!$V103+7)&lt;0,"",IF(AND('計算（触らない）'!$F103&lt;=2,('計算（触らない）'!$V103+7)&gt;'計算（触らない）'!$R103),0,INDEX('計算（触らない）'!$AS103:$EP103,MIN(('計算（触らない）'!$V103+7),101)+1))))</f>
        <v/>
      </c>
      <c r="W103" s="52">
        <f>IF('計算（触らない）'!$U103=0,"",IF(('計算（触らない）'!$V103+8)&lt;0,"",IF(AND('計算（触らない）'!$F103&lt;=2,('計算（触らない）'!$V103+8)&gt;'計算（触らない）'!$R103),0,INDEX('計算（触らない）'!$AS103:$EP103,MIN(('計算（触らない）'!$V103+8),101)+1))))</f>
        <v/>
      </c>
      <c r="X103" s="52">
        <f>IF('計算（触らない）'!$U103=0,"",IF(('計算（触らない）'!$V103+9)&lt;0,"",IF(AND('計算（触らない）'!$F103&lt;=2,('計算（触らない）'!$V103+9)&gt;'計算（触らない）'!$R103),0,INDEX('計算（触らない）'!$AS103:$EP103,MIN(('計算（触らない）'!$V103+9),101)+1))))</f>
        <v/>
      </c>
    </row>
    <row r="104" ht="17" customHeight="1">
      <c r="A104" s="21" t="n">
        <v>99</v>
      </c>
      <c r="B104" s="38">
        <f>IF('計算（触らない）'!$B104=0,"",'固定資産台帳'!$B104&amp;"")</f>
        <v/>
      </c>
      <c r="C104" s="38">
        <f>IF('計算（触らない）'!$B104=0,"",'固定資産台帳'!$H104&amp;"")</f>
        <v/>
      </c>
      <c r="D104" s="52">
        <f>IF('計算（触らない）'!$U104=0,"",IF(('計算（触らない）'!$V104+0)&lt;0,"",INT(ROUND((IF(('計算（触らない）'!$V104+0)=0,'計算（触らない）'!$C104,INDEX('計算（触らない）'!$AS104:$EP104,MIN(('計算（触らない）'!$V104+0),102)))-INDEX('計算（触らない）'!$AS104:$EP104,MIN(('計算（触らない）'!$V104+0),101)+1))*'計算（触らない）'!$N104,6)+'計算（触らない）'!$B$4)))</f>
        <v/>
      </c>
      <c r="E104" s="52">
        <f>IF('計算（触らない）'!$U104=0,"",IF(('計算（触らない）'!$V104+1)&lt;0,"",INT(ROUND((IF(('計算（触らない）'!$V104+1)=0,'計算（触らない）'!$C104,INDEX('計算（触らない）'!$AS104:$EP104,MIN(('計算（触らない）'!$V104+1),102)))-INDEX('計算（触らない）'!$AS104:$EP104,MIN(('計算（触らない）'!$V104+1),101)+1))*'計算（触らない）'!$N104,6)+'計算（触らない）'!$B$4)))</f>
        <v/>
      </c>
      <c r="F104" s="52">
        <f>IF('計算（触らない）'!$U104=0,"",IF(('計算（触らない）'!$V104+2)&lt;0,"",INT(ROUND((IF(('計算（触らない）'!$V104+2)=0,'計算（触らない）'!$C104,INDEX('計算（触らない）'!$AS104:$EP104,MIN(('計算（触らない）'!$V104+2),102)))-INDEX('計算（触らない）'!$AS104:$EP104,MIN(('計算（触らない）'!$V104+2),101)+1))*'計算（触らない）'!$N104,6)+'計算（触らない）'!$B$4)))</f>
        <v/>
      </c>
      <c r="G104" s="52">
        <f>IF('計算（触らない）'!$U104=0,"",IF(('計算（触らない）'!$V104+3)&lt;0,"",INT(ROUND((IF(('計算（触らない）'!$V104+3)=0,'計算（触らない）'!$C104,INDEX('計算（触らない）'!$AS104:$EP104,MIN(('計算（触らない）'!$V104+3),102)))-INDEX('計算（触らない）'!$AS104:$EP104,MIN(('計算（触らない）'!$V104+3),101)+1))*'計算（触らない）'!$N104,6)+'計算（触らない）'!$B$4)))</f>
        <v/>
      </c>
      <c r="H104" s="52">
        <f>IF('計算（触らない）'!$U104=0,"",IF(('計算（触らない）'!$V104+4)&lt;0,"",INT(ROUND((IF(('計算（触らない）'!$V104+4)=0,'計算（触らない）'!$C104,INDEX('計算（触らない）'!$AS104:$EP104,MIN(('計算（触らない）'!$V104+4),102)))-INDEX('計算（触らない）'!$AS104:$EP104,MIN(('計算（触らない）'!$V104+4),101)+1))*'計算（触らない）'!$N104,6)+'計算（触らない）'!$B$4)))</f>
        <v/>
      </c>
      <c r="I104" s="52">
        <f>IF('計算（触らない）'!$U104=0,"",IF(('計算（触らない）'!$V104+5)&lt;0,"",INT(ROUND((IF(('計算（触らない）'!$V104+5)=0,'計算（触らない）'!$C104,INDEX('計算（触らない）'!$AS104:$EP104,MIN(('計算（触らない）'!$V104+5),102)))-INDEX('計算（触らない）'!$AS104:$EP104,MIN(('計算（触らない）'!$V104+5),101)+1))*'計算（触らない）'!$N104,6)+'計算（触らない）'!$B$4)))</f>
        <v/>
      </c>
      <c r="J104" s="52">
        <f>IF('計算（触らない）'!$U104=0,"",IF(('計算（触らない）'!$V104+6)&lt;0,"",INT(ROUND((IF(('計算（触らない）'!$V104+6)=0,'計算（触らない）'!$C104,INDEX('計算（触らない）'!$AS104:$EP104,MIN(('計算（触らない）'!$V104+6),102)))-INDEX('計算（触らない）'!$AS104:$EP104,MIN(('計算（触らない）'!$V104+6),101)+1))*'計算（触らない）'!$N104,6)+'計算（触らない）'!$B$4)))</f>
        <v/>
      </c>
      <c r="K104" s="52">
        <f>IF('計算（触らない）'!$U104=0,"",IF(('計算（触らない）'!$V104+7)&lt;0,"",INT(ROUND((IF(('計算（触らない）'!$V104+7)=0,'計算（触らない）'!$C104,INDEX('計算（触らない）'!$AS104:$EP104,MIN(('計算（触らない）'!$V104+7),102)))-INDEX('計算（触らない）'!$AS104:$EP104,MIN(('計算（触らない）'!$V104+7),101)+1))*'計算（触らない）'!$N104,6)+'計算（触らない）'!$B$4)))</f>
        <v/>
      </c>
      <c r="L104" s="52">
        <f>IF('計算（触らない）'!$U104=0,"",IF(('計算（触らない）'!$V104+8)&lt;0,"",INT(ROUND((IF(('計算（触らない）'!$V104+8)=0,'計算（触らない）'!$C104,INDEX('計算（触らない）'!$AS104:$EP104,MIN(('計算（触らない）'!$V104+8),102)))-INDEX('計算（触らない）'!$AS104:$EP104,MIN(('計算（触らない）'!$V104+8),101)+1))*'計算（触らない）'!$N104,6)+'計算（触らない）'!$B$4)))</f>
        <v/>
      </c>
      <c r="M104" s="52">
        <f>IF('計算（触らない）'!$U104=0,"",IF(('計算（触らない）'!$V104+9)&lt;0,"",INT(ROUND((IF(('計算（触らない）'!$V104+9)=0,'計算（触らない）'!$C104,INDEX('計算（触らない）'!$AS104:$EP104,MIN(('計算（触らない）'!$V104+9),102)))-INDEX('計算（触らない）'!$AS104:$EP104,MIN(('計算（触らない）'!$V104+9),101)+1))*'計算（触らない）'!$N104,6)+'計算（触らない）'!$B$4)))</f>
        <v/>
      </c>
      <c r="N104" s="68" t="n"/>
      <c r="O104" s="52">
        <f>IF('計算（触らない）'!$U104=0,"",IF(('計算（触らない）'!$V104+0)&lt;0,"",IF(AND('計算（触らない）'!$F104&lt;=2,('計算（触らない）'!$V104+0)&gt;'計算（触らない）'!$R104),0,INDEX('計算（触らない）'!$AS104:$EP104,MIN(('計算（触らない）'!$V104+0),101)+1))))</f>
        <v/>
      </c>
      <c r="P104" s="52">
        <f>IF('計算（触らない）'!$U104=0,"",IF(('計算（触らない）'!$V104+1)&lt;0,"",IF(AND('計算（触らない）'!$F104&lt;=2,('計算（触らない）'!$V104+1)&gt;'計算（触らない）'!$R104),0,INDEX('計算（触らない）'!$AS104:$EP104,MIN(('計算（触らない）'!$V104+1),101)+1))))</f>
        <v/>
      </c>
      <c r="Q104" s="52">
        <f>IF('計算（触らない）'!$U104=0,"",IF(('計算（触らない）'!$V104+2)&lt;0,"",IF(AND('計算（触らない）'!$F104&lt;=2,('計算（触らない）'!$V104+2)&gt;'計算（触らない）'!$R104),0,INDEX('計算（触らない）'!$AS104:$EP104,MIN(('計算（触らない）'!$V104+2),101)+1))))</f>
        <v/>
      </c>
      <c r="R104" s="52">
        <f>IF('計算（触らない）'!$U104=0,"",IF(('計算（触らない）'!$V104+3)&lt;0,"",IF(AND('計算（触らない）'!$F104&lt;=2,('計算（触らない）'!$V104+3)&gt;'計算（触らない）'!$R104),0,INDEX('計算（触らない）'!$AS104:$EP104,MIN(('計算（触らない）'!$V104+3),101)+1))))</f>
        <v/>
      </c>
      <c r="S104" s="52">
        <f>IF('計算（触らない）'!$U104=0,"",IF(('計算（触らない）'!$V104+4)&lt;0,"",IF(AND('計算（触らない）'!$F104&lt;=2,('計算（触らない）'!$V104+4)&gt;'計算（触らない）'!$R104),0,INDEX('計算（触らない）'!$AS104:$EP104,MIN(('計算（触らない）'!$V104+4),101)+1))))</f>
        <v/>
      </c>
      <c r="T104" s="52">
        <f>IF('計算（触らない）'!$U104=0,"",IF(('計算（触らない）'!$V104+5)&lt;0,"",IF(AND('計算（触らない）'!$F104&lt;=2,('計算（触らない）'!$V104+5)&gt;'計算（触らない）'!$R104),0,INDEX('計算（触らない）'!$AS104:$EP104,MIN(('計算（触らない）'!$V104+5),101)+1))))</f>
        <v/>
      </c>
      <c r="U104" s="52">
        <f>IF('計算（触らない）'!$U104=0,"",IF(('計算（触らない）'!$V104+6)&lt;0,"",IF(AND('計算（触らない）'!$F104&lt;=2,('計算（触らない）'!$V104+6)&gt;'計算（触らない）'!$R104),0,INDEX('計算（触らない）'!$AS104:$EP104,MIN(('計算（触らない）'!$V104+6),101)+1))))</f>
        <v/>
      </c>
      <c r="V104" s="52">
        <f>IF('計算（触らない）'!$U104=0,"",IF(('計算（触らない）'!$V104+7)&lt;0,"",IF(AND('計算（触らない）'!$F104&lt;=2,('計算（触らない）'!$V104+7)&gt;'計算（触らない）'!$R104),0,INDEX('計算（触らない）'!$AS104:$EP104,MIN(('計算（触らない）'!$V104+7),101)+1))))</f>
        <v/>
      </c>
      <c r="W104" s="52">
        <f>IF('計算（触らない）'!$U104=0,"",IF(('計算（触らない）'!$V104+8)&lt;0,"",IF(AND('計算（触らない）'!$F104&lt;=2,('計算（触らない）'!$V104+8)&gt;'計算（触らない）'!$R104),0,INDEX('計算（触らない）'!$AS104:$EP104,MIN(('計算（触らない）'!$V104+8),101)+1))))</f>
        <v/>
      </c>
      <c r="X104" s="52">
        <f>IF('計算（触らない）'!$U104=0,"",IF(('計算（触らない）'!$V104+9)&lt;0,"",IF(AND('計算（触らない）'!$F104&lt;=2,('計算（触らない）'!$V104+9)&gt;'計算（触らない）'!$R104),0,INDEX('計算（触らない）'!$AS104:$EP104,MIN(('計算（触らない）'!$V104+9),101)+1))))</f>
        <v/>
      </c>
    </row>
    <row r="105" ht="17" customHeight="1">
      <c r="A105" s="21" t="n">
        <v>100</v>
      </c>
      <c r="B105" s="38">
        <f>IF('計算（触らない）'!$B105=0,"",'固定資産台帳'!$B105&amp;"")</f>
        <v/>
      </c>
      <c r="C105" s="38">
        <f>IF('計算（触らない）'!$B105=0,"",'固定資産台帳'!$H105&amp;"")</f>
        <v/>
      </c>
      <c r="D105" s="52">
        <f>IF('計算（触らない）'!$U105=0,"",IF(('計算（触らない）'!$V105+0)&lt;0,"",INT(ROUND((IF(('計算（触らない）'!$V105+0)=0,'計算（触らない）'!$C105,INDEX('計算（触らない）'!$AS105:$EP105,MIN(('計算（触らない）'!$V105+0),102)))-INDEX('計算（触らない）'!$AS105:$EP105,MIN(('計算（触らない）'!$V105+0),101)+1))*'計算（触らない）'!$N105,6)+'計算（触らない）'!$B$4)))</f>
        <v/>
      </c>
      <c r="E105" s="52">
        <f>IF('計算（触らない）'!$U105=0,"",IF(('計算（触らない）'!$V105+1)&lt;0,"",INT(ROUND((IF(('計算（触らない）'!$V105+1)=0,'計算（触らない）'!$C105,INDEX('計算（触らない）'!$AS105:$EP105,MIN(('計算（触らない）'!$V105+1),102)))-INDEX('計算（触らない）'!$AS105:$EP105,MIN(('計算（触らない）'!$V105+1),101)+1))*'計算（触らない）'!$N105,6)+'計算（触らない）'!$B$4)))</f>
        <v/>
      </c>
      <c r="F105" s="52">
        <f>IF('計算（触らない）'!$U105=0,"",IF(('計算（触らない）'!$V105+2)&lt;0,"",INT(ROUND((IF(('計算（触らない）'!$V105+2)=0,'計算（触らない）'!$C105,INDEX('計算（触らない）'!$AS105:$EP105,MIN(('計算（触らない）'!$V105+2),102)))-INDEX('計算（触らない）'!$AS105:$EP105,MIN(('計算（触らない）'!$V105+2),101)+1))*'計算（触らない）'!$N105,6)+'計算（触らない）'!$B$4)))</f>
        <v/>
      </c>
      <c r="G105" s="52">
        <f>IF('計算（触らない）'!$U105=0,"",IF(('計算（触らない）'!$V105+3)&lt;0,"",INT(ROUND((IF(('計算（触らない）'!$V105+3)=0,'計算（触らない）'!$C105,INDEX('計算（触らない）'!$AS105:$EP105,MIN(('計算（触らない）'!$V105+3),102)))-INDEX('計算（触らない）'!$AS105:$EP105,MIN(('計算（触らない）'!$V105+3),101)+1))*'計算（触らない）'!$N105,6)+'計算（触らない）'!$B$4)))</f>
        <v/>
      </c>
      <c r="H105" s="52">
        <f>IF('計算（触らない）'!$U105=0,"",IF(('計算（触らない）'!$V105+4)&lt;0,"",INT(ROUND((IF(('計算（触らない）'!$V105+4)=0,'計算（触らない）'!$C105,INDEX('計算（触らない）'!$AS105:$EP105,MIN(('計算（触らない）'!$V105+4),102)))-INDEX('計算（触らない）'!$AS105:$EP105,MIN(('計算（触らない）'!$V105+4),101)+1))*'計算（触らない）'!$N105,6)+'計算（触らない）'!$B$4)))</f>
        <v/>
      </c>
      <c r="I105" s="52">
        <f>IF('計算（触らない）'!$U105=0,"",IF(('計算（触らない）'!$V105+5)&lt;0,"",INT(ROUND((IF(('計算（触らない）'!$V105+5)=0,'計算（触らない）'!$C105,INDEX('計算（触らない）'!$AS105:$EP105,MIN(('計算（触らない）'!$V105+5),102)))-INDEX('計算（触らない）'!$AS105:$EP105,MIN(('計算（触らない）'!$V105+5),101)+1))*'計算（触らない）'!$N105,6)+'計算（触らない）'!$B$4)))</f>
        <v/>
      </c>
      <c r="J105" s="52">
        <f>IF('計算（触らない）'!$U105=0,"",IF(('計算（触らない）'!$V105+6)&lt;0,"",INT(ROUND((IF(('計算（触らない）'!$V105+6)=0,'計算（触らない）'!$C105,INDEX('計算（触らない）'!$AS105:$EP105,MIN(('計算（触らない）'!$V105+6),102)))-INDEX('計算（触らない）'!$AS105:$EP105,MIN(('計算（触らない）'!$V105+6),101)+1))*'計算（触らない）'!$N105,6)+'計算（触らない）'!$B$4)))</f>
        <v/>
      </c>
      <c r="K105" s="52">
        <f>IF('計算（触らない）'!$U105=0,"",IF(('計算（触らない）'!$V105+7)&lt;0,"",INT(ROUND((IF(('計算（触らない）'!$V105+7)=0,'計算（触らない）'!$C105,INDEX('計算（触らない）'!$AS105:$EP105,MIN(('計算（触らない）'!$V105+7),102)))-INDEX('計算（触らない）'!$AS105:$EP105,MIN(('計算（触らない）'!$V105+7),101)+1))*'計算（触らない）'!$N105,6)+'計算（触らない）'!$B$4)))</f>
        <v/>
      </c>
      <c r="L105" s="52">
        <f>IF('計算（触らない）'!$U105=0,"",IF(('計算（触らない）'!$V105+8)&lt;0,"",INT(ROUND((IF(('計算（触らない）'!$V105+8)=0,'計算（触らない）'!$C105,INDEX('計算（触らない）'!$AS105:$EP105,MIN(('計算（触らない）'!$V105+8),102)))-INDEX('計算（触らない）'!$AS105:$EP105,MIN(('計算（触らない）'!$V105+8),101)+1))*'計算（触らない）'!$N105,6)+'計算（触らない）'!$B$4)))</f>
        <v/>
      </c>
      <c r="M105" s="52">
        <f>IF('計算（触らない）'!$U105=0,"",IF(('計算（触らない）'!$V105+9)&lt;0,"",INT(ROUND((IF(('計算（触らない）'!$V105+9)=0,'計算（触らない）'!$C105,INDEX('計算（触らない）'!$AS105:$EP105,MIN(('計算（触らない）'!$V105+9),102)))-INDEX('計算（触らない）'!$AS105:$EP105,MIN(('計算（触らない）'!$V105+9),101)+1))*'計算（触らない）'!$N105,6)+'計算（触らない）'!$B$4)))</f>
        <v/>
      </c>
      <c r="N105" s="68" t="n"/>
      <c r="O105" s="52">
        <f>IF('計算（触らない）'!$U105=0,"",IF(('計算（触らない）'!$V105+0)&lt;0,"",IF(AND('計算（触らない）'!$F105&lt;=2,('計算（触らない）'!$V105+0)&gt;'計算（触らない）'!$R105),0,INDEX('計算（触らない）'!$AS105:$EP105,MIN(('計算（触らない）'!$V105+0),101)+1))))</f>
        <v/>
      </c>
      <c r="P105" s="52">
        <f>IF('計算（触らない）'!$U105=0,"",IF(('計算（触らない）'!$V105+1)&lt;0,"",IF(AND('計算（触らない）'!$F105&lt;=2,('計算（触らない）'!$V105+1)&gt;'計算（触らない）'!$R105),0,INDEX('計算（触らない）'!$AS105:$EP105,MIN(('計算（触らない）'!$V105+1),101)+1))))</f>
        <v/>
      </c>
      <c r="Q105" s="52">
        <f>IF('計算（触らない）'!$U105=0,"",IF(('計算（触らない）'!$V105+2)&lt;0,"",IF(AND('計算（触らない）'!$F105&lt;=2,('計算（触らない）'!$V105+2)&gt;'計算（触らない）'!$R105),0,INDEX('計算（触らない）'!$AS105:$EP105,MIN(('計算（触らない）'!$V105+2),101)+1))))</f>
        <v/>
      </c>
      <c r="R105" s="52">
        <f>IF('計算（触らない）'!$U105=0,"",IF(('計算（触らない）'!$V105+3)&lt;0,"",IF(AND('計算（触らない）'!$F105&lt;=2,('計算（触らない）'!$V105+3)&gt;'計算（触らない）'!$R105),0,INDEX('計算（触らない）'!$AS105:$EP105,MIN(('計算（触らない）'!$V105+3),101)+1))))</f>
        <v/>
      </c>
      <c r="S105" s="52">
        <f>IF('計算（触らない）'!$U105=0,"",IF(('計算（触らない）'!$V105+4)&lt;0,"",IF(AND('計算（触らない）'!$F105&lt;=2,('計算（触らない）'!$V105+4)&gt;'計算（触らない）'!$R105),0,INDEX('計算（触らない）'!$AS105:$EP105,MIN(('計算（触らない）'!$V105+4),101)+1))))</f>
        <v/>
      </c>
      <c r="T105" s="52">
        <f>IF('計算（触らない）'!$U105=0,"",IF(('計算（触らない）'!$V105+5)&lt;0,"",IF(AND('計算（触らない）'!$F105&lt;=2,('計算（触らない）'!$V105+5)&gt;'計算（触らない）'!$R105),0,INDEX('計算（触らない）'!$AS105:$EP105,MIN(('計算（触らない）'!$V105+5),101)+1))))</f>
        <v/>
      </c>
      <c r="U105" s="52">
        <f>IF('計算（触らない）'!$U105=0,"",IF(('計算（触らない）'!$V105+6)&lt;0,"",IF(AND('計算（触らない）'!$F105&lt;=2,('計算（触らない）'!$V105+6)&gt;'計算（触らない）'!$R105),0,INDEX('計算（触らない）'!$AS105:$EP105,MIN(('計算（触らない）'!$V105+6),101)+1))))</f>
        <v/>
      </c>
      <c r="V105" s="52">
        <f>IF('計算（触らない）'!$U105=0,"",IF(('計算（触らない）'!$V105+7)&lt;0,"",IF(AND('計算（触らない）'!$F105&lt;=2,('計算（触らない）'!$V105+7)&gt;'計算（触らない）'!$R105),0,INDEX('計算（触らない）'!$AS105:$EP105,MIN(('計算（触らない）'!$V105+7),101)+1))))</f>
        <v/>
      </c>
      <c r="W105" s="52">
        <f>IF('計算（触らない）'!$U105=0,"",IF(('計算（触らない）'!$V105+8)&lt;0,"",IF(AND('計算（触らない）'!$F105&lt;=2,('計算（触らない）'!$V105+8)&gt;'計算（触らない）'!$R105),0,INDEX('計算（触らない）'!$AS105:$EP105,MIN(('計算（触らない）'!$V105+8),101)+1))))</f>
        <v/>
      </c>
      <c r="X105" s="52">
        <f>IF('計算（触らない）'!$U105=0,"",IF(('計算（触らない）'!$V105+9)&lt;0,"",IF(AND('計算（触らない）'!$F105&lt;=2,('計算（触らない）'!$V105+9)&gt;'計算（触らない）'!$R105),0,INDEX('計算（触らない）'!$AS105:$EP105,MIN(('計算（触らない）'!$V105+9),101)+1))))</f>
        <v/>
      </c>
    </row>
  </sheetData>
  <mergeCells count="4">
    <mergeCell ref="A5:C5"/>
    <mergeCell ref="A2:M2"/>
    <mergeCell ref="O1:X1"/>
    <mergeCell ref="A1:M1"/>
  </mergeCells>
  <printOptions horizontalCentered="1"/>
  <pageMargins left="0.4" right="0.4" top="0.45" bottom="0.45" header="0.2" footer="0.2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tabColor rgb="0066707A"/>
    <outlinePr summaryBelow="1" summaryRight="1"/>
    <pageSetUpPr fitToPage="1"/>
  </sheetPr>
  <dimension ref="A1:E79"/>
  <sheetViews>
    <sheetView showGridLines="0" tabSelected="0" workbookViewId="0">
      <selection activeCell="A1" sqref="A1"/>
    </sheetView>
  </sheetViews>
  <sheetFormatPr baseColWidth="8" defaultRowHeight="15"/>
  <cols>
    <col width="14" customWidth="1" min="1" max="1"/>
    <col width="44" customWidth="1" min="2" max="2"/>
    <col width="44" customWidth="1" min="3" max="3"/>
    <col width="9" customWidth="1" min="4" max="4"/>
    <col width="22" customWidth="1" min="5" max="5"/>
  </cols>
  <sheetData>
    <row r="1" ht="26" customHeight="1">
      <c r="A1" s="67" t="inlineStr">
        <is>
          <t>耐用年数の例（よく使う資産）と、中古資産の耐用年数</t>
        </is>
      </c>
      <c r="B1" s="68" t="n"/>
      <c r="C1" s="68" t="n"/>
      <c r="D1" s="68" t="n"/>
      <c r="E1" s="68" t="n"/>
    </row>
    <row r="2">
      <c r="A2" s="68" t="n"/>
      <c r="B2" s="68" t="n"/>
      <c r="C2" s="68" t="n"/>
      <c r="D2" s="68" t="n"/>
      <c r="E2" s="68" t="n"/>
    </row>
    <row r="3" ht="22" customHeight="1">
      <c r="A3" s="73" t="inlineStr">
        <is>
          <t>中古資産の耐用年数（簡便法）を出す</t>
        </is>
      </c>
      <c r="B3" s="68" t="n"/>
      <c r="C3" s="68" t="n"/>
      <c r="D3" s="68" t="n"/>
      <c r="E3" s="68" t="n"/>
    </row>
    <row r="4" ht="20" customHeight="1">
      <c r="A4" s="71" t="inlineStr">
        <is>
          <t>法定耐用年数（新品のときの年数）</t>
        </is>
      </c>
      <c r="B4" s="74" t="n"/>
      <c r="C4" s="53" t="n"/>
      <c r="D4" s="72" t="inlineStr">
        <is>
          <t>年</t>
        </is>
      </c>
      <c r="E4" s="68" t="n"/>
    </row>
    <row r="5" ht="20" customHeight="1">
      <c r="A5" s="71" t="inlineStr">
        <is>
          <t>経過した年数（新品として使われ始めてから、取得するまで）</t>
        </is>
      </c>
      <c r="B5" s="74" t="n"/>
      <c r="C5" s="53" t="n"/>
      <c r="D5" s="72" t="inlineStr">
        <is>
          <t>年</t>
        </is>
      </c>
      <c r="E5" s="68" t="n"/>
    </row>
    <row r="6" ht="20" customHeight="1">
      <c r="A6" s="71" t="inlineStr">
        <is>
          <t>経過した月数（上の年数に足す月）</t>
        </is>
      </c>
      <c r="B6" s="74" t="n"/>
      <c r="C6" s="53" t="n"/>
      <c r="D6" s="72" t="inlineStr">
        <is>
          <t>か月</t>
        </is>
      </c>
      <c r="E6" s="68" t="n"/>
    </row>
    <row r="7" ht="24" customHeight="1">
      <c r="A7" s="71" t="inlineStr">
        <is>
          <t>中古資産の耐用年数（簡便法）</t>
        </is>
      </c>
      <c r="B7" s="74" t="n"/>
      <c r="C7" s="81">
        <f>IFERROR(IF(NOT(ISNUMBER(C4)),"",IF(OR(C4&lt;2,C4&gt;100),"",MAX(2,IF((N(C5)*12+N(C6))&gt;=C4*12,INT(ROUND(C4*0.2,6)),INT(ROUND((C4*12-(N(C5)*12+N(C6))+(N(C5)*12+N(C6))*0.2)/12,6)))))),"")</f>
        <v/>
      </c>
      <c r="D7" s="68" t="n"/>
      <c r="E7" s="68" t="n"/>
    </row>
    <row r="8" ht="30" customHeight="1">
      <c r="A8" s="72" t="inlineStr">
        <is>
          <t>全部経過している：法定耐用年数 × 20%。一部経過：（法定耐用年数 − 経過年数）＋ 経過年数 × 20%。1年未満は切り捨て、2年未満は2年（耐用年数省令3条・国税庁 No.5404）。月数で計算して年にしています。</t>
        </is>
      </c>
      <c r="B8" s="68" t="n"/>
      <c r="C8" s="68" t="n"/>
      <c r="D8" s="68" t="n"/>
      <c r="E8" s="68" t="n"/>
    </row>
    <row r="9" ht="30" customHeight="1">
      <c r="A9" s="72" t="inlineStr">
        <is>
          <t>簡便法を使えるのは、耐用年数省令の別表第一・第二・第五・第六の資産（建物・車両・器具備品・機械装置など）です。無形固定資産には使えません。記入例：法定4年の車で2年経過 → (4−2)＋2×20% ＝ 2.4年 → 2年。</t>
        </is>
      </c>
      <c r="B9" s="68" t="n"/>
      <c r="C9" s="68" t="n"/>
      <c r="D9" s="68" t="n"/>
      <c r="E9" s="68" t="n"/>
    </row>
    <row r="10">
      <c r="A10" s="68" t="n"/>
      <c r="B10" s="68" t="n"/>
      <c r="C10" s="68" t="n"/>
      <c r="D10" s="68" t="n"/>
      <c r="E10" s="68" t="n"/>
    </row>
    <row r="11" ht="22" customHeight="1">
      <c r="A11" s="73" t="inlineStr">
        <is>
          <t>よく使う資産の耐用年数（例）</t>
        </is>
      </c>
      <c r="B11" s="68" t="n"/>
      <c r="C11" s="68" t="n"/>
      <c r="D11" s="68" t="n"/>
      <c r="E11" s="68" t="n"/>
    </row>
    <row r="12">
      <c r="A12" s="20" t="inlineStr">
        <is>
          <t>種類</t>
        </is>
      </c>
      <c r="B12" s="20" t="inlineStr">
        <is>
          <t>構造・用途</t>
        </is>
      </c>
      <c r="C12" s="20" t="inlineStr">
        <is>
          <t>細目</t>
        </is>
      </c>
      <c r="D12" s="20" t="inlineStr">
        <is>
          <t>耐用年数</t>
        </is>
      </c>
      <c r="E12" s="20" t="inlineStr">
        <is>
          <t>出典</t>
        </is>
      </c>
    </row>
    <row r="13" ht="17" customHeight="1">
      <c r="A13" s="37" t="inlineStr">
        <is>
          <t>建物</t>
        </is>
      </c>
      <c r="B13" s="55" t="inlineStr">
        <is>
          <t>木造・合成樹脂造のもの</t>
        </is>
      </c>
      <c r="C13" s="55" t="inlineStr">
        <is>
          <t>事務所用のもの</t>
        </is>
      </c>
      <c r="D13" s="56" t="n">
        <v>24</v>
      </c>
      <c r="E13" s="55" t="inlineStr">
        <is>
          <t>国税庁 主な耐用年数表</t>
        </is>
      </c>
    </row>
    <row r="14" ht="17" customHeight="1">
      <c r="A14" s="37" t="inlineStr">
        <is>
          <t>建物</t>
        </is>
      </c>
      <c r="B14" s="55" t="inlineStr">
        <is>
          <t>木造・合成樹脂造のもの</t>
        </is>
      </c>
      <c r="C14" s="55" t="inlineStr">
        <is>
          <t>店舗用・住宅用のもの</t>
        </is>
      </c>
      <c r="D14" s="56" t="n">
        <v>22</v>
      </c>
      <c r="E14" s="55" t="inlineStr">
        <is>
          <t>国税庁 主な耐用年数表</t>
        </is>
      </c>
    </row>
    <row r="15" ht="17" customHeight="1">
      <c r="A15" s="37" t="inlineStr">
        <is>
          <t>建物</t>
        </is>
      </c>
      <c r="B15" s="55" t="inlineStr">
        <is>
          <t>木造・合成樹脂造のもの</t>
        </is>
      </c>
      <c r="C15" s="55" t="inlineStr">
        <is>
          <t>飲食店用のもの</t>
        </is>
      </c>
      <c r="D15" s="56" t="n">
        <v>20</v>
      </c>
      <c r="E15" s="55" t="inlineStr">
        <is>
          <t>国税庁 主な耐用年数表</t>
        </is>
      </c>
    </row>
    <row r="16" ht="17" customHeight="1">
      <c r="A16" s="37" t="inlineStr">
        <is>
          <t>建物</t>
        </is>
      </c>
      <c r="B16" s="55" t="inlineStr">
        <is>
          <t>木骨モルタル造のもの</t>
        </is>
      </c>
      <c r="C16" s="55" t="inlineStr">
        <is>
          <t>事務所用のもの</t>
        </is>
      </c>
      <c r="D16" s="56" t="n">
        <v>22</v>
      </c>
      <c r="E16" s="55" t="inlineStr">
        <is>
          <t>国税庁 主な耐用年数表</t>
        </is>
      </c>
    </row>
    <row r="17" ht="17" customHeight="1">
      <c r="A17" s="37" t="inlineStr">
        <is>
          <t>建物</t>
        </is>
      </c>
      <c r="B17" s="55" t="inlineStr">
        <is>
          <t>木骨モルタル造のもの</t>
        </is>
      </c>
      <c r="C17" s="55" t="inlineStr">
        <is>
          <t>店舗用・住宅用のもの</t>
        </is>
      </c>
      <c r="D17" s="56" t="n">
        <v>20</v>
      </c>
      <c r="E17" s="55" t="inlineStr">
        <is>
          <t>国税庁 主な耐用年数表</t>
        </is>
      </c>
    </row>
    <row r="18" ht="17" customHeight="1">
      <c r="A18" s="37" t="inlineStr">
        <is>
          <t>建物</t>
        </is>
      </c>
      <c r="B18" s="55" t="inlineStr">
        <is>
          <t>鉄骨鉄筋コンクリート造・鉄筋コンクリート造のもの</t>
        </is>
      </c>
      <c r="C18" s="55" t="inlineStr">
        <is>
          <t>事務所用のもの</t>
        </is>
      </c>
      <c r="D18" s="56" t="n">
        <v>50</v>
      </c>
      <c r="E18" s="55" t="inlineStr">
        <is>
          <t>国税庁 主な耐用年数表</t>
        </is>
      </c>
    </row>
    <row r="19" ht="17" customHeight="1">
      <c r="A19" s="37" t="inlineStr">
        <is>
          <t>建物</t>
        </is>
      </c>
      <c r="B19" s="55" t="inlineStr">
        <is>
          <t>鉄骨鉄筋コンクリート造・鉄筋コンクリート造のもの</t>
        </is>
      </c>
      <c r="C19" s="55" t="inlineStr">
        <is>
          <t>住宅用のもの</t>
        </is>
      </c>
      <c r="D19" s="56" t="n">
        <v>47</v>
      </c>
      <c r="E19" s="55" t="inlineStr">
        <is>
          <t>国税庁 主な耐用年数表</t>
        </is>
      </c>
    </row>
    <row r="20" ht="17" customHeight="1">
      <c r="A20" s="37" t="inlineStr">
        <is>
          <t>建物</t>
        </is>
      </c>
      <c r="B20" s="55" t="inlineStr">
        <is>
          <t>鉄骨鉄筋コンクリート造・鉄筋コンクリート造のもの</t>
        </is>
      </c>
      <c r="C20" s="55" t="inlineStr">
        <is>
          <t>店舗用・病院用のもの</t>
        </is>
      </c>
      <c r="D20" s="56" t="n">
        <v>39</v>
      </c>
      <c r="E20" s="55" t="inlineStr">
        <is>
          <t>国税庁 主な耐用年数表</t>
        </is>
      </c>
    </row>
    <row r="21" ht="26" customHeight="1">
      <c r="A21" s="37" t="inlineStr">
        <is>
          <t>建物</t>
        </is>
      </c>
      <c r="B21" s="55" t="inlineStr">
        <is>
          <t>鉄骨鉄筋コンクリート造・鉄筋コンクリート造のもの</t>
        </is>
      </c>
      <c r="C21" s="55" t="inlineStr">
        <is>
          <t>飲食店用のもの（延べ面積のうちに占める木造内装部分の面積が30％を超えるもの）</t>
        </is>
      </c>
      <c r="D21" s="56" t="n">
        <v>34</v>
      </c>
      <c r="E21" s="55" t="inlineStr">
        <is>
          <t>国税庁 主な耐用年数表</t>
        </is>
      </c>
    </row>
    <row r="22" ht="17" customHeight="1">
      <c r="A22" s="37" t="inlineStr">
        <is>
          <t>建物</t>
        </is>
      </c>
      <c r="B22" s="55" t="inlineStr">
        <is>
          <t>鉄骨鉄筋コンクリート造・鉄筋コンクリート造のもの</t>
        </is>
      </c>
      <c r="C22" s="55" t="inlineStr">
        <is>
          <t>飲食店用のもの（その他のもの）</t>
        </is>
      </c>
      <c r="D22" s="56" t="n">
        <v>41</v>
      </c>
      <c r="E22" s="55" t="inlineStr">
        <is>
          <t>国税庁 主な耐用年数表</t>
        </is>
      </c>
    </row>
    <row r="23" ht="17" customHeight="1">
      <c r="A23" s="37" t="inlineStr">
        <is>
          <t>建物</t>
        </is>
      </c>
      <c r="B23" s="55" t="inlineStr">
        <is>
          <t>金属造のもの</t>
        </is>
      </c>
      <c r="C23" s="55" t="inlineStr">
        <is>
          <t>事務所用のもの（骨格材の肉厚が4㎜を超えるもの）</t>
        </is>
      </c>
      <c r="D23" s="56" t="n">
        <v>38</v>
      </c>
      <c r="E23" s="55" t="inlineStr">
        <is>
          <t>国税庁 主な耐用年数表</t>
        </is>
      </c>
    </row>
    <row r="24" ht="26" customHeight="1">
      <c r="A24" s="37" t="inlineStr">
        <is>
          <t>建物</t>
        </is>
      </c>
      <c r="B24" s="55" t="inlineStr">
        <is>
          <t>金属造のもの</t>
        </is>
      </c>
      <c r="C24" s="55" t="inlineStr">
        <is>
          <t>店舗用・住宅用のもの（骨格材の肉厚が4㎜を超えるもの）</t>
        </is>
      </c>
      <c r="D24" s="56" t="n">
        <v>34</v>
      </c>
      <c r="E24" s="55" t="inlineStr">
        <is>
          <t>国税庁 主な耐用年数表</t>
        </is>
      </c>
    </row>
    <row r="25" ht="26" customHeight="1">
      <c r="A25" s="37" t="inlineStr">
        <is>
          <t>建物</t>
        </is>
      </c>
      <c r="B25" s="55" t="inlineStr">
        <is>
          <t>金属造のもの</t>
        </is>
      </c>
      <c r="C25" s="55" t="inlineStr">
        <is>
          <t>店舗用・住宅用のもの（骨格材の肉厚が3㎜以下のもの）</t>
        </is>
      </c>
      <c r="D25" s="56" t="n">
        <v>19</v>
      </c>
      <c r="E25" s="55" t="inlineStr">
        <is>
          <t>国税庁 主な耐用年数表</t>
        </is>
      </c>
    </row>
    <row r="26" ht="17" customHeight="1">
      <c r="A26" s="37" t="inlineStr">
        <is>
          <t>建物附属設備</t>
        </is>
      </c>
      <c r="B26" s="55" t="inlineStr">
        <is>
          <t>電気設備（照明設備を含む。）</t>
        </is>
      </c>
      <c r="C26" s="55" t="inlineStr">
        <is>
          <t>その他のもの（蓄電池電源設備以外）</t>
        </is>
      </c>
      <c r="D26" s="56" t="n">
        <v>15</v>
      </c>
      <c r="E26" s="55" t="inlineStr">
        <is>
          <t>国税庁 主な耐用年数表</t>
        </is>
      </c>
    </row>
    <row r="27" ht="17" customHeight="1">
      <c r="A27" s="37" t="inlineStr">
        <is>
          <t>建物附属設備</t>
        </is>
      </c>
      <c r="B27" s="55" t="inlineStr">
        <is>
          <t>給排水・衛生設備、ガス設備</t>
        </is>
      </c>
      <c r="C27" s="55" t="inlineStr">
        <is>
          <t>―</t>
        </is>
      </c>
      <c r="D27" s="56" t="n">
        <v>15</v>
      </c>
      <c r="E27" s="55" t="inlineStr">
        <is>
          <t>国税庁 主な耐用年数表</t>
        </is>
      </c>
    </row>
    <row r="28" ht="17" customHeight="1">
      <c r="A28" s="37" t="inlineStr">
        <is>
          <t>建物附属設備</t>
        </is>
      </c>
      <c r="B28" s="55" t="inlineStr">
        <is>
          <t>アーケード・日よけ設備</t>
        </is>
      </c>
      <c r="C28" s="55" t="inlineStr">
        <is>
          <t>主として金属製のもの</t>
        </is>
      </c>
      <c r="D28" s="56" t="n">
        <v>15</v>
      </c>
      <c r="E28" s="55" t="inlineStr">
        <is>
          <t>国税庁 主な耐用年数表</t>
        </is>
      </c>
    </row>
    <row r="29" ht="17" customHeight="1">
      <c r="A29" s="37" t="inlineStr">
        <is>
          <t>建物附属設備</t>
        </is>
      </c>
      <c r="B29" s="55" t="inlineStr">
        <is>
          <t>店用簡易装備</t>
        </is>
      </c>
      <c r="C29" s="55" t="inlineStr">
        <is>
          <t>―</t>
        </is>
      </c>
      <c r="D29" s="56" t="n">
        <v>3</v>
      </c>
      <c r="E29" s="55" t="inlineStr">
        <is>
          <t>国税庁 主な耐用年数表</t>
        </is>
      </c>
    </row>
    <row r="30" ht="17" customHeight="1">
      <c r="A30" s="37" t="inlineStr">
        <is>
          <t>車両運搬具</t>
        </is>
      </c>
      <c r="B30" s="55" t="inlineStr">
        <is>
          <t>一般用の自動車（2輪・3輪を除く）</t>
        </is>
      </c>
      <c r="C30" s="55" t="inlineStr">
        <is>
          <t>小型車（総排気量が0.66リットル以下のもの）</t>
        </is>
      </c>
      <c r="D30" s="56" t="n">
        <v>4</v>
      </c>
      <c r="E30" s="55" t="inlineStr">
        <is>
          <t>国税庁 主な耐用年数表</t>
        </is>
      </c>
    </row>
    <row r="31" ht="17" customHeight="1">
      <c r="A31" s="37" t="inlineStr">
        <is>
          <t>車両運搬具</t>
        </is>
      </c>
      <c r="B31" s="55" t="inlineStr">
        <is>
          <t>一般用の自動車（2輪・3輪を除く）</t>
        </is>
      </c>
      <c r="C31" s="55" t="inlineStr">
        <is>
          <t>貨物自動車（ダンプ式のもの）</t>
        </is>
      </c>
      <c r="D31" s="56" t="n">
        <v>4</v>
      </c>
      <c r="E31" s="55" t="inlineStr">
        <is>
          <t>国税庁 主な耐用年数表</t>
        </is>
      </c>
    </row>
    <row r="32" ht="17" customHeight="1">
      <c r="A32" s="37" t="inlineStr">
        <is>
          <t>車両運搬具</t>
        </is>
      </c>
      <c r="B32" s="55" t="inlineStr">
        <is>
          <t>一般用の自動車（2輪・3輪を除く）</t>
        </is>
      </c>
      <c r="C32" s="55" t="inlineStr">
        <is>
          <t>貨物自動車（その他のもの）</t>
        </is>
      </c>
      <c r="D32" s="56" t="n">
        <v>5</v>
      </c>
      <c r="E32" s="55" t="inlineStr">
        <is>
          <t>国税庁 主な耐用年数表</t>
        </is>
      </c>
    </row>
    <row r="33" ht="26" customHeight="1">
      <c r="A33" s="37" t="inlineStr">
        <is>
          <t>車両運搬具</t>
        </is>
      </c>
      <c r="B33" s="55" t="inlineStr">
        <is>
          <t>一般用の自動車（2輪・3輪を除く）</t>
        </is>
      </c>
      <c r="C33" s="55" t="inlineStr">
        <is>
          <t>その他のもの（小型車・貨物自動車・報道通信用以外）</t>
        </is>
      </c>
      <c r="D33" s="56" t="n">
        <v>6</v>
      </c>
      <c r="E33" s="55" t="inlineStr">
        <is>
          <t>国税庁 主な耐用年数表</t>
        </is>
      </c>
    </row>
    <row r="34" ht="17" customHeight="1">
      <c r="A34" s="37" t="inlineStr">
        <is>
          <t>車両運搬具</t>
        </is>
      </c>
      <c r="B34" s="55" t="inlineStr">
        <is>
          <t>一般用のもの</t>
        </is>
      </c>
      <c r="C34" s="55" t="inlineStr">
        <is>
          <t>２輪・３輪自動車</t>
        </is>
      </c>
      <c r="D34" s="56" t="n">
        <v>3</v>
      </c>
      <c r="E34" s="55" t="inlineStr">
        <is>
          <t>国税庁 主な耐用年数表</t>
        </is>
      </c>
    </row>
    <row r="35" ht="17" customHeight="1">
      <c r="A35" s="37" t="inlineStr">
        <is>
          <t>車両運搬具</t>
        </is>
      </c>
      <c r="B35" s="55" t="inlineStr">
        <is>
          <t>一般用のもの</t>
        </is>
      </c>
      <c r="C35" s="55" t="inlineStr">
        <is>
          <t>自転車</t>
        </is>
      </c>
      <c r="D35" s="56" t="n">
        <v>2</v>
      </c>
      <c r="E35" s="55" t="inlineStr">
        <is>
          <t>国税庁 主な耐用年数表</t>
        </is>
      </c>
    </row>
    <row r="36" ht="26" customHeight="1">
      <c r="A36" s="37" t="inlineStr">
        <is>
          <t>工具</t>
        </is>
      </c>
      <c r="B36" s="55" t="inlineStr">
        <is>
          <t>測定工具、検査工具（電気・電子を利用するものを含む。）</t>
        </is>
      </c>
      <c r="C36" s="55" t="inlineStr">
        <is>
          <t>―</t>
        </is>
      </c>
      <c r="D36" s="56" t="n">
        <v>5</v>
      </c>
      <c r="E36" s="55" t="inlineStr">
        <is>
          <t>国税庁 主な耐用年数表</t>
        </is>
      </c>
    </row>
    <row r="37" ht="17" customHeight="1">
      <c r="A37" s="37" t="inlineStr">
        <is>
          <t>工具</t>
        </is>
      </c>
      <c r="B37" s="55" t="inlineStr">
        <is>
          <t>切削工具</t>
        </is>
      </c>
      <c r="C37" s="55" t="inlineStr">
        <is>
          <t>―</t>
        </is>
      </c>
      <c r="D37" s="56" t="n">
        <v>2</v>
      </c>
      <c r="E37" s="55" t="inlineStr">
        <is>
          <t>国税庁 主な耐用年数表</t>
        </is>
      </c>
    </row>
    <row r="38" ht="17" customHeight="1">
      <c r="A38" s="37" t="inlineStr">
        <is>
          <t>器具備品</t>
        </is>
      </c>
      <c r="B38" s="55" t="inlineStr">
        <is>
          <t>家具（事務机、事務いす、キャビネット）</t>
        </is>
      </c>
      <c r="C38" s="55" t="inlineStr">
        <is>
          <t>主として金属製のもの</t>
        </is>
      </c>
      <c r="D38" s="56" t="n">
        <v>15</v>
      </c>
      <c r="E38" s="55" t="inlineStr">
        <is>
          <t>国税庁 主な耐用年数表</t>
        </is>
      </c>
    </row>
    <row r="39" ht="17" customHeight="1">
      <c r="A39" s="37" t="inlineStr">
        <is>
          <t>器具備品</t>
        </is>
      </c>
      <c r="B39" s="55" t="inlineStr">
        <is>
          <t>家具（事務机、事務いす、キャビネット）</t>
        </is>
      </c>
      <c r="C39" s="55" t="inlineStr">
        <is>
          <t>その他のもの</t>
        </is>
      </c>
      <c r="D39" s="56" t="n">
        <v>8</v>
      </c>
      <c r="E39" s="55" t="inlineStr">
        <is>
          <t>国税庁 主な耐用年数表</t>
        </is>
      </c>
    </row>
    <row r="40" ht="17" customHeight="1">
      <c r="A40" s="37" t="inlineStr">
        <is>
          <t>器具備品</t>
        </is>
      </c>
      <c r="B40" s="55" t="inlineStr">
        <is>
          <t>家具（応接セット）</t>
        </is>
      </c>
      <c r="C40" s="55" t="inlineStr">
        <is>
          <t>接客業用のもの</t>
        </is>
      </c>
      <c r="D40" s="56" t="n">
        <v>5</v>
      </c>
      <c r="E40" s="55" t="inlineStr">
        <is>
          <t>国税庁 主な耐用年数表</t>
        </is>
      </c>
    </row>
    <row r="41" ht="17" customHeight="1">
      <c r="A41" s="37" t="inlineStr">
        <is>
          <t>器具備品</t>
        </is>
      </c>
      <c r="B41" s="55" t="inlineStr">
        <is>
          <t>家具（応接セット）</t>
        </is>
      </c>
      <c r="C41" s="55" t="inlineStr">
        <is>
          <t>その他のもの</t>
        </is>
      </c>
      <c r="D41" s="56" t="n">
        <v>8</v>
      </c>
      <c r="E41" s="55" t="inlineStr">
        <is>
          <t>国税庁 主な耐用年数表</t>
        </is>
      </c>
    </row>
    <row r="42" ht="17" customHeight="1">
      <c r="A42" s="37" t="inlineStr">
        <is>
          <t>器具備品</t>
        </is>
      </c>
      <c r="B42" s="55" t="inlineStr">
        <is>
          <t>陳列だな、陳列ケース</t>
        </is>
      </c>
      <c r="C42" s="55" t="inlineStr">
        <is>
          <t>冷凍機付・冷蔵機付のもの</t>
        </is>
      </c>
      <c r="D42" s="56" t="n">
        <v>6</v>
      </c>
      <c r="E42" s="55" t="inlineStr">
        <is>
          <t>国税庁 主な耐用年数表</t>
        </is>
      </c>
    </row>
    <row r="43" ht="17" customHeight="1">
      <c r="A43" s="37" t="inlineStr">
        <is>
          <t>器具備品</t>
        </is>
      </c>
      <c r="B43" s="55" t="inlineStr">
        <is>
          <t>陳列だな、陳列ケース</t>
        </is>
      </c>
      <c r="C43" s="55" t="inlineStr">
        <is>
          <t>その他のもの</t>
        </is>
      </c>
      <c r="D43" s="56" t="n">
        <v>8</v>
      </c>
      <c r="E43" s="55" t="inlineStr">
        <is>
          <t>国税庁 主な耐用年数表</t>
        </is>
      </c>
    </row>
    <row r="44" ht="26" customHeight="1">
      <c r="A44" s="37" t="inlineStr">
        <is>
          <t>器具備品</t>
        </is>
      </c>
      <c r="B44" s="55" t="inlineStr">
        <is>
          <t>ラジオ、テレビジョン、テープレコーダーその他の音響機器</t>
        </is>
      </c>
      <c r="C44" s="55" t="inlineStr">
        <is>
          <t>―</t>
        </is>
      </c>
      <c r="D44" s="56" t="n">
        <v>5</v>
      </c>
      <c r="E44" s="55" t="inlineStr">
        <is>
          <t>国税庁 主な耐用年数表</t>
        </is>
      </c>
    </row>
    <row r="45" ht="17" customHeight="1">
      <c r="A45" s="37" t="inlineStr">
        <is>
          <t>器具備品</t>
        </is>
      </c>
      <c r="B45" s="55" t="inlineStr">
        <is>
          <t>冷房用・暖房用機器</t>
        </is>
      </c>
      <c r="C45" s="55" t="inlineStr">
        <is>
          <t>―</t>
        </is>
      </c>
      <c r="D45" s="56" t="n">
        <v>6</v>
      </c>
      <c r="E45" s="55" t="inlineStr">
        <is>
          <t>国税庁 主な耐用年数表</t>
        </is>
      </c>
    </row>
    <row r="46" ht="26" customHeight="1">
      <c r="A46" s="37" t="inlineStr">
        <is>
          <t>器具備品</t>
        </is>
      </c>
      <c r="B46" s="55" t="inlineStr">
        <is>
          <t>電気冷蔵庫、電気洗濯機その他これらに類する電気・ガス機器</t>
        </is>
      </c>
      <c r="C46" s="55" t="inlineStr">
        <is>
          <t>―</t>
        </is>
      </c>
      <c r="D46" s="56" t="n">
        <v>6</v>
      </c>
      <c r="E46" s="55" t="inlineStr">
        <is>
          <t>国税庁 主な耐用年数表</t>
        </is>
      </c>
    </row>
    <row r="47" ht="17" customHeight="1">
      <c r="A47" s="37" t="inlineStr">
        <is>
          <t>器具備品</t>
        </is>
      </c>
      <c r="B47" s="55" t="inlineStr">
        <is>
          <t>食事・ちゅう房用品</t>
        </is>
      </c>
      <c r="C47" s="55" t="inlineStr">
        <is>
          <t>陶磁器製・ガラス製のもの</t>
        </is>
      </c>
      <c r="D47" s="56" t="n">
        <v>2</v>
      </c>
      <c r="E47" s="55" t="inlineStr">
        <is>
          <t>国税庁 主な耐用年数表</t>
        </is>
      </c>
    </row>
    <row r="48" ht="17" customHeight="1">
      <c r="A48" s="37" t="inlineStr">
        <is>
          <t>器具備品</t>
        </is>
      </c>
      <c r="B48" s="55" t="inlineStr">
        <is>
          <t>食事・ちゅう房用品</t>
        </is>
      </c>
      <c r="C48" s="55" t="inlineStr">
        <is>
          <t>その他のもの</t>
        </is>
      </c>
      <c r="D48" s="56" t="n">
        <v>5</v>
      </c>
      <c r="E48" s="55" t="inlineStr">
        <is>
          <t>国税庁 主な耐用年数表</t>
        </is>
      </c>
    </row>
    <row r="49" ht="26" customHeight="1">
      <c r="A49" s="37" t="inlineStr">
        <is>
          <t>器具備品</t>
        </is>
      </c>
      <c r="B49" s="55" t="inlineStr">
        <is>
          <t>電子計算機</t>
        </is>
      </c>
      <c r="C49" s="55" t="inlineStr">
        <is>
          <t>パーソナルコンピュータ（サーバー用のものを除く。）</t>
        </is>
      </c>
      <c r="D49" s="56" t="n">
        <v>4</v>
      </c>
      <c r="E49" s="55" t="inlineStr">
        <is>
          <t>国税庁 主な耐用年数表</t>
        </is>
      </c>
    </row>
    <row r="50" ht="17" customHeight="1">
      <c r="A50" s="37" t="inlineStr">
        <is>
          <t>器具備品</t>
        </is>
      </c>
      <c r="B50" s="55" t="inlineStr">
        <is>
          <t>電子計算機</t>
        </is>
      </c>
      <c r="C50" s="55" t="inlineStr">
        <is>
          <t>その他のもの</t>
        </is>
      </c>
      <c r="D50" s="56" t="n">
        <v>5</v>
      </c>
      <c r="E50" s="55" t="inlineStr">
        <is>
          <t>国税庁 主な耐用年数表</t>
        </is>
      </c>
    </row>
    <row r="51" ht="26" customHeight="1">
      <c r="A51" s="37" t="inlineStr">
        <is>
          <t>器具備品</t>
        </is>
      </c>
      <c r="B51" s="55" t="inlineStr">
        <is>
          <t>複写機、計算機（電子計算機を除く。）、金銭登録機、タイムレコーダーその他これらに類するもの</t>
        </is>
      </c>
      <c r="C51" s="55" t="inlineStr">
        <is>
          <t>―</t>
        </is>
      </c>
      <c r="D51" s="56" t="n">
        <v>5</v>
      </c>
      <c r="E51" s="55" t="inlineStr">
        <is>
          <t>国税庁 主な耐用年数表</t>
        </is>
      </c>
    </row>
    <row r="52" ht="17" customHeight="1">
      <c r="A52" s="37" t="inlineStr">
        <is>
          <t>器具備品</t>
        </is>
      </c>
      <c r="B52" s="55" t="inlineStr">
        <is>
          <t>その他の事務機器</t>
        </is>
      </c>
      <c r="C52" s="55" t="inlineStr">
        <is>
          <t>―</t>
        </is>
      </c>
      <c r="D52" s="56" t="n">
        <v>5</v>
      </c>
      <c r="E52" s="55" t="inlineStr">
        <is>
          <t>国税庁 主な耐用年数表</t>
        </is>
      </c>
    </row>
    <row r="53" ht="17" customHeight="1">
      <c r="A53" s="37" t="inlineStr">
        <is>
          <t>器具備品</t>
        </is>
      </c>
      <c r="B53" s="55" t="inlineStr">
        <is>
          <t>テレタイプライター、ファクシミリ</t>
        </is>
      </c>
      <c r="C53" s="55" t="inlineStr">
        <is>
          <t>―</t>
        </is>
      </c>
      <c r="D53" s="56" t="n">
        <v>5</v>
      </c>
      <c r="E53" s="55" t="inlineStr">
        <is>
          <t>国税庁 主な耐用年数表</t>
        </is>
      </c>
    </row>
    <row r="54" ht="17" customHeight="1">
      <c r="A54" s="37" t="inlineStr">
        <is>
          <t>器具備品</t>
        </is>
      </c>
      <c r="B54" s="55" t="inlineStr">
        <is>
          <t>電話設備その他の通信機器</t>
        </is>
      </c>
      <c r="C54" s="55" t="inlineStr">
        <is>
          <t>デジタル構内交換設備、デジタルボタン電話設備</t>
        </is>
      </c>
      <c r="D54" s="56" t="n">
        <v>6</v>
      </c>
      <c r="E54" s="55" t="inlineStr">
        <is>
          <t>国税庁 主な耐用年数表</t>
        </is>
      </c>
    </row>
    <row r="55" ht="17" customHeight="1">
      <c r="A55" s="37" t="inlineStr">
        <is>
          <t>器具備品</t>
        </is>
      </c>
      <c r="B55" s="55" t="inlineStr">
        <is>
          <t>電話設備その他の通信機器</t>
        </is>
      </c>
      <c r="C55" s="55" t="inlineStr">
        <is>
          <t>その他のもの</t>
        </is>
      </c>
      <c r="D55" s="56" t="n">
        <v>10</v>
      </c>
      <c r="E55" s="55" t="inlineStr">
        <is>
          <t>国税庁 主な耐用年数表</t>
        </is>
      </c>
    </row>
    <row r="56" ht="17" customHeight="1">
      <c r="A56" s="37" t="inlineStr">
        <is>
          <t>器具備品</t>
        </is>
      </c>
      <c r="B56" s="55" t="inlineStr">
        <is>
          <t>時計</t>
        </is>
      </c>
      <c r="C56" s="55" t="inlineStr">
        <is>
          <t>―</t>
        </is>
      </c>
      <c r="D56" s="56" t="n">
        <v>10</v>
      </c>
      <c r="E56" s="55" t="inlineStr">
        <is>
          <t>国税庁 主な耐用年数表</t>
        </is>
      </c>
    </row>
    <row r="57" ht="17" customHeight="1">
      <c r="A57" s="37" t="inlineStr">
        <is>
          <t>器具備品</t>
        </is>
      </c>
      <c r="B57" s="55" t="inlineStr">
        <is>
          <t>試験・測定機器</t>
        </is>
      </c>
      <c r="C57" s="55" t="inlineStr">
        <is>
          <t>―</t>
        </is>
      </c>
      <c r="D57" s="56" t="n">
        <v>5</v>
      </c>
      <c r="E57" s="55" t="inlineStr">
        <is>
          <t>国税庁 主な耐用年数表</t>
        </is>
      </c>
    </row>
    <row r="58" ht="17" customHeight="1">
      <c r="A58" s="37" t="inlineStr">
        <is>
          <t>器具備品</t>
        </is>
      </c>
      <c r="B58" s="55" t="inlineStr">
        <is>
          <t>カメラ、映画撮影機、映写機、望遠鏡</t>
        </is>
      </c>
      <c r="C58" s="55" t="inlineStr">
        <is>
          <t>―</t>
        </is>
      </c>
      <c r="D58" s="56" t="n">
        <v>5</v>
      </c>
      <c r="E58" s="55" t="inlineStr">
        <is>
          <t>国税庁 主な耐用年数表</t>
        </is>
      </c>
    </row>
    <row r="59" ht="17" customHeight="1">
      <c r="A59" s="37" t="inlineStr">
        <is>
          <t>器具備品</t>
        </is>
      </c>
      <c r="B59" s="55" t="inlineStr">
        <is>
          <t>看板、ネオンサイン、気球</t>
        </is>
      </c>
      <c r="C59" s="55" t="inlineStr">
        <is>
          <t>―</t>
        </is>
      </c>
      <c r="D59" s="56" t="n">
        <v>3</v>
      </c>
      <c r="E59" s="55" t="inlineStr">
        <is>
          <t>国税庁 主な耐用年数表</t>
        </is>
      </c>
    </row>
    <row r="60" ht="17" customHeight="1">
      <c r="A60" s="37" t="inlineStr">
        <is>
          <t>器具備品</t>
        </is>
      </c>
      <c r="B60" s="55" t="inlineStr">
        <is>
          <t>金庫</t>
        </is>
      </c>
      <c r="C60" s="55" t="inlineStr">
        <is>
          <t>手さげ金庫</t>
        </is>
      </c>
      <c r="D60" s="56" t="n">
        <v>5</v>
      </c>
      <c r="E60" s="55" t="inlineStr">
        <is>
          <t>国税庁 主な耐用年数表</t>
        </is>
      </c>
    </row>
    <row r="61" ht="17" customHeight="1">
      <c r="A61" s="37" t="inlineStr">
        <is>
          <t>器具備品</t>
        </is>
      </c>
      <c r="B61" s="55" t="inlineStr">
        <is>
          <t>金庫</t>
        </is>
      </c>
      <c r="C61" s="55" t="inlineStr">
        <is>
          <t>その他のもの</t>
        </is>
      </c>
      <c r="D61" s="56" t="n">
        <v>20</v>
      </c>
      <c r="E61" s="55" t="inlineStr">
        <is>
          <t>国税庁 主な耐用年数表</t>
        </is>
      </c>
    </row>
    <row r="62" ht="17" customHeight="1">
      <c r="A62" s="37" t="inlineStr">
        <is>
          <t>器具備品</t>
        </is>
      </c>
      <c r="B62" s="55" t="inlineStr">
        <is>
          <t>理容・美容機器</t>
        </is>
      </c>
      <c r="C62" s="55" t="inlineStr">
        <is>
          <t>―</t>
        </is>
      </c>
      <c r="D62" s="56" t="n">
        <v>5</v>
      </c>
      <c r="E62" s="55" t="inlineStr">
        <is>
          <t>国税庁 主な耐用年数表</t>
        </is>
      </c>
    </row>
    <row r="63" ht="17" customHeight="1">
      <c r="A63" s="37" t="inlineStr">
        <is>
          <t>器具備品</t>
        </is>
      </c>
      <c r="B63" s="55" t="inlineStr">
        <is>
          <t>医療機器</t>
        </is>
      </c>
      <c r="C63" s="55" t="inlineStr">
        <is>
          <t>歯科診療用ユニット</t>
        </is>
      </c>
      <c r="D63" s="56" t="n">
        <v>7</v>
      </c>
      <c r="E63" s="55" t="inlineStr">
        <is>
          <t>国税庁 主な耐用年数表</t>
        </is>
      </c>
    </row>
    <row r="64" ht="17" customHeight="1">
      <c r="A64" s="37" t="inlineStr">
        <is>
          <t>機械装置</t>
        </is>
      </c>
      <c r="B64" s="55" t="inlineStr">
        <is>
          <t>食料品製造業用設備</t>
        </is>
      </c>
      <c r="C64" s="55" t="inlineStr">
        <is>
          <t>―</t>
        </is>
      </c>
      <c r="D64" s="56" t="n">
        <v>10</v>
      </c>
      <c r="E64" s="55" t="inlineStr">
        <is>
          <t>国税庁 主な耐用年数表</t>
        </is>
      </c>
    </row>
    <row r="65" ht="17" customHeight="1">
      <c r="A65" s="37" t="inlineStr">
        <is>
          <t>機械装置</t>
        </is>
      </c>
      <c r="B65" s="55" t="inlineStr">
        <is>
          <t>印刷業・印刷関連業用設備</t>
        </is>
      </c>
      <c r="C65" s="55" t="inlineStr">
        <is>
          <t>デジタル印刷システム設備</t>
        </is>
      </c>
      <c r="D65" s="56" t="n">
        <v>4</v>
      </c>
      <c r="E65" s="55" t="inlineStr">
        <is>
          <t>国税庁 主な耐用年数表</t>
        </is>
      </c>
    </row>
    <row r="66" ht="17" customHeight="1">
      <c r="A66" s="37" t="inlineStr">
        <is>
          <t>機械装置</t>
        </is>
      </c>
      <c r="B66" s="55" t="inlineStr">
        <is>
          <t>飲食料品小売業用設備</t>
        </is>
      </c>
      <c r="C66" s="55" t="inlineStr">
        <is>
          <t>―</t>
        </is>
      </c>
      <c r="D66" s="56" t="n">
        <v>9</v>
      </c>
      <c r="E66" s="55" t="inlineStr">
        <is>
          <t>国税庁 主な耐用年数表</t>
        </is>
      </c>
    </row>
    <row r="67" ht="17" customHeight="1">
      <c r="A67" s="37" t="inlineStr">
        <is>
          <t>機械装置</t>
        </is>
      </c>
      <c r="B67" s="55" t="inlineStr">
        <is>
          <t>飲食店業用設備</t>
        </is>
      </c>
      <c r="C67" s="55" t="inlineStr">
        <is>
          <t>―</t>
        </is>
      </c>
      <c r="D67" s="56" t="n">
        <v>8</v>
      </c>
      <c r="E67" s="55" t="inlineStr">
        <is>
          <t>国税庁 主な耐用年数表</t>
        </is>
      </c>
    </row>
    <row r="68" ht="17" customHeight="1">
      <c r="A68" s="37" t="inlineStr">
        <is>
          <t>機械装置</t>
        </is>
      </c>
      <c r="B68" s="55" t="inlineStr">
        <is>
          <t>宿泊業用設備</t>
        </is>
      </c>
      <c r="C68" s="55" t="inlineStr">
        <is>
          <t>―</t>
        </is>
      </c>
      <c r="D68" s="56" t="n">
        <v>10</v>
      </c>
      <c r="E68" s="55" t="inlineStr">
        <is>
          <t>国税庁 主な耐用年数表</t>
        </is>
      </c>
    </row>
    <row r="69" ht="17" customHeight="1">
      <c r="A69" s="37" t="inlineStr">
        <is>
          <t>機械装置</t>
        </is>
      </c>
      <c r="B69" s="55" t="inlineStr">
        <is>
          <t>洗濯業・理容業・美容業・浴場業用設備</t>
        </is>
      </c>
      <c r="C69" s="55" t="inlineStr">
        <is>
          <t>―</t>
        </is>
      </c>
      <c r="D69" s="56" t="n">
        <v>13</v>
      </c>
      <c r="E69" s="55" t="inlineStr">
        <is>
          <t>国税庁 主な耐用年数表</t>
        </is>
      </c>
    </row>
    <row r="70" ht="17" customHeight="1">
      <c r="A70" s="37" t="inlineStr">
        <is>
          <t>機械装置</t>
        </is>
      </c>
      <c r="B70" s="55" t="inlineStr">
        <is>
          <t>自動車整備業用設備</t>
        </is>
      </c>
      <c r="C70" s="55" t="inlineStr">
        <is>
          <t>―</t>
        </is>
      </c>
      <c r="D70" s="56" t="n">
        <v>15</v>
      </c>
      <c r="E70" s="55" t="inlineStr">
        <is>
          <t>国税庁 主な耐用年数表</t>
        </is>
      </c>
    </row>
    <row r="71" ht="17" customHeight="1">
      <c r="A71" s="37" t="inlineStr">
        <is>
          <t>機械装置</t>
        </is>
      </c>
      <c r="B71" s="55" t="inlineStr">
        <is>
          <t>総合工事業用設備</t>
        </is>
      </c>
      <c r="C71" s="55" t="inlineStr">
        <is>
          <t>―</t>
        </is>
      </c>
      <c r="D71" s="56" t="n">
        <v>6</v>
      </c>
      <c r="E71" s="55" t="inlineStr">
        <is>
          <t>国税庁 主な耐用年数表</t>
        </is>
      </c>
    </row>
    <row r="72" ht="17" customHeight="1">
      <c r="A72" s="37" t="inlineStr">
        <is>
          <t>無形固定資産</t>
        </is>
      </c>
      <c r="B72" s="55" t="inlineStr">
        <is>
          <t>ソフトウエア</t>
        </is>
      </c>
      <c r="C72" s="55" t="inlineStr">
        <is>
          <t>複写して販売するための原本</t>
        </is>
      </c>
      <c r="D72" s="56" t="n">
        <v>3</v>
      </c>
      <c r="E72" s="55" t="inlineStr">
        <is>
          <t>耐用年数省令 別表第三</t>
        </is>
      </c>
    </row>
    <row r="73" ht="17" customHeight="1">
      <c r="A73" s="37" t="inlineStr">
        <is>
          <t>無形固定資産</t>
        </is>
      </c>
      <c r="B73" s="55" t="inlineStr">
        <is>
          <t>ソフトウエア</t>
        </is>
      </c>
      <c r="C73" s="55" t="inlineStr">
        <is>
          <t>その他のもの</t>
        </is>
      </c>
      <c r="D73" s="56" t="n">
        <v>5</v>
      </c>
      <c r="E73" s="55" t="inlineStr">
        <is>
          <t>耐用年数省令 別表第三</t>
        </is>
      </c>
    </row>
    <row r="74" ht="17" customHeight="1">
      <c r="A74" s="37" t="inlineStr">
        <is>
          <t>無形固定資産</t>
        </is>
      </c>
      <c r="B74" s="55" t="inlineStr">
        <is>
          <t>特許権</t>
        </is>
      </c>
      <c r="C74" s="55" t="inlineStr">
        <is>
          <t>―</t>
        </is>
      </c>
      <c r="D74" s="56" t="n">
        <v>8</v>
      </c>
      <c r="E74" s="55" t="inlineStr">
        <is>
          <t>耐用年数省令 別表第三</t>
        </is>
      </c>
    </row>
    <row r="75" ht="17" customHeight="1">
      <c r="A75" s="37" t="inlineStr">
        <is>
          <t>無形固定資産</t>
        </is>
      </c>
      <c r="B75" s="55" t="inlineStr">
        <is>
          <t>商標権</t>
        </is>
      </c>
      <c r="C75" s="55" t="inlineStr">
        <is>
          <t>―</t>
        </is>
      </c>
      <c r="D75" s="56" t="n">
        <v>10</v>
      </c>
      <c r="E75" s="55" t="inlineStr">
        <is>
          <t>耐用年数省令 別表第三</t>
        </is>
      </c>
    </row>
    <row r="76" ht="17" customHeight="1">
      <c r="A76" s="37" t="inlineStr">
        <is>
          <t>無形固定資産</t>
        </is>
      </c>
      <c r="B76" s="55" t="inlineStr">
        <is>
          <t>営業権</t>
        </is>
      </c>
      <c r="C76" s="55" t="inlineStr">
        <is>
          <t>―</t>
        </is>
      </c>
      <c r="D76" s="56" t="n">
        <v>5</v>
      </c>
      <c r="E76" s="55" t="inlineStr">
        <is>
          <t>耐用年数省令 別表第三</t>
        </is>
      </c>
    </row>
    <row r="77">
      <c r="A77" s="68" t="n"/>
      <c r="B77" s="68" t="n"/>
      <c r="C77" s="68" t="n"/>
      <c r="D77" s="68" t="n"/>
      <c r="E77" s="68" t="n"/>
    </row>
    <row r="78" ht="30" customHeight="1">
      <c r="A78" s="72" t="inlineStr">
        <is>
          <t>出典: 国税庁「主な減価償却資産の耐用年数表」（タックスアンサー No.2100 の参考 PDF）から抜粋。無形固定資産は「減価償却資産の耐用年数等に関する省令」別表第三（e-Gov）。2026年10月3日に確認。</t>
        </is>
      </c>
      <c r="B78" s="68" t="n"/>
      <c r="C78" s="68" t="n"/>
      <c r="D78" s="68" t="n"/>
      <c r="E78" s="68" t="n"/>
    </row>
    <row r="79" ht="30" customHeight="1">
      <c r="A79" s="72" t="inlineStr">
        <is>
          <t>ここに無い資産は、国税庁の耐用年数表か、耐用年数省令の別表第一〜第六で調べてください。同じ物でも構造・用途で年数が変わります。</t>
        </is>
      </c>
      <c r="B79" s="68" t="n"/>
      <c r="C79" s="68" t="n"/>
      <c r="D79" s="68" t="n"/>
      <c r="E79" s="68" t="n"/>
    </row>
  </sheetData>
  <mergeCells count="11">
    <mergeCell ref="A4:B4"/>
    <mergeCell ref="A78:E78"/>
    <mergeCell ref="A7:B7"/>
    <mergeCell ref="A5:B5"/>
    <mergeCell ref="A11:E11"/>
    <mergeCell ref="A1:E1"/>
    <mergeCell ref="A8:E8"/>
    <mergeCell ref="A6:B6"/>
    <mergeCell ref="A9:E9"/>
    <mergeCell ref="A79:E79"/>
    <mergeCell ref="A3:E3"/>
  </mergeCells>
  <dataValidations count="3">
    <dataValidation sqref="C4" showDropDown="0" showInputMessage="0" showErrorMessage="0" allowBlank="1" errorTitle="入力を確かめてください" error="2〜100 の整数で入れます。" type="whole" operator="between">
      <formula1>2</formula1>
      <formula2>100</formula2>
    </dataValidation>
    <dataValidation sqref="C5" showDropDown="0" showInputMessage="0" showErrorMessage="0" allowBlank="1" errorTitle="入力を確かめてください" error="0 以上の整数で入れます。" type="whole" operator="between">
      <formula1>0</formula1>
      <formula2>200</formula2>
    </dataValidation>
    <dataValidation sqref="C6" showDropDown="0" showInputMessage="0" showErrorMessage="0" allowBlank="1" errorTitle="入力を確かめてください" error="0〜11 の整数で入れます。" type="whole" operator="between">
      <formula1>0</formula1>
      <formula2>11</formula2>
    </dataValidation>
  </dataValidations>
  <printOptions horizontalCentered="1"/>
  <pageMargins left="0.4" right="0.4" top="0.45" bottom="0.45" header="0.2" footer="0.2"/>
  <pageSetup orientation="portrait" paperSize="9" fitToHeight="0" fitToWidth="1"/>
</worksheet>
</file>

<file path=xl/worksheets/sheet8.xml><?xml version="1.0" encoding="utf-8"?>
<worksheet xmlns="http://schemas.openxmlformats.org/spreadsheetml/2006/main">
  <sheetPr>
    <tabColor rgb="0066707A"/>
    <outlinePr summaryBelow="1" summaryRight="1"/>
    <pageSetUpPr fitToPage="1"/>
  </sheetPr>
  <dimension ref="A1:H104"/>
  <sheetViews>
    <sheetView showGridLines="0" tabSelected="0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9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 ht="26" customHeight="1">
      <c r="A1" s="67" t="inlineStr">
        <is>
          <t>減価償却資産の償却率表（耐用年数 2〜100年）</t>
        </is>
      </c>
      <c r="B1" s="68" t="n"/>
      <c r="C1" s="68" t="n"/>
      <c r="D1" s="68" t="n"/>
      <c r="E1" s="68" t="n"/>
      <c r="F1" s="68" t="n"/>
      <c r="G1" s="68" t="n"/>
      <c r="H1" s="68" t="n"/>
    </row>
    <row r="2" ht="18" customHeight="1">
      <c r="A2" s="72" t="inlineStr">
        <is>
          <t>このファイルの計算は、すべてこの表を引いています。書き換えないでください（シートの保護をかけています）。</t>
        </is>
      </c>
      <c r="B2" s="68" t="n"/>
      <c r="C2" s="68" t="n"/>
      <c r="D2" s="68" t="n"/>
      <c r="E2" s="68" t="n"/>
      <c r="F2" s="68" t="n"/>
      <c r="G2" s="68" t="n"/>
      <c r="H2" s="68" t="n"/>
    </row>
    <row r="3" ht="78" customHeight="1">
      <c r="A3" s="82" t="inlineStr">
        <is>
          <t>出典: 減価償却資産の耐用年数等に関する省令 別表第八（定額法）・別表第十（200%定率法）・別表第九（250%定率法）（e-Gov 法令検索で 2026年10月3日に確認）。
国税庁「令和7年分 青色申告決算書（一般用）の書き方」5ページの償却率等表（2〜50年）とも、全部の値が一致することを確かめています。
200%定率法＝2012年（平成24年）4月1日以後に取得した資産／250%定率法＝2007年（平成19年）4月1日から2012年（平成24年）3月31日までに取得した資産。
「―」は表に値が無いところです（2年の定率法は償却率が1.000なので、改定償却率に切り替わる年がありません）。</t>
        </is>
      </c>
      <c r="B3" s="68" t="n"/>
      <c r="C3" s="68" t="n"/>
      <c r="D3" s="68" t="n"/>
      <c r="E3" s="68" t="n"/>
      <c r="F3" s="68" t="n"/>
      <c r="G3" s="68" t="n"/>
      <c r="H3" s="68" t="n"/>
    </row>
    <row r="4" ht="30" customHeight="1">
      <c r="A4" s="20" t="inlineStr">
        <is>
          <t>耐用年数</t>
        </is>
      </c>
      <c r="B4" s="20" t="inlineStr">
        <is>
          <t>定額法</t>
        </is>
      </c>
      <c r="C4" s="20" t="inlineStr">
        <is>
          <t>定率法（200%）2012年4月1日以後の取得</t>
        </is>
      </c>
      <c r="D4" s="77" t="n"/>
      <c r="E4" s="74" t="n"/>
      <c r="F4" s="18" t="inlineStr">
        <is>
          <t>定率法（250%）2007年4月1日〜2012年3月31日の取得</t>
        </is>
      </c>
      <c r="G4" s="77" t="n"/>
      <c r="H4" s="74" t="n"/>
    </row>
    <row r="5" ht="20" customHeight="1">
      <c r="A5" s="83" t="n"/>
      <c r="B5" s="20" t="inlineStr">
        <is>
          <t>償却率</t>
        </is>
      </c>
      <c r="C5" s="20" t="inlineStr">
        <is>
          <t>償却率</t>
        </is>
      </c>
      <c r="D5" s="20" t="inlineStr">
        <is>
          <t>改定償却率</t>
        </is>
      </c>
      <c r="E5" s="20" t="inlineStr">
        <is>
          <t>保証率</t>
        </is>
      </c>
      <c r="F5" s="18" t="inlineStr">
        <is>
          <t>償却率</t>
        </is>
      </c>
      <c r="G5" s="18" t="inlineStr">
        <is>
          <t>改定償却率</t>
        </is>
      </c>
      <c r="H5" s="18" t="inlineStr">
        <is>
          <t>保証率</t>
        </is>
      </c>
    </row>
    <row r="6" ht="12.75" customHeight="1">
      <c r="A6" s="60" t="n">
        <v>2</v>
      </c>
      <c r="B6" s="42" t="n">
        <v>0.5</v>
      </c>
      <c r="C6" s="42" t="n">
        <v>1</v>
      </c>
      <c r="D6" s="42" t="n">
        <v>0</v>
      </c>
      <c r="E6" s="61" t="n">
        <v>0</v>
      </c>
      <c r="F6" s="42" t="n">
        <v>1</v>
      </c>
      <c r="G6" s="42" t="n">
        <v>0</v>
      </c>
      <c r="H6" s="61" t="n">
        <v>0</v>
      </c>
    </row>
    <row r="7" ht="12.75" customHeight="1">
      <c r="A7" s="60" t="n">
        <v>3</v>
      </c>
      <c r="B7" s="42" t="n">
        <v>0.334</v>
      </c>
      <c r="C7" s="42" t="n">
        <v>0.667</v>
      </c>
      <c r="D7" s="42" t="n">
        <v>1</v>
      </c>
      <c r="E7" s="61" t="n">
        <v>0.11089</v>
      </c>
      <c r="F7" s="42" t="n">
        <v>0.833</v>
      </c>
      <c r="G7" s="42" t="n">
        <v>1</v>
      </c>
      <c r="H7" s="61" t="n">
        <v>0.02789</v>
      </c>
    </row>
    <row r="8" ht="12.75" customHeight="1">
      <c r="A8" s="60" t="n">
        <v>4</v>
      </c>
      <c r="B8" s="42" t="n">
        <v>0.25</v>
      </c>
      <c r="C8" s="42" t="n">
        <v>0.5</v>
      </c>
      <c r="D8" s="42" t="n">
        <v>1</v>
      </c>
      <c r="E8" s="61" t="n">
        <v>0.12499</v>
      </c>
      <c r="F8" s="42" t="n">
        <v>0.625</v>
      </c>
      <c r="G8" s="42" t="n">
        <v>1</v>
      </c>
      <c r="H8" s="61" t="n">
        <v>0.05274</v>
      </c>
    </row>
    <row r="9" ht="12.75" customHeight="1">
      <c r="A9" s="60" t="n">
        <v>5</v>
      </c>
      <c r="B9" s="42" t="n">
        <v>0.2</v>
      </c>
      <c r="C9" s="42" t="n">
        <v>0.4</v>
      </c>
      <c r="D9" s="42" t="n">
        <v>0.5</v>
      </c>
      <c r="E9" s="61" t="n">
        <v>0.108</v>
      </c>
      <c r="F9" s="42" t="n">
        <v>0.5</v>
      </c>
      <c r="G9" s="42" t="n">
        <v>1</v>
      </c>
      <c r="H9" s="61" t="n">
        <v>0.06249</v>
      </c>
    </row>
    <row r="10" ht="12.75" customHeight="1">
      <c r="A10" s="60" t="n">
        <v>6</v>
      </c>
      <c r="B10" s="42" t="n">
        <v>0.167</v>
      </c>
      <c r="C10" s="42" t="n">
        <v>0.333</v>
      </c>
      <c r="D10" s="42" t="n">
        <v>0.334</v>
      </c>
      <c r="E10" s="61" t="n">
        <v>0.09911</v>
      </c>
      <c r="F10" s="42" t="n">
        <v>0.417</v>
      </c>
      <c r="G10" s="42" t="n">
        <v>0.5</v>
      </c>
      <c r="H10" s="61" t="n">
        <v>0.05776</v>
      </c>
    </row>
    <row r="11" ht="12.75" customHeight="1">
      <c r="A11" s="60" t="n">
        <v>7</v>
      </c>
      <c r="B11" s="42" t="n">
        <v>0.143</v>
      </c>
      <c r="C11" s="42" t="n">
        <v>0.286</v>
      </c>
      <c r="D11" s="42" t="n">
        <v>0.334</v>
      </c>
      <c r="E11" s="61" t="n">
        <v>0.0868</v>
      </c>
      <c r="F11" s="42" t="n">
        <v>0.357</v>
      </c>
      <c r="G11" s="42" t="n">
        <v>0.5</v>
      </c>
      <c r="H11" s="61" t="n">
        <v>0.05496</v>
      </c>
    </row>
    <row r="12" ht="12.75" customHeight="1">
      <c r="A12" s="60" t="n">
        <v>8</v>
      </c>
      <c r="B12" s="42" t="n">
        <v>0.125</v>
      </c>
      <c r="C12" s="42" t="n">
        <v>0.25</v>
      </c>
      <c r="D12" s="42" t="n">
        <v>0.334</v>
      </c>
      <c r="E12" s="61" t="n">
        <v>0.07908999999999999</v>
      </c>
      <c r="F12" s="42" t="n">
        <v>0.313</v>
      </c>
      <c r="G12" s="42" t="n">
        <v>0.334</v>
      </c>
      <c r="H12" s="61" t="n">
        <v>0.05111</v>
      </c>
    </row>
    <row r="13" ht="12.75" customHeight="1">
      <c r="A13" s="60" t="n">
        <v>9</v>
      </c>
      <c r="B13" s="42" t="n">
        <v>0.112</v>
      </c>
      <c r="C13" s="42" t="n">
        <v>0.222</v>
      </c>
      <c r="D13" s="42" t="n">
        <v>0.25</v>
      </c>
      <c r="E13" s="61" t="n">
        <v>0.07126</v>
      </c>
      <c r="F13" s="42" t="n">
        <v>0.278</v>
      </c>
      <c r="G13" s="42" t="n">
        <v>0.334</v>
      </c>
      <c r="H13" s="61" t="n">
        <v>0.04731</v>
      </c>
    </row>
    <row r="14" ht="12.75" customHeight="1">
      <c r="A14" s="60" t="n">
        <v>10</v>
      </c>
      <c r="B14" s="42" t="n">
        <v>0.1</v>
      </c>
      <c r="C14" s="42" t="n">
        <v>0.2</v>
      </c>
      <c r="D14" s="42" t="n">
        <v>0.25</v>
      </c>
      <c r="E14" s="61" t="n">
        <v>0.06551999999999999</v>
      </c>
      <c r="F14" s="42" t="n">
        <v>0.25</v>
      </c>
      <c r="G14" s="42" t="n">
        <v>0.334</v>
      </c>
      <c r="H14" s="61" t="n">
        <v>0.04448</v>
      </c>
    </row>
    <row r="15" ht="12.75" customHeight="1">
      <c r="A15" s="60" t="n">
        <v>11</v>
      </c>
      <c r="B15" s="42" t="n">
        <v>0.091</v>
      </c>
      <c r="C15" s="42" t="n">
        <v>0.182</v>
      </c>
      <c r="D15" s="42" t="n">
        <v>0.2</v>
      </c>
      <c r="E15" s="61" t="n">
        <v>0.05992</v>
      </c>
      <c r="F15" s="42" t="n">
        <v>0.227</v>
      </c>
      <c r="G15" s="42" t="n">
        <v>0.25</v>
      </c>
      <c r="H15" s="61" t="n">
        <v>0.04123</v>
      </c>
    </row>
    <row r="16" ht="12.75" customHeight="1">
      <c r="A16" s="60" t="n">
        <v>12</v>
      </c>
      <c r="B16" s="42" t="n">
        <v>0.08400000000000001</v>
      </c>
      <c r="C16" s="42" t="n">
        <v>0.167</v>
      </c>
      <c r="D16" s="42" t="n">
        <v>0.2</v>
      </c>
      <c r="E16" s="61" t="n">
        <v>0.05566</v>
      </c>
      <c r="F16" s="42" t="n">
        <v>0.208</v>
      </c>
      <c r="G16" s="42" t="n">
        <v>0.25</v>
      </c>
      <c r="H16" s="61" t="n">
        <v>0.0387</v>
      </c>
    </row>
    <row r="17" ht="12.75" customHeight="1">
      <c r="A17" s="60" t="n">
        <v>13</v>
      </c>
      <c r="B17" s="42" t="n">
        <v>0.077</v>
      </c>
      <c r="C17" s="42" t="n">
        <v>0.154</v>
      </c>
      <c r="D17" s="42" t="n">
        <v>0.167</v>
      </c>
      <c r="E17" s="61" t="n">
        <v>0.0518</v>
      </c>
      <c r="F17" s="42" t="n">
        <v>0.192</v>
      </c>
      <c r="G17" s="42" t="n">
        <v>0.2</v>
      </c>
      <c r="H17" s="61" t="n">
        <v>0.03633</v>
      </c>
    </row>
    <row r="18" ht="12.75" customHeight="1">
      <c r="A18" s="60" t="n">
        <v>14</v>
      </c>
      <c r="B18" s="42" t="n">
        <v>0.07199999999999999</v>
      </c>
      <c r="C18" s="42" t="n">
        <v>0.143</v>
      </c>
      <c r="D18" s="42" t="n">
        <v>0.167</v>
      </c>
      <c r="E18" s="61" t="n">
        <v>0.04854</v>
      </c>
      <c r="F18" s="42" t="n">
        <v>0.179</v>
      </c>
      <c r="G18" s="42" t="n">
        <v>0.2</v>
      </c>
      <c r="H18" s="61" t="n">
        <v>0.03389</v>
      </c>
    </row>
    <row r="19" ht="12.75" customHeight="1">
      <c r="A19" s="60" t="n">
        <v>15</v>
      </c>
      <c r="B19" s="42" t="n">
        <v>0.067</v>
      </c>
      <c r="C19" s="42" t="n">
        <v>0.133</v>
      </c>
      <c r="D19" s="42" t="n">
        <v>0.143</v>
      </c>
      <c r="E19" s="61" t="n">
        <v>0.04565</v>
      </c>
      <c r="F19" s="42" t="n">
        <v>0.167</v>
      </c>
      <c r="G19" s="42" t="n">
        <v>0.2</v>
      </c>
      <c r="H19" s="61" t="n">
        <v>0.03217</v>
      </c>
    </row>
    <row r="20" ht="12.75" customHeight="1">
      <c r="A20" s="60" t="n">
        <v>16</v>
      </c>
      <c r="B20" s="42" t="n">
        <v>0.063</v>
      </c>
      <c r="C20" s="42" t="n">
        <v>0.125</v>
      </c>
      <c r="D20" s="42" t="n">
        <v>0.143</v>
      </c>
      <c r="E20" s="61" t="n">
        <v>0.04294</v>
      </c>
      <c r="F20" s="42" t="n">
        <v>0.156</v>
      </c>
      <c r="G20" s="42" t="n">
        <v>0.167</v>
      </c>
      <c r="H20" s="61" t="n">
        <v>0.03063</v>
      </c>
    </row>
    <row r="21" ht="12.75" customHeight="1">
      <c r="A21" s="60" t="n">
        <v>17</v>
      </c>
      <c r="B21" s="42" t="n">
        <v>0.059</v>
      </c>
      <c r="C21" s="42" t="n">
        <v>0.118</v>
      </c>
      <c r="D21" s="42" t="n">
        <v>0.125</v>
      </c>
      <c r="E21" s="61" t="n">
        <v>0.04038</v>
      </c>
      <c r="F21" s="42" t="n">
        <v>0.147</v>
      </c>
      <c r="G21" s="42" t="n">
        <v>0.167</v>
      </c>
      <c r="H21" s="61" t="n">
        <v>0.02905</v>
      </c>
    </row>
    <row r="22" ht="12.75" customHeight="1">
      <c r="A22" s="60" t="n">
        <v>18</v>
      </c>
      <c r="B22" s="42" t="n">
        <v>0.056</v>
      </c>
      <c r="C22" s="42" t="n">
        <v>0.111</v>
      </c>
      <c r="D22" s="42" t="n">
        <v>0.112</v>
      </c>
      <c r="E22" s="61" t="n">
        <v>0.03884</v>
      </c>
      <c r="F22" s="42" t="n">
        <v>0.139</v>
      </c>
      <c r="G22" s="42" t="n">
        <v>0.143</v>
      </c>
      <c r="H22" s="61" t="n">
        <v>0.02757</v>
      </c>
    </row>
    <row r="23" ht="12.75" customHeight="1">
      <c r="A23" s="60" t="n">
        <v>19</v>
      </c>
      <c r="B23" s="42" t="n">
        <v>0.053</v>
      </c>
      <c r="C23" s="42" t="n">
        <v>0.105</v>
      </c>
      <c r="D23" s="42" t="n">
        <v>0.112</v>
      </c>
      <c r="E23" s="61" t="n">
        <v>0.03693</v>
      </c>
      <c r="F23" s="42" t="n">
        <v>0.132</v>
      </c>
      <c r="G23" s="42" t="n">
        <v>0.143</v>
      </c>
      <c r="H23" s="61" t="n">
        <v>0.02616</v>
      </c>
    </row>
    <row r="24" ht="12.75" customHeight="1">
      <c r="A24" s="60" t="n">
        <v>20</v>
      </c>
      <c r="B24" s="42" t="n">
        <v>0.05</v>
      </c>
      <c r="C24" s="42" t="n">
        <v>0.1</v>
      </c>
      <c r="D24" s="42" t="n">
        <v>0.112</v>
      </c>
      <c r="E24" s="61" t="n">
        <v>0.03486</v>
      </c>
      <c r="F24" s="42" t="n">
        <v>0.125</v>
      </c>
      <c r="G24" s="42" t="n">
        <v>0.143</v>
      </c>
      <c r="H24" s="61" t="n">
        <v>0.02517</v>
      </c>
    </row>
    <row r="25" ht="12.75" customHeight="1">
      <c r="A25" s="60" t="n">
        <v>21</v>
      </c>
      <c r="B25" s="42" t="n">
        <v>0.048</v>
      </c>
      <c r="C25" s="42" t="n">
        <v>0.095</v>
      </c>
      <c r="D25" s="42" t="n">
        <v>0.1</v>
      </c>
      <c r="E25" s="61" t="n">
        <v>0.03335</v>
      </c>
      <c r="F25" s="42" t="n">
        <v>0.119</v>
      </c>
      <c r="G25" s="42" t="n">
        <v>0.125</v>
      </c>
      <c r="H25" s="61" t="n">
        <v>0.02408</v>
      </c>
    </row>
    <row r="26" ht="12.75" customHeight="1">
      <c r="A26" s="60" t="n">
        <v>22</v>
      </c>
      <c r="B26" s="42" t="n">
        <v>0.046</v>
      </c>
      <c r="C26" s="42" t="n">
        <v>0.091</v>
      </c>
      <c r="D26" s="42" t="n">
        <v>0.1</v>
      </c>
      <c r="E26" s="61" t="n">
        <v>0.03182</v>
      </c>
      <c r="F26" s="42" t="n">
        <v>0.114</v>
      </c>
      <c r="G26" s="42" t="n">
        <v>0.125</v>
      </c>
      <c r="H26" s="61" t="n">
        <v>0.02296</v>
      </c>
    </row>
    <row r="27" ht="12.75" customHeight="1">
      <c r="A27" s="60" t="n">
        <v>23</v>
      </c>
      <c r="B27" s="42" t="n">
        <v>0.044</v>
      </c>
      <c r="C27" s="42" t="n">
        <v>0.08699999999999999</v>
      </c>
      <c r="D27" s="42" t="n">
        <v>0.091</v>
      </c>
      <c r="E27" s="61" t="n">
        <v>0.03052</v>
      </c>
      <c r="F27" s="42" t="n">
        <v>0.109</v>
      </c>
      <c r="G27" s="42" t="n">
        <v>0.112</v>
      </c>
      <c r="H27" s="61" t="n">
        <v>0.02226</v>
      </c>
    </row>
    <row r="28" ht="12.75" customHeight="1">
      <c r="A28" s="60" t="n">
        <v>24</v>
      </c>
      <c r="B28" s="42" t="n">
        <v>0.042</v>
      </c>
      <c r="C28" s="42" t="n">
        <v>0.083</v>
      </c>
      <c r="D28" s="42" t="n">
        <v>0.08400000000000001</v>
      </c>
      <c r="E28" s="61" t="n">
        <v>0.02969</v>
      </c>
      <c r="F28" s="42" t="n">
        <v>0.104</v>
      </c>
      <c r="G28" s="42" t="n">
        <v>0.112</v>
      </c>
      <c r="H28" s="61" t="n">
        <v>0.02157</v>
      </c>
    </row>
    <row r="29" ht="12.75" customHeight="1">
      <c r="A29" s="60" t="n">
        <v>25</v>
      </c>
      <c r="B29" s="42" t="n">
        <v>0.04</v>
      </c>
      <c r="C29" s="42" t="n">
        <v>0.08</v>
      </c>
      <c r="D29" s="42" t="n">
        <v>0.08400000000000001</v>
      </c>
      <c r="E29" s="61" t="n">
        <v>0.02841</v>
      </c>
      <c r="F29" s="42" t="n">
        <v>0.1</v>
      </c>
      <c r="G29" s="42" t="n">
        <v>0.112</v>
      </c>
      <c r="H29" s="61" t="n">
        <v>0.02058</v>
      </c>
    </row>
    <row r="30" ht="12.75" customHeight="1">
      <c r="A30" s="60" t="n">
        <v>26</v>
      </c>
      <c r="B30" s="42" t="n">
        <v>0.039</v>
      </c>
      <c r="C30" s="42" t="n">
        <v>0.077</v>
      </c>
      <c r="D30" s="42" t="n">
        <v>0.08400000000000001</v>
      </c>
      <c r="E30" s="61" t="n">
        <v>0.02716</v>
      </c>
      <c r="F30" s="42" t="n">
        <v>0.096</v>
      </c>
      <c r="G30" s="42" t="n">
        <v>0.1</v>
      </c>
      <c r="H30" s="61" t="n">
        <v>0.01989</v>
      </c>
    </row>
    <row r="31" ht="12.75" customHeight="1">
      <c r="A31" s="60" t="n">
        <v>27</v>
      </c>
      <c r="B31" s="42" t="n">
        <v>0.038</v>
      </c>
      <c r="C31" s="42" t="n">
        <v>0.074</v>
      </c>
      <c r="D31" s="42" t="n">
        <v>0.077</v>
      </c>
      <c r="E31" s="61" t="n">
        <v>0.02624</v>
      </c>
      <c r="F31" s="42" t="n">
        <v>0.093</v>
      </c>
      <c r="G31" s="42" t="n">
        <v>0.1</v>
      </c>
      <c r="H31" s="61" t="n">
        <v>0.01902</v>
      </c>
    </row>
    <row r="32" ht="12.75" customHeight="1">
      <c r="A32" s="60" t="n">
        <v>28</v>
      </c>
      <c r="B32" s="42" t="n">
        <v>0.036</v>
      </c>
      <c r="C32" s="42" t="n">
        <v>0.07099999999999999</v>
      </c>
      <c r="D32" s="42" t="n">
        <v>0.07199999999999999</v>
      </c>
      <c r="E32" s="61" t="n">
        <v>0.02568</v>
      </c>
      <c r="F32" s="42" t="n">
        <v>0.089</v>
      </c>
      <c r="G32" s="42" t="n">
        <v>0.091</v>
      </c>
      <c r="H32" s="61" t="n">
        <v>0.01866</v>
      </c>
    </row>
    <row r="33" ht="12.75" customHeight="1">
      <c r="A33" s="60" t="n">
        <v>29</v>
      </c>
      <c r="B33" s="42" t="n">
        <v>0.035</v>
      </c>
      <c r="C33" s="42" t="n">
        <v>0.06900000000000001</v>
      </c>
      <c r="D33" s="42" t="n">
        <v>0.07199999999999999</v>
      </c>
      <c r="E33" s="61" t="n">
        <v>0.02463</v>
      </c>
      <c r="F33" s="42" t="n">
        <v>0.08599999999999999</v>
      </c>
      <c r="G33" s="42" t="n">
        <v>0.091</v>
      </c>
      <c r="H33" s="61" t="n">
        <v>0.01803</v>
      </c>
    </row>
    <row r="34" ht="12.75" customHeight="1">
      <c r="A34" s="60" t="n">
        <v>30</v>
      </c>
      <c r="B34" s="42" t="n">
        <v>0.034</v>
      </c>
      <c r="C34" s="42" t="n">
        <v>0.067</v>
      </c>
      <c r="D34" s="42" t="n">
        <v>0.07199999999999999</v>
      </c>
      <c r="E34" s="61" t="n">
        <v>0.02366</v>
      </c>
      <c r="F34" s="42" t="n">
        <v>0.083</v>
      </c>
      <c r="G34" s="42" t="n">
        <v>0.08400000000000001</v>
      </c>
      <c r="H34" s="61" t="n">
        <v>0.01766</v>
      </c>
    </row>
    <row r="35" ht="12.75" customHeight="1">
      <c r="A35" s="60" t="n">
        <v>31</v>
      </c>
      <c r="B35" s="42" t="n">
        <v>0.033</v>
      </c>
      <c r="C35" s="42" t="n">
        <v>0.065</v>
      </c>
      <c r="D35" s="42" t="n">
        <v>0.067</v>
      </c>
      <c r="E35" s="61" t="n">
        <v>0.02286</v>
      </c>
      <c r="F35" s="42" t="n">
        <v>0.081</v>
      </c>
      <c r="G35" s="42" t="n">
        <v>0.08400000000000001</v>
      </c>
      <c r="H35" s="61" t="n">
        <v>0.01688</v>
      </c>
    </row>
    <row r="36" ht="12.75" customHeight="1">
      <c r="A36" s="60" t="n">
        <v>32</v>
      </c>
      <c r="B36" s="42" t="n">
        <v>0.032</v>
      </c>
      <c r="C36" s="42" t="n">
        <v>0.063</v>
      </c>
      <c r="D36" s="42" t="n">
        <v>0.067</v>
      </c>
      <c r="E36" s="61" t="n">
        <v>0.02216</v>
      </c>
      <c r="F36" s="42" t="n">
        <v>0.078</v>
      </c>
      <c r="G36" s="42" t="n">
        <v>0.08400000000000001</v>
      </c>
      <c r="H36" s="61" t="n">
        <v>0.01655</v>
      </c>
    </row>
    <row r="37" ht="12.75" customHeight="1">
      <c r="A37" s="60" t="n">
        <v>33</v>
      </c>
      <c r="B37" s="42" t="n">
        <v>0.031</v>
      </c>
      <c r="C37" s="42" t="n">
        <v>0.061</v>
      </c>
      <c r="D37" s="42" t="n">
        <v>0.063</v>
      </c>
      <c r="E37" s="61" t="n">
        <v>0.02161</v>
      </c>
      <c r="F37" s="42" t="n">
        <v>0.076</v>
      </c>
      <c r="G37" s="42" t="n">
        <v>0.077</v>
      </c>
      <c r="H37" s="61" t="n">
        <v>0.01585</v>
      </c>
    </row>
    <row r="38" ht="12.75" customHeight="1">
      <c r="A38" s="60" t="n">
        <v>34</v>
      </c>
      <c r="B38" s="42" t="n">
        <v>0.03</v>
      </c>
      <c r="C38" s="42" t="n">
        <v>0.059</v>
      </c>
      <c r="D38" s="42" t="n">
        <v>0.063</v>
      </c>
      <c r="E38" s="61" t="n">
        <v>0.02097</v>
      </c>
      <c r="F38" s="42" t="n">
        <v>0.074</v>
      </c>
      <c r="G38" s="42" t="n">
        <v>0.077</v>
      </c>
      <c r="H38" s="61" t="n">
        <v>0.01532</v>
      </c>
    </row>
    <row r="39" ht="12.75" customHeight="1">
      <c r="A39" s="60" t="n">
        <v>35</v>
      </c>
      <c r="B39" s="42" t="n">
        <v>0.029</v>
      </c>
      <c r="C39" s="42" t="n">
        <v>0.057</v>
      </c>
      <c r="D39" s="42" t="n">
        <v>0.059</v>
      </c>
      <c r="E39" s="61" t="n">
        <v>0.02051</v>
      </c>
      <c r="F39" s="42" t="n">
        <v>0.07099999999999999</v>
      </c>
      <c r="G39" s="42" t="n">
        <v>0.07199999999999999</v>
      </c>
      <c r="H39" s="61" t="n">
        <v>0.01532</v>
      </c>
    </row>
    <row r="40" ht="12.75" customHeight="1">
      <c r="A40" s="60" t="n">
        <v>36</v>
      </c>
      <c r="B40" s="42" t="n">
        <v>0.028</v>
      </c>
      <c r="C40" s="42" t="n">
        <v>0.056</v>
      </c>
      <c r="D40" s="42" t="n">
        <v>0.059</v>
      </c>
      <c r="E40" s="61" t="n">
        <v>0.01974</v>
      </c>
      <c r="F40" s="42" t="n">
        <v>0.06900000000000001</v>
      </c>
      <c r="G40" s="42" t="n">
        <v>0.07199999999999999</v>
      </c>
      <c r="H40" s="61" t="n">
        <v>0.01494</v>
      </c>
    </row>
    <row r="41" ht="12.75" customHeight="1">
      <c r="A41" s="60" t="n">
        <v>37</v>
      </c>
      <c r="B41" s="42" t="n">
        <v>0.028</v>
      </c>
      <c r="C41" s="42" t="n">
        <v>0.054</v>
      </c>
      <c r="D41" s="42" t="n">
        <v>0.056</v>
      </c>
      <c r="E41" s="61" t="n">
        <v>0.0195</v>
      </c>
      <c r="F41" s="42" t="n">
        <v>0.068</v>
      </c>
      <c r="G41" s="42" t="n">
        <v>0.07199999999999999</v>
      </c>
      <c r="H41" s="61" t="n">
        <v>0.01425</v>
      </c>
    </row>
    <row r="42" ht="12.75" customHeight="1">
      <c r="A42" s="60" t="n">
        <v>38</v>
      </c>
      <c r="B42" s="42" t="n">
        <v>0.027</v>
      </c>
      <c r="C42" s="42" t="n">
        <v>0.053</v>
      </c>
      <c r="D42" s="42" t="n">
        <v>0.056</v>
      </c>
      <c r="E42" s="61" t="n">
        <v>0.01882</v>
      </c>
      <c r="F42" s="42" t="n">
        <v>0.066</v>
      </c>
      <c r="G42" s="42" t="n">
        <v>0.067</v>
      </c>
      <c r="H42" s="61" t="n">
        <v>0.01393</v>
      </c>
    </row>
    <row r="43" ht="12.75" customHeight="1">
      <c r="A43" s="60" t="n">
        <v>39</v>
      </c>
      <c r="B43" s="42" t="n">
        <v>0.026</v>
      </c>
      <c r="C43" s="42" t="n">
        <v>0.051</v>
      </c>
      <c r="D43" s="42" t="n">
        <v>0.053</v>
      </c>
      <c r="E43" s="61" t="n">
        <v>0.0186</v>
      </c>
      <c r="F43" s="42" t="n">
        <v>0.064</v>
      </c>
      <c r="G43" s="42" t="n">
        <v>0.067</v>
      </c>
      <c r="H43" s="61" t="n">
        <v>0.0137</v>
      </c>
    </row>
    <row r="44" ht="12.75" customHeight="1">
      <c r="A44" s="60" t="n">
        <v>40</v>
      </c>
      <c r="B44" s="42" t="n">
        <v>0.025</v>
      </c>
      <c r="C44" s="42" t="n">
        <v>0.05</v>
      </c>
      <c r="D44" s="42" t="n">
        <v>0.053</v>
      </c>
      <c r="E44" s="61" t="n">
        <v>0.01791</v>
      </c>
      <c r="F44" s="42" t="n">
        <v>0.063</v>
      </c>
      <c r="G44" s="42" t="n">
        <v>0.067</v>
      </c>
      <c r="H44" s="61" t="n">
        <v>0.01317</v>
      </c>
    </row>
    <row r="45" ht="12.75" customHeight="1">
      <c r="A45" s="60" t="n">
        <v>41</v>
      </c>
      <c r="B45" s="42" t="n">
        <v>0.025</v>
      </c>
      <c r="C45" s="42" t="n">
        <v>0.049</v>
      </c>
      <c r="D45" s="42" t="n">
        <v>0.05</v>
      </c>
      <c r="E45" s="61" t="n">
        <v>0.01741</v>
      </c>
      <c r="F45" s="42" t="n">
        <v>0.061</v>
      </c>
      <c r="G45" s="42" t="n">
        <v>0.063</v>
      </c>
      <c r="H45" s="61" t="n">
        <v>0.01306</v>
      </c>
    </row>
    <row r="46" ht="12.75" customHeight="1">
      <c r="A46" s="60" t="n">
        <v>42</v>
      </c>
      <c r="B46" s="42" t="n">
        <v>0.024</v>
      </c>
      <c r="C46" s="42" t="n">
        <v>0.048</v>
      </c>
      <c r="D46" s="42" t="n">
        <v>0.05</v>
      </c>
      <c r="E46" s="61" t="n">
        <v>0.01694</v>
      </c>
      <c r="F46" s="42" t="n">
        <v>0.06</v>
      </c>
      <c r="G46" s="42" t="n">
        <v>0.063</v>
      </c>
      <c r="H46" s="61" t="n">
        <v>0.01261</v>
      </c>
    </row>
    <row r="47" ht="12.75" customHeight="1">
      <c r="A47" s="60" t="n">
        <v>43</v>
      </c>
      <c r="B47" s="42" t="n">
        <v>0.024</v>
      </c>
      <c r="C47" s="42" t="n">
        <v>0.047</v>
      </c>
      <c r="D47" s="42" t="n">
        <v>0.048</v>
      </c>
      <c r="E47" s="61" t="n">
        <v>0.01664</v>
      </c>
      <c r="F47" s="42" t="n">
        <v>0.058</v>
      </c>
      <c r="G47" s="42" t="n">
        <v>0.059</v>
      </c>
      <c r="H47" s="61" t="n">
        <v>0.01248</v>
      </c>
    </row>
    <row r="48" ht="12.75" customHeight="1">
      <c r="A48" s="60" t="n">
        <v>44</v>
      </c>
      <c r="B48" s="42" t="n">
        <v>0.023</v>
      </c>
      <c r="C48" s="42" t="n">
        <v>0.045</v>
      </c>
      <c r="D48" s="42" t="n">
        <v>0.046</v>
      </c>
      <c r="E48" s="61" t="n">
        <v>0.01664</v>
      </c>
      <c r="F48" s="42" t="n">
        <v>0.057</v>
      </c>
      <c r="G48" s="42" t="n">
        <v>0.059</v>
      </c>
      <c r="H48" s="61" t="n">
        <v>0.0121</v>
      </c>
    </row>
    <row r="49" ht="12.75" customHeight="1">
      <c r="A49" s="60" t="n">
        <v>45</v>
      </c>
      <c r="B49" s="42" t="n">
        <v>0.023</v>
      </c>
      <c r="C49" s="42" t="n">
        <v>0.044</v>
      </c>
      <c r="D49" s="42" t="n">
        <v>0.046</v>
      </c>
      <c r="E49" s="61" t="n">
        <v>0.01634</v>
      </c>
      <c r="F49" s="42" t="n">
        <v>0.056</v>
      </c>
      <c r="G49" s="42" t="n">
        <v>0.059</v>
      </c>
      <c r="H49" s="61" t="n">
        <v>0.01175</v>
      </c>
    </row>
    <row r="50" ht="12.75" customHeight="1">
      <c r="A50" s="60" t="n">
        <v>46</v>
      </c>
      <c r="B50" s="42" t="n">
        <v>0.022</v>
      </c>
      <c r="C50" s="42" t="n">
        <v>0.043</v>
      </c>
      <c r="D50" s="42" t="n">
        <v>0.044</v>
      </c>
      <c r="E50" s="61" t="n">
        <v>0.01601</v>
      </c>
      <c r="F50" s="42" t="n">
        <v>0.054</v>
      </c>
      <c r="G50" s="42" t="n">
        <v>0.056</v>
      </c>
      <c r="H50" s="61" t="n">
        <v>0.01175</v>
      </c>
    </row>
    <row r="51" ht="12.75" customHeight="1">
      <c r="A51" s="60" t="n">
        <v>47</v>
      </c>
      <c r="B51" s="42" t="n">
        <v>0.022</v>
      </c>
      <c r="C51" s="42" t="n">
        <v>0.043</v>
      </c>
      <c r="D51" s="42" t="n">
        <v>0.044</v>
      </c>
      <c r="E51" s="61" t="n">
        <v>0.01532</v>
      </c>
      <c r="F51" s="42" t="n">
        <v>0.053</v>
      </c>
      <c r="G51" s="42" t="n">
        <v>0.056</v>
      </c>
      <c r="H51" s="61" t="n">
        <v>0.01153</v>
      </c>
    </row>
    <row r="52" ht="12.75" customHeight="1">
      <c r="A52" s="60" t="n">
        <v>48</v>
      </c>
      <c r="B52" s="42" t="n">
        <v>0.021</v>
      </c>
      <c r="C52" s="42" t="n">
        <v>0.042</v>
      </c>
      <c r="D52" s="42" t="n">
        <v>0.044</v>
      </c>
      <c r="E52" s="61" t="n">
        <v>0.01499</v>
      </c>
      <c r="F52" s="42" t="n">
        <v>0.052</v>
      </c>
      <c r="G52" s="42" t="n">
        <v>0.053</v>
      </c>
      <c r="H52" s="61" t="n">
        <v>0.01126</v>
      </c>
    </row>
    <row r="53" ht="12.75" customHeight="1">
      <c r="A53" s="60" t="n">
        <v>49</v>
      </c>
      <c r="B53" s="42" t="n">
        <v>0.021</v>
      </c>
      <c r="C53" s="42" t="n">
        <v>0.041</v>
      </c>
      <c r="D53" s="42" t="n">
        <v>0.042</v>
      </c>
      <c r="E53" s="61" t="n">
        <v>0.01475</v>
      </c>
      <c r="F53" s="42" t="n">
        <v>0.051</v>
      </c>
      <c r="G53" s="42" t="n">
        <v>0.053</v>
      </c>
      <c r="H53" s="61" t="n">
        <v>0.01102</v>
      </c>
    </row>
    <row r="54" ht="12.75" customHeight="1">
      <c r="A54" s="60" t="n">
        <v>50</v>
      </c>
      <c r="B54" s="42" t="n">
        <v>0.02</v>
      </c>
      <c r="C54" s="42" t="n">
        <v>0.04</v>
      </c>
      <c r="D54" s="42" t="n">
        <v>0.042</v>
      </c>
      <c r="E54" s="61" t="n">
        <v>0.0144</v>
      </c>
      <c r="F54" s="42" t="n">
        <v>0.05</v>
      </c>
      <c r="G54" s="42" t="n">
        <v>0.053</v>
      </c>
      <c r="H54" s="61" t="n">
        <v>0.01072</v>
      </c>
    </row>
    <row r="55" ht="12.75" customHeight="1">
      <c r="A55" s="60" t="n">
        <v>51</v>
      </c>
      <c r="B55" s="42" t="n">
        <v>0.02</v>
      </c>
      <c r="C55" s="42" t="n">
        <v>0.039</v>
      </c>
      <c r="D55" s="42" t="n">
        <v>0.04</v>
      </c>
      <c r="E55" s="61" t="n">
        <v>0.01422</v>
      </c>
      <c r="F55" s="42" t="n">
        <v>0.049</v>
      </c>
      <c r="G55" s="42" t="n">
        <v>0.05</v>
      </c>
      <c r="H55" s="61" t="n">
        <v>0.01053</v>
      </c>
    </row>
    <row r="56" ht="12.75" customHeight="1">
      <c r="A56" s="60" t="n">
        <v>52</v>
      </c>
      <c r="B56" s="42" t="n">
        <v>0.02</v>
      </c>
      <c r="C56" s="42" t="n">
        <v>0.038</v>
      </c>
      <c r="D56" s="42" t="n">
        <v>0.039</v>
      </c>
      <c r="E56" s="61" t="n">
        <v>0.01422</v>
      </c>
      <c r="F56" s="42" t="n">
        <v>0.048</v>
      </c>
      <c r="G56" s="42" t="n">
        <v>0.05</v>
      </c>
      <c r="H56" s="61" t="n">
        <v>0.01036</v>
      </c>
    </row>
    <row r="57" ht="12.75" customHeight="1">
      <c r="A57" s="60" t="n">
        <v>53</v>
      </c>
      <c r="B57" s="42" t="n">
        <v>0.019</v>
      </c>
      <c r="C57" s="42" t="n">
        <v>0.038</v>
      </c>
      <c r="D57" s="42" t="n">
        <v>0.039</v>
      </c>
      <c r="E57" s="61" t="n">
        <v>0.0137</v>
      </c>
      <c r="F57" s="42" t="n">
        <v>0.047</v>
      </c>
      <c r="G57" s="42" t="n">
        <v>0.048</v>
      </c>
      <c r="H57" s="61" t="n">
        <v>0.01028</v>
      </c>
    </row>
    <row r="58" ht="12.75" customHeight="1">
      <c r="A58" s="60" t="n">
        <v>54</v>
      </c>
      <c r="B58" s="42" t="n">
        <v>0.019</v>
      </c>
      <c r="C58" s="42" t="n">
        <v>0.037</v>
      </c>
      <c r="D58" s="42" t="n">
        <v>0.038</v>
      </c>
      <c r="E58" s="61" t="n">
        <v>0.0137</v>
      </c>
      <c r="F58" s="42" t="n">
        <v>0.046</v>
      </c>
      <c r="G58" s="42" t="n">
        <v>0.048</v>
      </c>
      <c r="H58" s="61" t="n">
        <v>0.01015</v>
      </c>
    </row>
    <row r="59" ht="12.75" customHeight="1">
      <c r="A59" s="60" t="n">
        <v>55</v>
      </c>
      <c r="B59" s="42" t="n">
        <v>0.019</v>
      </c>
      <c r="C59" s="42" t="n">
        <v>0.036</v>
      </c>
      <c r="D59" s="42" t="n">
        <v>0.038</v>
      </c>
      <c r="E59" s="61" t="n">
        <v>0.01337</v>
      </c>
      <c r="F59" s="42" t="n">
        <v>0.045</v>
      </c>
      <c r="G59" s="42" t="n">
        <v>0.046</v>
      </c>
      <c r="H59" s="61" t="n">
        <v>0.01007</v>
      </c>
    </row>
    <row r="60" ht="12.75" customHeight="1">
      <c r="A60" s="60" t="n">
        <v>56</v>
      </c>
      <c r="B60" s="42" t="n">
        <v>0.018</v>
      </c>
      <c r="C60" s="42" t="n">
        <v>0.036</v>
      </c>
      <c r="D60" s="42" t="n">
        <v>0.038</v>
      </c>
      <c r="E60" s="61" t="n">
        <v>0.01288</v>
      </c>
      <c r="F60" s="42" t="n">
        <v>0.045</v>
      </c>
      <c r="G60" s="42" t="n">
        <v>0.046</v>
      </c>
      <c r="H60" s="61" t="n">
        <v>0.00961</v>
      </c>
    </row>
    <row r="61" ht="12.75" customHeight="1">
      <c r="A61" s="60" t="n">
        <v>57</v>
      </c>
      <c r="B61" s="42" t="n">
        <v>0.018</v>
      </c>
      <c r="C61" s="42" t="n">
        <v>0.035</v>
      </c>
      <c r="D61" s="42" t="n">
        <v>0.036</v>
      </c>
      <c r="E61" s="61" t="n">
        <v>0.01281</v>
      </c>
      <c r="F61" s="42" t="n">
        <v>0.044</v>
      </c>
      <c r="G61" s="42" t="n">
        <v>0.046</v>
      </c>
      <c r="H61" s="61" t="n">
        <v>0.009520000000000001</v>
      </c>
    </row>
    <row r="62" ht="12.75" customHeight="1">
      <c r="A62" s="60" t="n">
        <v>58</v>
      </c>
      <c r="B62" s="42" t="n">
        <v>0.018</v>
      </c>
      <c r="C62" s="42" t="n">
        <v>0.034</v>
      </c>
      <c r="D62" s="42" t="n">
        <v>0.035</v>
      </c>
      <c r="E62" s="61" t="n">
        <v>0.01281</v>
      </c>
      <c r="F62" s="42" t="n">
        <v>0.043</v>
      </c>
      <c r="G62" s="42" t="n">
        <v>0.044</v>
      </c>
      <c r="H62" s="61" t="n">
        <v>0.00945</v>
      </c>
    </row>
    <row r="63" ht="12.75" customHeight="1">
      <c r="A63" s="60" t="n">
        <v>59</v>
      </c>
      <c r="B63" s="42" t="n">
        <v>0.017</v>
      </c>
      <c r="C63" s="42" t="n">
        <v>0.034</v>
      </c>
      <c r="D63" s="42" t="n">
        <v>0.035</v>
      </c>
      <c r="E63" s="61" t="n">
        <v>0.0124</v>
      </c>
      <c r="F63" s="42" t="n">
        <v>0.042</v>
      </c>
      <c r="G63" s="42" t="n">
        <v>0.044</v>
      </c>
      <c r="H63" s="61" t="n">
        <v>0.009339999999999999</v>
      </c>
    </row>
    <row r="64" ht="12.75" customHeight="1">
      <c r="A64" s="60" t="n">
        <v>60</v>
      </c>
      <c r="B64" s="42" t="n">
        <v>0.017</v>
      </c>
      <c r="C64" s="42" t="n">
        <v>0.033</v>
      </c>
      <c r="D64" s="42" t="n">
        <v>0.034</v>
      </c>
      <c r="E64" s="61" t="n">
        <v>0.0124</v>
      </c>
      <c r="F64" s="42" t="n">
        <v>0.042</v>
      </c>
      <c r="G64" s="42" t="n">
        <v>0.044</v>
      </c>
      <c r="H64" s="61" t="n">
        <v>0.00895</v>
      </c>
    </row>
    <row r="65" ht="12.75" customHeight="1">
      <c r="A65" s="60" t="n">
        <v>61</v>
      </c>
      <c r="B65" s="42" t="n">
        <v>0.017</v>
      </c>
      <c r="C65" s="42" t="n">
        <v>0.033</v>
      </c>
      <c r="D65" s="42" t="n">
        <v>0.034</v>
      </c>
      <c r="E65" s="61" t="n">
        <v>0.01201</v>
      </c>
      <c r="F65" s="42" t="n">
        <v>0.041</v>
      </c>
      <c r="G65" s="42" t="n">
        <v>0.042</v>
      </c>
      <c r="H65" s="61" t="n">
        <v>0.008920000000000001</v>
      </c>
    </row>
    <row r="66" ht="12.75" customHeight="1">
      <c r="A66" s="60" t="n">
        <v>62</v>
      </c>
      <c r="B66" s="42" t="n">
        <v>0.017</v>
      </c>
      <c r="C66" s="42" t="n">
        <v>0.032</v>
      </c>
      <c r="D66" s="42" t="n">
        <v>0.033</v>
      </c>
      <c r="E66" s="61" t="n">
        <v>0.01201</v>
      </c>
      <c r="F66" s="42" t="n">
        <v>0.04</v>
      </c>
      <c r="G66" s="42" t="n">
        <v>0.042</v>
      </c>
      <c r="H66" s="61" t="n">
        <v>0.00882</v>
      </c>
    </row>
    <row r="67" ht="12.75" customHeight="1">
      <c r="A67" s="60" t="n">
        <v>63</v>
      </c>
      <c r="B67" s="42" t="n">
        <v>0.016</v>
      </c>
      <c r="C67" s="42" t="n">
        <v>0.032</v>
      </c>
      <c r="D67" s="42" t="n">
        <v>0.033</v>
      </c>
      <c r="E67" s="61" t="n">
        <v>0.01165</v>
      </c>
      <c r="F67" s="42" t="n">
        <v>0.04</v>
      </c>
      <c r="G67" s="42" t="n">
        <v>0.042</v>
      </c>
      <c r="H67" s="61" t="n">
        <v>0.00847</v>
      </c>
    </row>
    <row r="68" ht="12.75" customHeight="1">
      <c r="A68" s="60" t="n">
        <v>64</v>
      </c>
      <c r="B68" s="42" t="n">
        <v>0.016</v>
      </c>
      <c r="C68" s="42" t="n">
        <v>0.031</v>
      </c>
      <c r="D68" s="42" t="n">
        <v>0.032</v>
      </c>
      <c r="E68" s="61" t="n">
        <v>0.01165</v>
      </c>
      <c r="F68" s="42" t="n">
        <v>0.039</v>
      </c>
      <c r="G68" s="42" t="n">
        <v>0.04</v>
      </c>
      <c r="H68" s="61" t="n">
        <v>0.00847</v>
      </c>
    </row>
    <row r="69" ht="12.75" customHeight="1">
      <c r="A69" s="60" t="n">
        <v>65</v>
      </c>
      <c r="B69" s="42" t="n">
        <v>0.016</v>
      </c>
      <c r="C69" s="42" t="n">
        <v>0.031</v>
      </c>
      <c r="D69" s="42" t="n">
        <v>0.032</v>
      </c>
      <c r="E69" s="61" t="n">
        <v>0.0113</v>
      </c>
      <c r="F69" s="42" t="n">
        <v>0.038</v>
      </c>
      <c r="G69" s="42" t="n">
        <v>0.039</v>
      </c>
      <c r="H69" s="61" t="n">
        <v>0.00847</v>
      </c>
    </row>
    <row r="70" ht="12.75" customHeight="1">
      <c r="A70" s="60" t="n">
        <v>66</v>
      </c>
      <c r="B70" s="42" t="n">
        <v>0.016</v>
      </c>
      <c r="C70" s="42" t="n">
        <v>0.03</v>
      </c>
      <c r="D70" s="42" t="n">
        <v>0.031</v>
      </c>
      <c r="E70" s="61" t="n">
        <v>0.0113</v>
      </c>
      <c r="F70" s="42" t="n">
        <v>0.038</v>
      </c>
      <c r="G70" s="42" t="n">
        <v>0.039</v>
      </c>
      <c r="H70" s="61" t="n">
        <v>0.008279999999999999</v>
      </c>
    </row>
    <row r="71" ht="12.75" customHeight="1">
      <c r="A71" s="60" t="n">
        <v>67</v>
      </c>
      <c r="B71" s="42" t="n">
        <v>0.015</v>
      </c>
      <c r="C71" s="42" t="n">
        <v>0.03</v>
      </c>
      <c r="D71" s="42" t="n">
        <v>0.031</v>
      </c>
      <c r="E71" s="61" t="n">
        <v>0.01097</v>
      </c>
      <c r="F71" s="42" t="n">
        <v>0.037</v>
      </c>
      <c r="G71" s="42" t="n">
        <v>0.038</v>
      </c>
      <c r="H71" s="61" t="n">
        <v>0.008279999999999999</v>
      </c>
    </row>
    <row r="72" ht="12.75" customHeight="1">
      <c r="A72" s="60" t="n">
        <v>68</v>
      </c>
      <c r="B72" s="42" t="n">
        <v>0.015</v>
      </c>
      <c r="C72" s="42" t="n">
        <v>0.029</v>
      </c>
      <c r="D72" s="42" t="n">
        <v>0.03</v>
      </c>
      <c r="E72" s="61" t="n">
        <v>0.01097</v>
      </c>
      <c r="F72" s="42" t="n">
        <v>0.037</v>
      </c>
      <c r="G72" s="42" t="n">
        <v>0.038</v>
      </c>
      <c r="H72" s="61" t="n">
        <v>0.0081</v>
      </c>
    </row>
    <row r="73" ht="12.75" customHeight="1">
      <c r="A73" s="60" t="n">
        <v>69</v>
      </c>
      <c r="B73" s="42" t="n">
        <v>0.015</v>
      </c>
      <c r="C73" s="42" t="n">
        <v>0.029</v>
      </c>
      <c r="D73" s="42" t="n">
        <v>0.03</v>
      </c>
      <c r="E73" s="61" t="n">
        <v>0.01065</v>
      </c>
      <c r="F73" s="42" t="n">
        <v>0.036</v>
      </c>
      <c r="G73" s="42" t="n">
        <v>0.038</v>
      </c>
      <c r="H73" s="61" t="n">
        <v>0.008</v>
      </c>
    </row>
    <row r="74" ht="12.75" customHeight="1">
      <c r="A74" s="60" t="n">
        <v>70</v>
      </c>
      <c r="B74" s="42" t="n">
        <v>0.015</v>
      </c>
      <c r="C74" s="42" t="n">
        <v>0.029</v>
      </c>
      <c r="D74" s="42" t="n">
        <v>0.03</v>
      </c>
      <c r="E74" s="61" t="n">
        <v>0.01034</v>
      </c>
      <c r="F74" s="42" t="n">
        <v>0.036</v>
      </c>
      <c r="G74" s="42" t="n">
        <v>0.038</v>
      </c>
      <c r="H74" s="61" t="n">
        <v>0.00771</v>
      </c>
    </row>
    <row r="75" ht="12.75" customHeight="1">
      <c r="A75" s="60" t="n">
        <v>71</v>
      </c>
      <c r="B75" s="42" t="n">
        <v>0.015</v>
      </c>
      <c r="C75" s="42" t="n">
        <v>0.028</v>
      </c>
      <c r="D75" s="42" t="n">
        <v>0.029</v>
      </c>
      <c r="E75" s="61" t="n">
        <v>0.01034</v>
      </c>
      <c r="F75" s="42" t="n">
        <v>0.035</v>
      </c>
      <c r="G75" s="42" t="n">
        <v>0.036</v>
      </c>
      <c r="H75" s="61" t="n">
        <v>0.00771</v>
      </c>
    </row>
    <row r="76" ht="12.75" customHeight="1">
      <c r="A76" s="60" t="n">
        <v>72</v>
      </c>
      <c r="B76" s="42" t="n">
        <v>0.014</v>
      </c>
      <c r="C76" s="42" t="n">
        <v>0.028</v>
      </c>
      <c r="D76" s="42" t="n">
        <v>0.029</v>
      </c>
      <c r="E76" s="61" t="n">
        <v>0.01006</v>
      </c>
      <c r="F76" s="42" t="n">
        <v>0.035</v>
      </c>
      <c r="G76" s="42" t="n">
        <v>0.036</v>
      </c>
      <c r="H76" s="61" t="n">
        <v>0.00751</v>
      </c>
    </row>
    <row r="77" ht="12.75" customHeight="1">
      <c r="A77" s="60" t="n">
        <v>73</v>
      </c>
      <c r="B77" s="42" t="n">
        <v>0.014</v>
      </c>
      <c r="C77" s="42" t="n">
        <v>0.027</v>
      </c>
      <c r="D77" s="42" t="n">
        <v>0.027</v>
      </c>
      <c r="E77" s="61" t="n">
        <v>0.01063</v>
      </c>
      <c r="F77" s="42" t="n">
        <v>0.034</v>
      </c>
      <c r="G77" s="42" t="n">
        <v>0.035</v>
      </c>
      <c r="H77" s="61" t="n">
        <v>0.00751</v>
      </c>
    </row>
    <row r="78" ht="12.75" customHeight="1">
      <c r="A78" s="60" t="n">
        <v>74</v>
      </c>
      <c r="B78" s="42" t="n">
        <v>0.014</v>
      </c>
      <c r="C78" s="42" t="n">
        <v>0.027</v>
      </c>
      <c r="D78" s="42" t="n">
        <v>0.027</v>
      </c>
      <c r="E78" s="61" t="n">
        <v>0.01035</v>
      </c>
      <c r="F78" s="42" t="n">
        <v>0.034</v>
      </c>
      <c r="G78" s="42" t="n">
        <v>0.035</v>
      </c>
      <c r="H78" s="61" t="n">
        <v>0.00738</v>
      </c>
    </row>
    <row r="79" ht="12.75" customHeight="1">
      <c r="A79" s="60" t="n">
        <v>75</v>
      </c>
      <c r="B79" s="42" t="n">
        <v>0.014</v>
      </c>
      <c r="C79" s="42" t="n">
        <v>0.027</v>
      </c>
      <c r="D79" s="42" t="n">
        <v>0.027</v>
      </c>
      <c r="E79" s="61" t="n">
        <v>0.01007</v>
      </c>
      <c r="F79" s="42" t="n">
        <v>0.033</v>
      </c>
      <c r="G79" s="42" t="n">
        <v>0.034</v>
      </c>
      <c r="H79" s="61" t="n">
        <v>0.00738</v>
      </c>
    </row>
    <row r="80" ht="12.75" customHeight="1">
      <c r="A80" s="60" t="n">
        <v>76</v>
      </c>
      <c r="B80" s="42" t="n">
        <v>0.014</v>
      </c>
      <c r="C80" s="42" t="n">
        <v>0.026</v>
      </c>
      <c r="D80" s="42" t="n">
        <v>0.027</v>
      </c>
      <c r="E80" s="61" t="n">
        <v>0.0098</v>
      </c>
      <c r="F80" s="42" t="n">
        <v>0.033</v>
      </c>
      <c r="G80" s="42" t="n">
        <v>0.034</v>
      </c>
      <c r="H80" s="61" t="n">
        <v>0.00726</v>
      </c>
    </row>
    <row r="81" ht="12.75" customHeight="1">
      <c r="A81" s="60" t="n">
        <v>77</v>
      </c>
      <c r="B81" s="42" t="n">
        <v>0.013</v>
      </c>
      <c r="C81" s="42" t="n">
        <v>0.026</v>
      </c>
      <c r="D81" s="42" t="n">
        <v>0.027</v>
      </c>
      <c r="E81" s="61" t="n">
        <v>0.00954</v>
      </c>
      <c r="F81" s="42" t="n">
        <v>0.032</v>
      </c>
      <c r="G81" s="42" t="n">
        <v>0.033</v>
      </c>
      <c r="H81" s="61" t="n">
        <v>0.00726</v>
      </c>
    </row>
    <row r="82" ht="12.75" customHeight="1">
      <c r="A82" s="60" t="n">
        <v>78</v>
      </c>
      <c r="B82" s="42" t="n">
        <v>0.013</v>
      </c>
      <c r="C82" s="42" t="n">
        <v>0.026</v>
      </c>
      <c r="D82" s="42" t="n">
        <v>0.027</v>
      </c>
      <c r="E82" s="61" t="n">
        <v>0.00929</v>
      </c>
      <c r="F82" s="42" t="n">
        <v>0.032</v>
      </c>
      <c r="G82" s="42" t="n">
        <v>0.033</v>
      </c>
      <c r="H82" s="61" t="n">
        <v>0.00716</v>
      </c>
    </row>
    <row r="83" ht="12.75" customHeight="1">
      <c r="A83" s="60" t="n">
        <v>79</v>
      </c>
      <c r="B83" s="42" t="n">
        <v>0.013</v>
      </c>
      <c r="C83" s="42" t="n">
        <v>0.025</v>
      </c>
      <c r="D83" s="42" t="n">
        <v>0.026</v>
      </c>
      <c r="E83" s="61" t="n">
        <v>0.00929</v>
      </c>
      <c r="F83" s="42" t="n">
        <v>0.032</v>
      </c>
      <c r="G83" s="42" t="n">
        <v>0.033</v>
      </c>
      <c r="H83" s="61" t="n">
        <v>0.00693</v>
      </c>
    </row>
    <row r="84" ht="12.75" customHeight="1">
      <c r="A84" s="60" t="n">
        <v>80</v>
      </c>
      <c r="B84" s="42" t="n">
        <v>0.013</v>
      </c>
      <c r="C84" s="42" t="n">
        <v>0.025</v>
      </c>
      <c r="D84" s="42" t="n">
        <v>0.026</v>
      </c>
      <c r="E84" s="61" t="n">
        <v>0.00907</v>
      </c>
      <c r="F84" s="42" t="n">
        <v>0.031</v>
      </c>
      <c r="G84" s="42" t="n">
        <v>0.032</v>
      </c>
      <c r="H84" s="61" t="n">
        <v>0.00693</v>
      </c>
    </row>
    <row r="85" ht="12.75" customHeight="1">
      <c r="A85" s="60" t="n">
        <v>81</v>
      </c>
      <c r="B85" s="42" t="n">
        <v>0.013</v>
      </c>
      <c r="C85" s="42" t="n">
        <v>0.025</v>
      </c>
      <c r="D85" s="42" t="n">
        <v>0.026</v>
      </c>
      <c r="E85" s="61" t="n">
        <v>0.008840000000000001</v>
      </c>
      <c r="F85" s="42" t="n">
        <v>0.031</v>
      </c>
      <c r="G85" s="42" t="n">
        <v>0.032</v>
      </c>
      <c r="H85" s="61" t="n">
        <v>0.00683</v>
      </c>
    </row>
    <row r="86" ht="12.75" customHeight="1">
      <c r="A86" s="60" t="n">
        <v>82</v>
      </c>
      <c r="B86" s="42" t="n">
        <v>0.013</v>
      </c>
      <c r="C86" s="42" t="n">
        <v>0.024</v>
      </c>
      <c r="D86" s="42" t="n">
        <v>0.024</v>
      </c>
      <c r="E86" s="61" t="n">
        <v>0.00929</v>
      </c>
      <c r="F86" s="42" t="n">
        <v>0.03</v>
      </c>
      <c r="G86" s="42" t="n">
        <v>0.031</v>
      </c>
      <c r="H86" s="61" t="n">
        <v>0.00683</v>
      </c>
    </row>
    <row r="87" ht="12.75" customHeight="1">
      <c r="A87" s="60" t="n">
        <v>83</v>
      </c>
      <c r="B87" s="42" t="n">
        <v>0.013</v>
      </c>
      <c r="C87" s="42" t="n">
        <v>0.024</v>
      </c>
      <c r="D87" s="42" t="n">
        <v>0.024</v>
      </c>
      <c r="E87" s="61" t="n">
        <v>0.00907</v>
      </c>
      <c r="F87" s="42" t="n">
        <v>0.03</v>
      </c>
      <c r="G87" s="42" t="n">
        <v>0.031</v>
      </c>
      <c r="H87" s="61" t="n">
        <v>0.00673</v>
      </c>
    </row>
    <row r="88" ht="12.75" customHeight="1">
      <c r="A88" s="60" t="n">
        <v>84</v>
      </c>
      <c r="B88" s="42" t="n">
        <v>0.012</v>
      </c>
      <c r="C88" s="42" t="n">
        <v>0.024</v>
      </c>
      <c r="D88" s="42" t="n">
        <v>0.024</v>
      </c>
      <c r="E88" s="61" t="n">
        <v>0.00885</v>
      </c>
      <c r="F88" s="42" t="n">
        <v>0.03</v>
      </c>
      <c r="G88" s="42" t="n">
        <v>0.031</v>
      </c>
      <c r="H88" s="61" t="n">
        <v>0.00653</v>
      </c>
    </row>
    <row r="89" ht="12.75" customHeight="1">
      <c r="A89" s="60" t="n">
        <v>85</v>
      </c>
      <c r="B89" s="42" t="n">
        <v>0.012</v>
      </c>
      <c r="C89" s="42" t="n">
        <v>0.024</v>
      </c>
      <c r="D89" s="42" t="n">
        <v>0.024</v>
      </c>
      <c r="E89" s="61" t="n">
        <v>0.00864</v>
      </c>
      <c r="F89" s="42" t="n">
        <v>0.029</v>
      </c>
      <c r="G89" s="42" t="n">
        <v>0.03</v>
      </c>
      <c r="H89" s="61" t="n">
        <v>0.00653</v>
      </c>
    </row>
    <row r="90" ht="12.75" customHeight="1">
      <c r="A90" s="60" t="n">
        <v>86</v>
      </c>
      <c r="B90" s="42" t="n">
        <v>0.012</v>
      </c>
      <c r="C90" s="42" t="n">
        <v>0.023</v>
      </c>
      <c r="D90" s="42" t="n">
        <v>0.023</v>
      </c>
      <c r="E90" s="61" t="n">
        <v>0.00885</v>
      </c>
      <c r="F90" s="42" t="n">
        <v>0.029</v>
      </c>
      <c r="G90" s="42" t="n">
        <v>0.03</v>
      </c>
      <c r="H90" s="61" t="n">
        <v>0.00645</v>
      </c>
    </row>
    <row r="91" ht="12.75" customHeight="1">
      <c r="A91" s="60" t="n">
        <v>87</v>
      </c>
      <c r="B91" s="42" t="n">
        <v>0.012</v>
      </c>
      <c r="C91" s="42" t="n">
        <v>0.023</v>
      </c>
      <c r="D91" s="42" t="n">
        <v>0.023</v>
      </c>
      <c r="E91" s="61" t="n">
        <v>0.00864</v>
      </c>
      <c r="F91" s="42" t="n">
        <v>0.029</v>
      </c>
      <c r="G91" s="42" t="n">
        <v>0.03</v>
      </c>
      <c r="H91" s="61" t="n">
        <v>0.00627</v>
      </c>
    </row>
    <row r="92" ht="12.75" customHeight="1">
      <c r="A92" s="60" t="n">
        <v>88</v>
      </c>
      <c r="B92" s="42" t="n">
        <v>0.012</v>
      </c>
      <c r="C92" s="42" t="n">
        <v>0.023</v>
      </c>
      <c r="D92" s="42" t="n">
        <v>0.023</v>
      </c>
      <c r="E92" s="61" t="n">
        <v>0.00844</v>
      </c>
      <c r="F92" s="42" t="n">
        <v>0.028</v>
      </c>
      <c r="G92" s="42" t="n">
        <v>0.029</v>
      </c>
      <c r="H92" s="61" t="n">
        <v>0.00627</v>
      </c>
    </row>
    <row r="93" ht="12.75" customHeight="1">
      <c r="A93" s="60" t="n">
        <v>89</v>
      </c>
      <c r="B93" s="42" t="n">
        <v>0.012</v>
      </c>
      <c r="C93" s="42" t="n">
        <v>0.022</v>
      </c>
      <c r="D93" s="42" t="n">
        <v>0.022</v>
      </c>
      <c r="E93" s="61" t="n">
        <v>0.008630000000000001</v>
      </c>
      <c r="F93" s="42" t="n">
        <v>0.028</v>
      </c>
      <c r="G93" s="42" t="n">
        <v>0.029</v>
      </c>
      <c r="H93" s="61" t="n">
        <v>0.0062</v>
      </c>
    </row>
    <row r="94" ht="12.75" customHeight="1">
      <c r="A94" s="60" t="n">
        <v>90</v>
      </c>
      <c r="B94" s="42" t="n">
        <v>0.012</v>
      </c>
      <c r="C94" s="42" t="n">
        <v>0.022</v>
      </c>
      <c r="D94" s="42" t="n">
        <v>0.022</v>
      </c>
      <c r="E94" s="61" t="n">
        <v>0.00844</v>
      </c>
      <c r="F94" s="42" t="n">
        <v>0.028</v>
      </c>
      <c r="G94" s="42" t="n">
        <v>0.029</v>
      </c>
      <c r="H94" s="61" t="n">
        <v>0.00603</v>
      </c>
    </row>
    <row r="95" ht="12.75" customHeight="1">
      <c r="A95" s="60" t="n">
        <v>91</v>
      </c>
      <c r="B95" s="42" t="n">
        <v>0.011</v>
      </c>
      <c r="C95" s="42" t="n">
        <v>0.022</v>
      </c>
      <c r="D95" s="42" t="n">
        <v>0.022</v>
      </c>
      <c r="E95" s="61" t="n">
        <v>0.00825</v>
      </c>
      <c r="F95" s="42" t="n">
        <v>0.027</v>
      </c>
      <c r="G95" s="42" t="n">
        <v>0.027</v>
      </c>
      <c r="H95" s="61" t="n">
        <v>0.00649</v>
      </c>
    </row>
    <row r="96" ht="12.75" customHeight="1">
      <c r="A96" s="60" t="n">
        <v>92</v>
      </c>
      <c r="B96" s="42" t="n">
        <v>0.011</v>
      </c>
      <c r="C96" s="42" t="n">
        <v>0.022</v>
      </c>
      <c r="D96" s="42" t="n">
        <v>0.022</v>
      </c>
      <c r="E96" s="61" t="n">
        <v>0.008070000000000001</v>
      </c>
      <c r="F96" s="42" t="n">
        <v>0.027</v>
      </c>
      <c r="G96" s="42" t="n">
        <v>0.027</v>
      </c>
      <c r="H96" s="61" t="n">
        <v>0.00632</v>
      </c>
    </row>
    <row r="97" ht="12.75" customHeight="1">
      <c r="A97" s="60" t="n">
        <v>93</v>
      </c>
      <c r="B97" s="42" t="n">
        <v>0.011</v>
      </c>
      <c r="C97" s="42" t="n">
        <v>0.022</v>
      </c>
      <c r="D97" s="42" t="n">
        <v>0.022</v>
      </c>
      <c r="E97" s="61" t="n">
        <v>0.007900000000000001</v>
      </c>
      <c r="F97" s="42" t="n">
        <v>0.027</v>
      </c>
      <c r="G97" s="42" t="n">
        <v>0.027</v>
      </c>
      <c r="H97" s="61" t="n">
        <v>0.00615</v>
      </c>
    </row>
    <row r="98" ht="12.75" customHeight="1">
      <c r="A98" s="60" t="n">
        <v>94</v>
      </c>
      <c r="B98" s="42" t="n">
        <v>0.011</v>
      </c>
      <c r="C98" s="42" t="n">
        <v>0.021</v>
      </c>
      <c r="D98" s="42" t="n">
        <v>0.021</v>
      </c>
      <c r="E98" s="61" t="n">
        <v>0.008070000000000001</v>
      </c>
      <c r="F98" s="42" t="n">
        <v>0.027</v>
      </c>
      <c r="G98" s="42" t="n">
        <v>0.027</v>
      </c>
      <c r="H98" s="61" t="n">
        <v>0.00598</v>
      </c>
    </row>
    <row r="99" ht="12.75" customHeight="1">
      <c r="A99" s="60" t="n">
        <v>95</v>
      </c>
      <c r="B99" s="42" t="n">
        <v>0.011</v>
      </c>
      <c r="C99" s="42" t="n">
        <v>0.021</v>
      </c>
      <c r="D99" s="42" t="n">
        <v>0.021</v>
      </c>
      <c r="E99" s="61" t="n">
        <v>0.007900000000000001</v>
      </c>
      <c r="F99" s="42" t="n">
        <v>0.026</v>
      </c>
      <c r="G99" s="42" t="n">
        <v>0.027</v>
      </c>
      <c r="H99" s="61" t="n">
        <v>0.00594</v>
      </c>
    </row>
    <row r="100" ht="12.75" customHeight="1">
      <c r="A100" s="60" t="n">
        <v>96</v>
      </c>
      <c r="B100" s="42" t="n">
        <v>0.011</v>
      </c>
      <c r="C100" s="42" t="n">
        <v>0.021</v>
      </c>
      <c r="D100" s="42" t="n">
        <v>0.021</v>
      </c>
      <c r="E100" s="61" t="n">
        <v>0.00773</v>
      </c>
      <c r="F100" s="42" t="n">
        <v>0.026</v>
      </c>
      <c r="G100" s="42" t="n">
        <v>0.027</v>
      </c>
      <c r="H100" s="61" t="n">
        <v>0.00578</v>
      </c>
    </row>
    <row r="101" ht="12.75" customHeight="1">
      <c r="A101" s="60" t="n">
        <v>97</v>
      </c>
      <c r="B101" s="42" t="n">
        <v>0.011</v>
      </c>
      <c r="C101" s="42" t="n">
        <v>0.021</v>
      </c>
      <c r="D101" s="42" t="n">
        <v>0.021</v>
      </c>
      <c r="E101" s="61" t="n">
        <v>0.00757</v>
      </c>
      <c r="F101" s="42" t="n">
        <v>0.026</v>
      </c>
      <c r="G101" s="42" t="n">
        <v>0.027</v>
      </c>
      <c r="H101" s="61" t="n">
        <v>0.00563</v>
      </c>
    </row>
    <row r="102" ht="12.75" customHeight="1">
      <c r="A102" s="60" t="n">
        <v>98</v>
      </c>
      <c r="B102" s="42" t="n">
        <v>0.011</v>
      </c>
      <c r="C102" s="42" t="n">
        <v>0.02</v>
      </c>
      <c r="D102" s="42" t="n">
        <v>0.02</v>
      </c>
      <c r="E102" s="61" t="n">
        <v>0.00773</v>
      </c>
      <c r="F102" s="42" t="n">
        <v>0.026</v>
      </c>
      <c r="G102" s="42" t="n">
        <v>0.027</v>
      </c>
      <c r="H102" s="61" t="n">
        <v>0.00549</v>
      </c>
    </row>
    <row r="103" ht="12.75" customHeight="1">
      <c r="A103" s="60" t="n">
        <v>99</v>
      </c>
      <c r="B103" s="42" t="n">
        <v>0.011</v>
      </c>
      <c r="C103" s="42" t="n">
        <v>0.02</v>
      </c>
      <c r="D103" s="42" t="n">
        <v>0.02</v>
      </c>
      <c r="E103" s="61" t="n">
        <v>0.00757</v>
      </c>
      <c r="F103" s="42" t="n">
        <v>0.025</v>
      </c>
      <c r="G103" s="42" t="n">
        <v>0.026</v>
      </c>
      <c r="H103" s="61" t="n">
        <v>0.00549</v>
      </c>
    </row>
    <row r="104" ht="12.75" customHeight="1">
      <c r="A104" s="60" t="n">
        <v>100</v>
      </c>
      <c r="B104" s="42" t="n">
        <v>0.01</v>
      </c>
      <c r="C104" s="42" t="n">
        <v>0.02</v>
      </c>
      <c r="D104" s="42" t="n">
        <v>0.02</v>
      </c>
      <c r="E104" s="61" t="n">
        <v>0.00742</v>
      </c>
      <c r="F104" s="42" t="n">
        <v>0.025</v>
      </c>
      <c r="G104" s="42" t="n">
        <v>0.026</v>
      </c>
      <c r="H104" s="61" t="n">
        <v>0.00546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A3:H3"/>
    <mergeCell ref="A4:A5"/>
    <mergeCell ref="A2:H2"/>
    <mergeCell ref="C4:E4"/>
    <mergeCell ref="F4:H4"/>
    <mergeCell ref="A1:H1"/>
  </mergeCells>
  <printOptions horizontalCentered="1"/>
  <pageMargins left="0.4" right="0.4" top="0.45" bottom="0.45" header="0.2" footer="0.2"/>
  <pageSetup orientation="portrait" paperSize="9" fitToHeight="0" fitToWidth="1"/>
</worksheet>
</file>

<file path=xl/worksheets/sheet9.xml><?xml version="1.0" encoding="utf-8"?>
<worksheet xmlns="http://schemas.openxmlformats.org/spreadsheetml/2006/main">
  <sheetPr>
    <tabColor rgb="0066707A"/>
    <outlinePr summaryBelow="1" summaryRight="1"/>
    <pageSetUpPr/>
  </sheetPr>
  <dimension ref="A1:IN105"/>
  <sheetViews>
    <sheetView showGridLines="1" tabSelected="0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sheetData>
    <row r="1">
      <c r="A1" s="68" t="inlineStr">
        <is>
          <t>法人なら1</t>
        </is>
      </c>
      <c r="B1" s="68">
        <f>IF('設定'!$B$4="法人",1,0)</f>
        <v/>
      </c>
      <c r="C1" s="68" t="inlineStr">
        <is>
          <t>期間の初日</t>
        </is>
      </c>
      <c r="D1" s="84">
        <f>IF($B$3=0,0,DATE($B$3,$B$2,1))</f>
        <v/>
      </c>
      <c r="E1" s="68" t="n"/>
      <c r="F1" s="85" t="inlineStr">
        <is>
          <t>このシートは自動計算用です。書き換えないでください（シートの保護をかけています。パスワードはありません）。</t>
        </is>
      </c>
      <c r="G1" s="68" t="n"/>
      <c r="H1" s="68" t="n"/>
      <c r="I1" s="68" t="n"/>
      <c r="J1" s="68" t="n"/>
      <c r="K1" s="68" t="n"/>
      <c r="L1" s="68" t="n"/>
      <c r="M1" s="68" t="n"/>
      <c r="N1" s="68" t="n"/>
      <c r="O1" s="68" t="n"/>
      <c r="P1" s="68" t="n"/>
      <c r="Q1" s="68" t="n"/>
      <c r="R1" s="68" t="n"/>
      <c r="S1" s="68" t="n"/>
      <c r="T1" s="68" t="n"/>
      <c r="U1" s="68" t="n"/>
      <c r="V1" s="68" t="n"/>
      <c r="W1" s="68" t="n"/>
      <c r="X1" s="68" t="n"/>
      <c r="Y1" s="68" t="n"/>
      <c r="Z1" s="68" t="n"/>
      <c r="AA1" s="68" t="n"/>
      <c r="AB1" s="68" t="n"/>
      <c r="AC1" s="68" t="n"/>
      <c r="AD1" s="68" t="n"/>
      <c r="AE1" s="68" t="n"/>
      <c r="AF1" s="68" t="n"/>
      <c r="AG1" s="68" t="n"/>
      <c r="AH1" s="68" t="n"/>
      <c r="AI1" s="68" t="n"/>
      <c r="AJ1" s="68" t="n"/>
      <c r="AK1" s="68" t="n"/>
      <c r="AL1" s="68" t="n"/>
      <c r="AM1" s="68" t="n"/>
      <c r="AN1" s="68" t="n"/>
      <c r="AO1" s="68" t="n"/>
      <c r="AP1" s="68" t="n"/>
      <c r="AQ1" s="68" t="n"/>
      <c r="AR1" s="68" t="n"/>
      <c r="AS1" s="68" t="n"/>
      <c r="AT1" s="68" t="n"/>
      <c r="AU1" s="68" t="n"/>
      <c r="AV1" s="68" t="n"/>
      <c r="AW1" s="68" t="n"/>
      <c r="AX1" s="68" t="n"/>
      <c r="AY1" s="68" t="n"/>
      <c r="AZ1" s="68" t="n"/>
      <c r="BA1" s="68" t="n"/>
      <c r="BB1" s="68" t="n"/>
      <c r="BC1" s="68" t="n"/>
      <c r="BD1" s="68" t="n"/>
      <c r="BE1" s="68" t="n"/>
      <c r="BF1" s="68" t="n"/>
      <c r="BG1" s="68" t="n"/>
      <c r="BH1" s="68" t="n"/>
      <c r="BI1" s="68" t="n"/>
      <c r="BJ1" s="68" t="n"/>
      <c r="BK1" s="68" t="n"/>
      <c r="BL1" s="68" t="n"/>
      <c r="BM1" s="68" t="n"/>
      <c r="BN1" s="68" t="n"/>
      <c r="BO1" s="68" t="n"/>
      <c r="BP1" s="68" t="n"/>
      <c r="BQ1" s="68" t="n"/>
      <c r="BR1" s="68" t="n"/>
      <c r="BS1" s="68" t="n"/>
      <c r="BT1" s="68" t="n"/>
      <c r="BU1" s="68" t="n"/>
      <c r="BV1" s="68" t="n"/>
      <c r="BW1" s="68" t="n"/>
      <c r="BX1" s="68" t="n"/>
      <c r="BY1" s="68" t="n"/>
      <c r="BZ1" s="68" t="n"/>
      <c r="CA1" s="68" t="n"/>
      <c r="CB1" s="68" t="n"/>
      <c r="CC1" s="68" t="n"/>
      <c r="CD1" s="68" t="n"/>
      <c r="CE1" s="68" t="n"/>
      <c r="CF1" s="68" t="n"/>
      <c r="CG1" s="68" t="n"/>
      <c r="CH1" s="68" t="n"/>
      <c r="CI1" s="68" t="n"/>
      <c r="CJ1" s="68" t="n"/>
      <c r="CK1" s="68" t="n"/>
      <c r="CL1" s="68" t="n"/>
      <c r="CM1" s="68" t="n"/>
      <c r="CN1" s="68" t="n"/>
      <c r="CO1" s="68" t="n"/>
      <c r="CP1" s="68" t="n"/>
      <c r="CQ1" s="68" t="n"/>
      <c r="CR1" s="68" t="n"/>
      <c r="CS1" s="68" t="n"/>
      <c r="CT1" s="68" t="n"/>
      <c r="CU1" s="68" t="n"/>
      <c r="CV1" s="68" t="n"/>
      <c r="CW1" s="68" t="n"/>
      <c r="CX1" s="68" t="n"/>
      <c r="CY1" s="68" t="n"/>
      <c r="CZ1" s="68" t="n"/>
      <c r="DA1" s="68" t="n"/>
      <c r="DB1" s="68" t="n"/>
      <c r="DC1" s="68" t="n"/>
      <c r="DD1" s="68" t="n"/>
      <c r="DE1" s="68" t="n"/>
      <c r="DF1" s="68" t="n"/>
      <c r="DG1" s="68" t="n"/>
      <c r="DH1" s="68" t="n"/>
      <c r="DI1" s="68" t="n"/>
      <c r="DJ1" s="68" t="n"/>
      <c r="DK1" s="68" t="n"/>
      <c r="DL1" s="68" t="n"/>
      <c r="DM1" s="68" t="n"/>
      <c r="DN1" s="68" t="n"/>
      <c r="DO1" s="68" t="n"/>
      <c r="DP1" s="68" t="n"/>
      <c r="DQ1" s="68" t="n"/>
      <c r="DR1" s="68" t="n"/>
      <c r="DS1" s="68" t="n"/>
      <c r="DT1" s="68" t="n"/>
      <c r="DU1" s="68" t="n"/>
      <c r="DV1" s="68" t="n"/>
      <c r="DW1" s="68" t="n"/>
      <c r="DX1" s="68" t="n"/>
      <c r="DY1" s="68" t="n"/>
      <c r="DZ1" s="68" t="n"/>
      <c r="EA1" s="68" t="n"/>
      <c r="EB1" s="68" t="n"/>
      <c r="EC1" s="68" t="n"/>
      <c r="ED1" s="68" t="n"/>
      <c r="EE1" s="68" t="n"/>
      <c r="EF1" s="68" t="n"/>
      <c r="EG1" s="68" t="n"/>
      <c r="EH1" s="68" t="n"/>
      <c r="EI1" s="68" t="n"/>
      <c r="EJ1" s="68" t="n"/>
      <c r="EK1" s="68" t="n"/>
      <c r="EL1" s="68" t="n"/>
      <c r="EM1" s="68" t="n"/>
      <c r="EN1" s="68" t="n"/>
      <c r="EO1" s="68" t="n"/>
      <c r="EP1" s="68" t="n"/>
      <c r="EQ1" s="68" t="n"/>
      <c r="ER1" s="68" t="n"/>
      <c r="ES1" s="68" t="n"/>
      <c r="ET1" s="68" t="n"/>
      <c r="EU1" s="68" t="n"/>
      <c r="EV1" s="68" t="n"/>
      <c r="EW1" s="68" t="n"/>
      <c r="EX1" s="68" t="n"/>
      <c r="EY1" s="68" t="n"/>
      <c r="EZ1" s="68" t="n"/>
      <c r="FA1" s="68" t="n"/>
      <c r="FB1" s="68" t="n"/>
      <c r="FC1" s="68" t="n"/>
      <c r="FD1" s="68" t="n"/>
      <c r="FE1" s="68" t="n"/>
      <c r="FF1" s="68" t="n"/>
      <c r="FG1" s="68" t="n"/>
      <c r="FH1" s="68" t="n"/>
      <c r="FI1" s="68" t="n"/>
      <c r="FJ1" s="68" t="n"/>
      <c r="FK1" s="68" t="n"/>
      <c r="FL1" s="68" t="n"/>
      <c r="FM1" s="68" t="n"/>
      <c r="FN1" s="68" t="n"/>
      <c r="FO1" s="68" t="n"/>
      <c r="FP1" s="68" t="n"/>
      <c r="FQ1" s="68" t="n"/>
      <c r="FR1" s="68" t="n"/>
      <c r="FS1" s="68" t="n"/>
      <c r="FT1" s="68" t="n"/>
      <c r="FU1" s="68" t="n"/>
      <c r="FV1" s="68" t="n"/>
      <c r="FW1" s="68" t="n"/>
      <c r="FX1" s="68" t="n"/>
      <c r="FY1" s="68" t="n"/>
      <c r="FZ1" s="68" t="n"/>
      <c r="GA1" s="68" t="n"/>
      <c r="GB1" s="68" t="n"/>
      <c r="GC1" s="68" t="n"/>
      <c r="GD1" s="68" t="n"/>
      <c r="GE1" s="68" t="n"/>
      <c r="GF1" s="68" t="n"/>
      <c r="GG1" s="68" t="n"/>
      <c r="GH1" s="68" t="n"/>
      <c r="GI1" s="68" t="n"/>
      <c r="GJ1" s="68" t="n"/>
      <c r="GK1" s="68" t="n"/>
      <c r="GL1" s="68" t="n"/>
      <c r="GM1" s="68" t="n"/>
      <c r="GN1" s="68" t="n"/>
      <c r="GO1" s="68" t="n"/>
      <c r="GP1" s="68" t="n"/>
      <c r="GQ1" s="68" t="n"/>
      <c r="GR1" s="68" t="n"/>
      <c r="GS1" s="68" t="n"/>
      <c r="GT1" s="68" t="n"/>
      <c r="GU1" s="68" t="n"/>
      <c r="GV1" s="68" t="n"/>
      <c r="GW1" s="68" t="n"/>
      <c r="GX1" s="68" t="n"/>
      <c r="GY1" s="68" t="n"/>
      <c r="GZ1" s="68" t="n"/>
      <c r="HA1" s="68" t="n"/>
      <c r="HB1" s="68" t="n"/>
      <c r="HC1" s="68" t="n"/>
      <c r="HD1" s="68" t="n"/>
      <c r="HE1" s="68" t="n"/>
      <c r="HF1" s="68" t="n"/>
      <c r="HG1" s="68" t="n"/>
      <c r="HH1" s="68" t="n"/>
      <c r="HI1" s="68" t="n"/>
      <c r="HJ1" s="68" t="n"/>
      <c r="HK1" s="68" t="n"/>
      <c r="HL1" s="68" t="n"/>
      <c r="HM1" s="68" t="n"/>
      <c r="HN1" s="68" t="n"/>
      <c r="HO1" s="68" t="n"/>
      <c r="HP1" s="68" t="n"/>
      <c r="HQ1" s="68" t="n"/>
      <c r="HR1" s="68" t="n"/>
      <c r="HS1" s="68" t="n"/>
      <c r="HT1" s="68" t="n"/>
      <c r="HU1" s="68" t="n"/>
      <c r="HV1" s="68" t="n"/>
      <c r="HW1" s="68" t="n"/>
      <c r="HX1" s="68" t="n"/>
      <c r="HY1" s="68" t="n"/>
      <c r="HZ1" s="68" t="n"/>
      <c r="IA1" s="68" t="n"/>
      <c r="IB1" s="68" t="n"/>
      <c r="IC1" s="68" t="n"/>
      <c r="ID1" s="68" t="n"/>
      <c r="IE1" s="68" t="n"/>
      <c r="IF1" s="68" t="n"/>
      <c r="IG1" s="68" t="n"/>
      <c r="IH1" s="68" t="n"/>
      <c r="II1" s="68" t="n"/>
      <c r="IJ1" s="68" t="n"/>
      <c r="IK1" s="68" t="n"/>
      <c r="IL1" s="68" t="n"/>
      <c r="IM1" s="68" t="n"/>
      <c r="IN1" s="68" t="n"/>
    </row>
    <row r="2">
      <c r="A2" s="68" t="inlineStr">
        <is>
          <t>年度の始まりの月</t>
        </is>
      </c>
      <c r="B2" s="68">
        <f>IF($B$1=1,IF(ISNUMBER('設定'!$B$5),IF(AND('設定'!$B$5&gt;=1,'設定'!$B$5&lt;=12),INT('設定'!$B$5),1),1),1)</f>
        <v/>
      </c>
      <c r="C2" s="68" t="inlineStr">
        <is>
          <t>期間の末日</t>
        </is>
      </c>
      <c r="D2" s="84">
        <f>IF($B$3=0,0,DATE($B$3,$B$2+12,0))</f>
        <v/>
      </c>
      <c r="E2" s="68" t="n"/>
      <c r="F2" s="86" t="inlineStr">
        <is>
          <t>列 AS〜EP は k年目（使い始めた年＝0）の期末の帳簿価額、列 ER〜IN は k年目の改定取得価額（定率法で切り替わった後だけ）。</t>
        </is>
      </c>
      <c r="G2" s="68" t="n"/>
      <c r="H2" s="68" t="n"/>
      <c r="I2" s="68" t="n"/>
      <c r="J2" s="68" t="n"/>
      <c r="K2" s="68" t="n"/>
      <c r="L2" s="68" t="n"/>
      <c r="M2" s="68" t="n"/>
      <c r="N2" s="68" t="n"/>
      <c r="O2" s="68" t="n"/>
      <c r="P2" s="68" t="n"/>
      <c r="Q2" s="68" t="n"/>
      <c r="R2" s="68" t="n"/>
      <c r="S2" s="68" t="n"/>
      <c r="T2" s="68" t="n"/>
      <c r="U2" s="68" t="n"/>
      <c r="V2" s="68" t="n"/>
      <c r="W2" s="68" t="n"/>
      <c r="X2" s="68" t="n"/>
      <c r="Y2" s="68" t="n"/>
      <c r="Z2" s="68" t="n"/>
      <c r="AA2" s="68" t="n"/>
      <c r="AB2" s="68" t="n"/>
      <c r="AC2" s="68" t="n"/>
      <c r="AD2" s="68" t="n"/>
      <c r="AE2" s="68" t="n"/>
      <c r="AF2" s="68" t="n"/>
      <c r="AG2" s="68" t="n"/>
      <c r="AH2" s="68" t="n"/>
      <c r="AI2" s="68" t="n"/>
      <c r="AJ2" s="68" t="n"/>
      <c r="AK2" s="68" t="n"/>
      <c r="AL2" s="68" t="n"/>
      <c r="AM2" s="68" t="n"/>
      <c r="AN2" s="68" t="n"/>
      <c r="AO2" s="68" t="n"/>
      <c r="AP2" s="68" t="n"/>
      <c r="AQ2" s="68" t="n"/>
      <c r="AR2" s="68" t="n"/>
      <c r="AS2" s="68" t="n"/>
      <c r="AT2" s="68" t="n"/>
      <c r="AU2" s="68" t="n"/>
      <c r="AV2" s="68" t="n"/>
      <c r="AW2" s="68" t="n"/>
      <c r="AX2" s="68" t="n"/>
      <c r="AY2" s="68" t="n"/>
      <c r="AZ2" s="68" t="n"/>
      <c r="BA2" s="68" t="n"/>
      <c r="BB2" s="68" t="n"/>
      <c r="BC2" s="68" t="n"/>
      <c r="BD2" s="68" t="n"/>
      <c r="BE2" s="68" t="n"/>
      <c r="BF2" s="68" t="n"/>
      <c r="BG2" s="68" t="n"/>
      <c r="BH2" s="68" t="n"/>
      <c r="BI2" s="68" t="n"/>
      <c r="BJ2" s="68" t="n"/>
      <c r="BK2" s="68" t="n"/>
      <c r="BL2" s="68" t="n"/>
      <c r="BM2" s="68" t="n"/>
      <c r="BN2" s="68" t="n"/>
      <c r="BO2" s="68" t="n"/>
      <c r="BP2" s="68" t="n"/>
      <c r="BQ2" s="68" t="n"/>
      <c r="BR2" s="68" t="n"/>
      <c r="BS2" s="68" t="n"/>
      <c r="BT2" s="68" t="n"/>
      <c r="BU2" s="68" t="n"/>
      <c r="BV2" s="68" t="n"/>
      <c r="BW2" s="68" t="n"/>
      <c r="BX2" s="68" t="n"/>
      <c r="BY2" s="68" t="n"/>
      <c r="BZ2" s="68" t="n"/>
      <c r="CA2" s="68" t="n"/>
      <c r="CB2" s="68" t="n"/>
      <c r="CC2" s="68" t="n"/>
      <c r="CD2" s="68" t="n"/>
      <c r="CE2" s="68" t="n"/>
      <c r="CF2" s="68" t="n"/>
      <c r="CG2" s="68" t="n"/>
      <c r="CH2" s="68" t="n"/>
      <c r="CI2" s="68" t="n"/>
      <c r="CJ2" s="68" t="n"/>
      <c r="CK2" s="68" t="n"/>
      <c r="CL2" s="68" t="n"/>
      <c r="CM2" s="68" t="n"/>
      <c r="CN2" s="68" t="n"/>
      <c r="CO2" s="68" t="n"/>
      <c r="CP2" s="68" t="n"/>
      <c r="CQ2" s="68" t="n"/>
      <c r="CR2" s="68" t="n"/>
      <c r="CS2" s="68" t="n"/>
      <c r="CT2" s="68" t="n"/>
      <c r="CU2" s="68" t="n"/>
      <c r="CV2" s="68" t="n"/>
      <c r="CW2" s="68" t="n"/>
      <c r="CX2" s="68" t="n"/>
      <c r="CY2" s="68" t="n"/>
      <c r="CZ2" s="68" t="n"/>
      <c r="DA2" s="68" t="n"/>
      <c r="DB2" s="68" t="n"/>
      <c r="DC2" s="68" t="n"/>
      <c r="DD2" s="68" t="n"/>
      <c r="DE2" s="68" t="n"/>
      <c r="DF2" s="68" t="n"/>
      <c r="DG2" s="68" t="n"/>
      <c r="DH2" s="68" t="n"/>
      <c r="DI2" s="68" t="n"/>
      <c r="DJ2" s="68" t="n"/>
      <c r="DK2" s="68" t="n"/>
      <c r="DL2" s="68" t="n"/>
      <c r="DM2" s="68" t="n"/>
      <c r="DN2" s="68" t="n"/>
      <c r="DO2" s="68" t="n"/>
      <c r="DP2" s="68" t="n"/>
      <c r="DQ2" s="68" t="n"/>
      <c r="DR2" s="68" t="n"/>
      <c r="DS2" s="68" t="n"/>
      <c r="DT2" s="68" t="n"/>
      <c r="DU2" s="68" t="n"/>
      <c r="DV2" s="68" t="n"/>
      <c r="DW2" s="68" t="n"/>
      <c r="DX2" s="68" t="n"/>
      <c r="DY2" s="68" t="n"/>
      <c r="DZ2" s="68" t="n"/>
      <c r="EA2" s="68" t="n"/>
      <c r="EB2" s="68" t="n"/>
      <c r="EC2" s="68" t="n"/>
      <c r="ED2" s="68" t="n"/>
      <c r="EE2" s="68" t="n"/>
      <c r="EF2" s="68" t="n"/>
      <c r="EG2" s="68" t="n"/>
      <c r="EH2" s="68" t="n"/>
      <c r="EI2" s="68" t="n"/>
      <c r="EJ2" s="68" t="n"/>
      <c r="EK2" s="68" t="n"/>
      <c r="EL2" s="68" t="n"/>
      <c r="EM2" s="68" t="n"/>
      <c r="EN2" s="68" t="n"/>
      <c r="EO2" s="68" t="n"/>
      <c r="EP2" s="68" t="n"/>
      <c r="EQ2" s="68" t="n"/>
      <c r="ER2" s="68" t="n"/>
      <c r="ES2" s="68" t="n"/>
      <c r="ET2" s="68" t="n"/>
      <c r="EU2" s="68" t="n"/>
      <c r="EV2" s="68" t="n"/>
      <c r="EW2" s="68" t="n"/>
      <c r="EX2" s="68" t="n"/>
      <c r="EY2" s="68" t="n"/>
      <c r="EZ2" s="68" t="n"/>
      <c r="FA2" s="68" t="n"/>
      <c r="FB2" s="68" t="n"/>
      <c r="FC2" s="68" t="n"/>
      <c r="FD2" s="68" t="n"/>
      <c r="FE2" s="68" t="n"/>
      <c r="FF2" s="68" t="n"/>
      <c r="FG2" s="68" t="n"/>
      <c r="FH2" s="68" t="n"/>
      <c r="FI2" s="68" t="n"/>
      <c r="FJ2" s="68" t="n"/>
      <c r="FK2" s="68" t="n"/>
      <c r="FL2" s="68" t="n"/>
      <c r="FM2" s="68" t="n"/>
      <c r="FN2" s="68" t="n"/>
      <c r="FO2" s="68" t="n"/>
      <c r="FP2" s="68" t="n"/>
      <c r="FQ2" s="68" t="n"/>
      <c r="FR2" s="68" t="n"/>
      <c r="FS2" s="68" t="n"/>
      <c r="FT2" s="68" t="n"/>
      <c r="FU2" s="68" t="n"/>
      <c r="FV2" s="68" t="n"/>
      <c r="FW2" s="68" t="n"/>
      <c r="FX2" s="68" t="n"/>
      <c r="FY2" s="68" t="n"/>
      <c r="FZ2" s="68" t="n"/>
      <c r="GA2" s="68" t="n"/>
      <c r="GB2" s="68" t="n"/>
      <c r="GC2" s="68" t="n"/>
      <c r="GD2" s="68" t="n"/>
      <c r="GE2" s="68" t="n"/>
      <c r="GF2" s="68" t="n"/>
      <c r="GG2" s="68" t="n"/>
      <c r="GH2" s="68" t="n"/>
      <c r="GI2" s="68" t="n"/>
      <c r="GJ2" s="68" t="n"/>
      <c r="GK2" s="68" t="n"/>
      <c r="GL2" s="68" t="n"/>
      <c r="GM2" s="68" t="n"/>
      <c r="GN2" s="68" t="n"/>
      <c r="GO2" s="68" t="n"/>
      <c r="GP2" s="68" t="n"/>
      <c r="GQ2" s="68" t="n"/>
      <c r="GR2" s="68" t="n"/>
      <c r="GS2" s="68" t="n"/>
      <c r="GT2" s="68" t="n"/>
      <c r="GU2" s="68" t="n"/>
      <c r="GV2" s="68" t="n"/>
      <c r="GW2" s="68" t="n"/>
      <c r="GX2" s="68" t="n"/>
      <c r="GY2" s="68" t="n"/>
      <c r="GZ2" s="68" t="n"/>
      <c r="HA2" s="68" t="n"/>
      <c r="HB2" s="68" t="n"/>
      <c r="HC2" s="68" t="n"/>
      <c r="HD2" s="68" t="n"/>
      <c r="HE2" s="68" t="n"/>
      <c r="HF2" s="68" t="n"/>
      <c r="HG2" s="68" t="n"/>
      <c r="HH2" s="68" t="n"/>
      <c r="HI2" s="68" t="n"/>
      <c r="HJ2" s="68" t="n"/>
      <c r="HK2" s="68" t="n"/>
      <c r="HL2" s="68" t="n"/>
      <c r="HM2" s="68" t="n"/>
      <c r="HN2" s="68" t="n"/>
      <c r="HO2" s="68" t="n"/>
      <c r="HP2" s="68" t="n"/>
      <c r="HQ2" s="68" t="n"/>
      <c r="HR2" s="68" t="n"/>
      <c r="HS2" s="68" t="n"/>
      <c r="HT2" s="68" t="n"/>
      <c r="HU2" s="68" t="n"/>
      <c r="HV2" s="68" t="n"/>
      <c r="HW2" s="68" t="n"/>
      <c r="HX2" s="68" t="n"/>
      <c r="HY2" s="68" t="n"/>
      <c r="HZ2" s="68" t="n"/>
      <c r="IA2" s="68" t="n"/>
      <c r="IB2" s="68" t="n"/>
      <c r="IC2" s="68" t="n"/>
      <c r="ID2" s="68" t="n"/>
      <c r="IE2" s="68" t="n"/>
      <c r="IF2" s="68" t="n"/>
      <c r="IG2" s="68" t="n"/>
      <c r="IH2" s="68" t="n"/>
      <c r="II2" s="68" t="n"/>
      <c r="IJ2" s="68" t="n"/>
      <c r="IK2" s="68" t="n"/>
      <c r="IL2" s="68" t="n"/>
      <c r="IM2" s="68" t="n"/>
      <c r="IN2" s="68" t="n"/>
    </row>
    <row r="3">
      <c r="A3" s="68" t="inlineStr">
        <is>
          <t>表示する年</t>
        </is>
      </c>
      <c r="B3" s="68">
        <f>IF(ISNUMBER('設定'!$B$6),IF(AND('設定'!$B$6&gt;=2007,'設定'!$B$6&lt;=2200),INT('設定'!$B$6),0),0)</f>
        <v/>
      </c>
      <c r="C3" s="68" t="n"/>
      <c r="D3" s="68" t="n"/>
      <c r="E3" s="68" t="n"/>
      <c r="F3" s="68" t="n"/>
      <c r="G3" s="68" t="n"/>
      <c r="H3" s="68" t="n"/>
      <c r="I3" s="68" t="n"/>
      <c r="J3" s="68" t="n"/>
      <c r="K3" s="68" t="n"/>
      <c r="L3" s="68" t="n"/>
      <c r="M3" s="68" t="n"/>
      <c r="N3" s="68" t="n"/>
      <c r="O3" s="68" t="n"/>
      <c r="P3" s="68" t="n"/>
      <c r="Q3" s="68" t="n"/>
      <c r="R3" s="68" t="n"/>
      <c r="S3" s="68" t="n"/>
      <c r="T3" s="68" t="n"/>
      <c r="U3" s="68" t="n"/>
      <c r="V3" s="68" t="n"/>
      <c r="W3" s="68" t="n"/>
      <c r="X3" s="68" t="n"/>
      <c r="Y3" s="68" t="n"/>
      <c r="Z3" s="68" t="n"/>
      <c r="AA3" s="68" t="n"/>
      <c r="AB3" s="68" t="n"/>
      <c r="AC3" s="68" t="n"/>
      <c r="AD3" s="68" t="n"/>
      <c r="AE3" s="68" t="n"/>
      <c r="AF3" s="68" t="n"/>
      <c r="AG3" s="68" t="n"/>
      <c r="AH3" s="68" t="n"/>
      <c r="AI3" s="68" t="n"/>
      <c r="AJ3" s="68" t="n"/>
      <c r="AK3" s="68" t="n"/>
      <c r="AL3" s="68" t="n"/>
      <c r="AM3" s="68" t="n"/>
      <c r="AN3" s="68" t="n"/>
      <c r="AO3" s="68" t="n"/>
      <c r="AP3" s="68" t="n"/>
      <c r="AQ3" s="68" t="n"/>
      <c r="AR3" s="68" t="n"/>
      <c r="AS3" s="68" t="n"/>
      <c r="AT3" s="68" t="n"/>
      <c r="AU3" s="68" t="n"/>
      <c r="AV3" s="68" t="n"/>
      <c r="AW3" s="68" t="n"/>
      <c r="AX3" s="68" t="n"/>
      <c r="AY3" s="68" t="n"/>
      <c r="AZ3" s="68" t="n"/>
      <c r="BA3" s="68" t="n"/>
      <c r="BB3" s="68" t="n"/>
      <c r="BC3" s="68" t="n"/>
      <c r="BD3" s="68" t="n"/>
      <c r="BE3" s="68" t="n"/>
      <c r="BF3" s="68" t="n"/>
      <c r="BG3" s="68" t="n"/>
      <c r="BH3" s="68" t="n"/>
      <c r="BI3" s="68" t="n"/>
      <c r="BJ3" s="68" t="n"/>
      <c r="BK3" s="68" t="n"/>
      <c r="BL3" s="68" t="n"/>
      <c r="BM3" s="68" t="n"/>
      <c r="BN3" s="68" t="n"/>
      <c r="BO3" s="68" t="n"/>
      <c r="BP3" s="68" t="n"/>
      <c r="BQ3" s="68" t="n"/>
      <c r="BR3" s="68" t="n"/>
      <c r="BS3" s="68" t="n"/>
      <c r="BT3" s="68" t="n"/>
      <c r="BU3" s="68" t="n"/>
      <c r="BV3" s="68" t="n"/>
      <c r="BW3" s="68" t="n"/>
      <c r="BX3" s="68" t="n"/>
      <c r="BY3" s="68" t="n"/>
      <c r="BZ3" s="68" t="n"/>
      <c r="CA3" s="68" t="n"/>
      <c r="CB3" s="68" t="n"/>
      <c r="CC3" s="68" t="n"/>
      <c r="CD3" s="68" t="n"/>
      <c r="CE3" s="68" t="n"/>
      <c r="CF3" s="68" t="n"/>
      <c r="CG3" s="68" t="n"/>
      <c r="CH3" s="68" t="n"/>
      <c r="CI3" s="68" t="n"/>
      <c r="CJ3" s="68" t="n"/>
      <c r="CK3" s="68" t="n"/>
      <c r="CL3" s="68" t="n"/>
      <c r="CM3" s="68" t="n"/>
      <c r="CN3" s="68" t="n"/>
      <c r="CO3" s="68" t="n"/>
      <c r="CP3" s="68" t="n"/>
      <c r="CQ3" s="68" t="n"/>
      <c r="CR3" s="68" t="n"/>
      <c r="CS3" s="68" t="n"/>
      <c r="CT3" s="68" t="n"/>
      <c r="CU3" s="68" t="n"/>
      <c r="CV3" s="68" t="n"/>
      <c r="CW3" s="68" t="n"/>
      <c r="CX3" s="68" t="n"/>
      <c r="CY3" s="68" t="n"/>
      <c r="CZ3" s="68" t="n"/>
      <c r="DA3" s="68" t="n"/>
      <c r="DB3" s="68" t="n"/>
      <c r="DC3" s="68" t="n"/>
      <c r="DD3" s="68" t="n"/>
      <c r="DE3" s="68" t="n"/>
      <c r="DF3" s="68" t="n"/>
      <c r="DG3" s="68" t="n"/>
      <c r="DH3" s="68" t="n"/>
      <c r="DI3" s="68" t="n"/>
      <c r="DJ3" s="68" t="n"/>
      <c r="DK3" s="68" t="n"/>
      <c r="DL3" s="68" t="n"/>
      <c r="DM3" s="68" t="n"/>
      <c r="DN3" s="68" t="n"/>
      <c r="DO3" s="68" t="n"/>
      <c r="DP3" s="68" t="n"/>
      <c r="DQ3" s="68" t="n"/>
      <c r="DR3" s="68" t="n"/>
      <c r="DS3" s="68" t="n"/>
      <c r="DT3" s="68" t="n"/>
      <c r="DU3" s="68" t="n"/>
      <c r="DV3" s="68" t="n"/>
      <c r="DW3" s="68" t="n"/>
      <c r="DX3" s="68" t="n"/>
      <c r="DY3" s="68" t="n"/>
      <c r="DZ3" s="68" t="n"/>
      <c r="EA3" s="68" t="n"/>
      <c r="EB3" s="68" t="n"/>
      <c r="EC3" s="68" t="n"/>
      <c r="ED3" s="68" t="n"/>
      <c r="EE3" s="68" t="n"/>
      <c r="EF3" s="68" t="n"/>
      <c r="EG3" s="68" t="n"/>
      <c r="EH3" s="68" t="n"/>
      <c r="EI3" s="68" t="n"/>
      <c r="EJ3" s="68" t="n"/>
      <c r="EK3" s="68" t="n"/>
      <c r="EL3" s="68" t="n"/>
      <c r="EM3" s="68" t="n"/>
      <c r="EN3" s="68" t="n"/>
      <c r="EO3" s="68" t="n"/>
      <c r="EP3" s="68" t="n"/>
      <c r="EQ3" s="68" t="n"/>
      <c r="ER3" s="68" t="n"/>
      <c r="ES3" s="68" t="n"/>
      <c r="ET3" s="68" t="n"/>
      <c r="EU3" s="68" t="n"/>
      <c r="EV3" s="68" t="n"/>
      <c r="EW3" s="68" t="n"/>
      <c r="EX3" s="68" t="n"/>
      <c r="EY3" s="68" t="n"/>
      <c r="EZ3" s="68" t="n"/>
      <c r="FA3" s="68" t="n"/>
      <c r="FB3" s="68" t="n"/>
      <c r="FC3" s="68" t="n"/>
      <c r="FD3" s="68" t="n"/>
      <c r="FE3" s="68" t="n"/>
      <c r="FF3" s="68" t="n"/>
      <c r="FG3" s="68" t="n"/>
      <c r="FH3" s="68" t="n"/>
      <c r="FI3" s="68" t="n"/>
      <c r="FJ3" s="68" t="n"/>
      <c r="FK3" s="68" t="n"/>
      <c r="FL3" s="68" t="n"/>
      <c r="FM3" s="68" t="n"/>
      <c r="FN3" s="68" t="n"/>
      <c r="FO3" s="68" t="n"/>
      <c r="FP3" s="68" t="n"/>
      <c r="FQ3" s="68" t="n"/>
      <c r="FR3" s="68" t="n"/>
      <c r="FS3" s="68" t="n"/>
      <c r="FT3" s="68" t="n"/>
      <c r="FU3" s="68" t="n"/>
      <c r="FV3" s="68" t="n"/>
      <c r="FW3" s="68" t="n"/>
      <c r="FX3" s="68" t="n"/>
      <c r="FY3" s="68" t="n"/>
      <c r="FZ3" s="68" t="n"/>
      <c r="GA3" s="68" t="n"/>
      <c r="GB3" s="68" t="n"/>
      <c r="GC3" s="68" t="n"/>
      <c r="GD3" s="68" t="n"/>
      <c r="GE3" s="68" t="n"/>
      <c r="GF3" s="68" t="n"/>
      <c r="GG3" s="68" t="n"/>
      <c r="GH3" s="68" t="n"/>
      <c r="GI3" s="68" t="n"/>
      <c r="GJ3" s="68" t="n"/>
      <c r="GK3" s="68" t="n"/>
      <c r="GL3" s="68" t="n"/>
      <c r="GM3" s="68" t="n"/>
      <c r="GN3" s="68" t="n"/>
      <c r="GO3" s="68" t="n"/>
      <c r="GP3" s="68" t="n"/>
      <c r="GQ3" s="68" t="n"/>
      <c r="GR3" s="68" t="n"/>
      <c r="GS3" s="68" t="n"/>
      <c r="GT3" s="68" t="n"/>
      <c r="GU3" s="68" t="n"/>
      <c r="GV3" s="68" t="n"/>
      <c r="GW3" s="68" t="n"/>
      <c r="GX3" s="68" t="n"/>
      <c r="GY3" s="68" t="n"/>
      <c r="GZ3" s="68" t="n"/>
      <c r="HA3" s="68" t="n"/>
      <c r="HB3" s="68" t="n"/>
      <c r="HC3" s="68" t="n"/>
      <c r="HD3" s="68" t="n"/>
      <c r="HE3" s="68" t="n"/>
      <c r="HF3" s="68" t="n"/>
      <c r="HG3" s="68" t="n"/>
      <c r="HH3" s="68" t="n"/>
      <c r="HI3" s="68" t="n"/>
      <c r="HJ3" s="68" t="n"/>
      <c r="HK3" s="68" t="n"/>
      <c r="HL3" s="68" t="n"/>
      <c r="HM3" s="68" t="n"/>
      <c r="HN3" s="68" t="n"/>
      <c r="HO3" s="68" t="n"/>
      <c r="HP3" s="68" t="n"/>
      <c r="HQ3" s="68" t="n"/>
      <c r="HR3" s="68" t="n"/>
      <c r="HS3" s="68" t="n"/>
      <c r="HT3" s="68" t="n"/>
      <c r="HU3" s="68" t="n"/>
      <c r="HV3" s="68" t="n"/>
      <c r="HW3" s="68" t="n"/>
      <c r="HX3" s="68" t="n"/>
      <c r="HY3" s="68" t="n"/>
      <c r="HZ3" s="68" t="n"/>
      <c r="IA3" s="68" t="n"/>
      <c r="IB3" s="68" t="n"/>
      <c r="IC3" s="68" t="n"/>
      <c r="ID3" s="68" t="n"/>
      <c r="IE3" s="68" t="n"/>
      <c r="IF3" s="68" t="n"/>
      <c r="IG3" s="68" t="n"/>
      <c r="IH3" s="68" t="n"/>
      <c r="II3" s="68" t="n"/>
      <c r="IJ3" s="68" t="n"/>
      <c r="IK3" s="68" t="n"/>
      <c r="IL3" s="68" t="n"/>
      <c r="IM3" s="68" t="n"/>
      <c r="IN3" s="68" t="n"/>
    </row>
    <row r="4">
      <c r="A4" s="68" t="inlineStr">
        <is>
          <t>端数（足す数）</t>
        </is>
      </c>
      <c r="B4" s="68">
        <f>IF('設定'!$B$7="切り捨て",0,IF('設定'!$B$7="四捨五入",0.5,0.999999))</f>
        <v/>
      </c>
      <c r="C4" s="68" t="n"/>
      <c r="D4" s="68" t="n"/>
      <c r="E4" s="68" t="n"/>
      <c r="F4" s="68" t="n"/>
      <c r="G4" s="68" t="n"/>
      <c r="H4" s="68" t="n"/>
      <c r="I4" s="68" t="n"/>
      <c r="J4" s="68" t="n"/>
      <c r="K4" s="68" t="n"/>
      <c r="L4" s="68" t="n"/>
      <c r="M4" s="68" t="n"/>
      <c r="N4" s="68" t="n"/>
      <c r="O4" s="68" t="n"/>
      <c r="P4" s="68" t="n"/>
      <c r="Q4" s="68" t="n"/>
      <c r="R4" s="68" t="n"/>
      <c r="S4" s="68" t="n"/>
      <c r="T4" s="68" t="n"/>
      <c r="U4" s="68" t="n"/>
      <c r="V4" s="68" t="n"/>
      <c r="W4" s="68" t="n"/>
      <c r="X4" s="68" t="n"/>
      <c r="Y4" s="68" t="n"/>
      <c r="Z4" s="68" t="n"/>
      <c r="AA4" s="68" t="n"/>
      <c r="AB4" s="68" t="n"/>
      <c r="AC4" s="68" t="n"/>
      <c r="AD4" s="68" t="n"/>
      <c r="AE4" s="68" t="n"/>
      <c r="AF4" s="68" t="n"/>
      <c r="AG4" s="68" t="n"/>
      <c r="AH4" s="68" t="n"/>
      <c r="AI4" s="68" t="n"/>
      <c r="AJ4" s="68" t="n"/>
      <c r="AK4" s="68" t="n"/>
      <c r="AL4" s="68" t="n"/>
      <c r="AM4" s="68" t="n"/>
      <c r="AN4" s="68" t="n"/>
      <c r="AO4" s="68" t="n"/>
      <c r="AP4" s="68" t="n"/>
      <c r="AQ4" s="68" t="n"/>
      <c r="AR4" s="68" t="n"/>
      <c r="AS4" s="68" t="n"/>
      <c r="AT4" s="68" t="n"/>
      <c r="AU4" s="68" t="n"/>
      <c r="AV4" s="68" t="n"/>
      <c r="AW4" s="68" t="n"/>
      <c r="AX4" s="68" t="n"/>
      <c r="AY4" s="68" t="n"/>
      <c r="AZ4" s="68" t="n"/>
      <c r="BA4" s="68" t="n"/>
      <c r="BB4" s="68" t="n"/>
      <c r="BC4" s="68" t="n"/>
      <c r="BD4" s="68" t="n"/>
      <c r="BE4" s="68" t="n"/>
      <c r="BF4" s="68" t="n"/>
      <c r="BG4" s="68" t="n"/>
      <c r="BH4" s="68" t="n"/>
      <c r="BI4" s="68" t="n"/>
      <c r="BJ4" s="68" t="n"/>
      <c r="BK4" s="68" t="n"/>
      <c r="BL4" s="68" t="n"/>
      <c r="BM4" s="68" t="n"/>
      <c r="BN4" s="68" t="n"/>
      <c r="BO4" s="68" t="n"/>
      <c r="BP4" s="68" t="n"/>
      <c r="BQ4" s="68" t="n"/>
      <c r="BR4" s="68" t="n"/>
      <c r="BS4" s="68" t="n"/>
      <c r="BT4" s="68" t="n"/>
      <c r="BU4" s="68" t="n"/>
      <c r="BV4" s="68" t="n"/>
      <c r="BW4" s="68" t="n"/>
      <c r="BX4" s="68" t="n"/>
      <c r="BY4" s="68" t="n"/>
      <c r="BZ4" s="68" t="n"/>
      <c r="CA4" s="68" t="n"/>
      <c r="CB4" s="68" t="n"/>
      <c r="CC4" s="68" t="n"/>
      <c r="CD4" s="68" t="n"/>
      <c r="CE4" s="68" t="n"/>
      <c r="CF4" s="68" t="n"/>
      <c r="CG4" s="68" t="n"/>
      <c r="CH4" s="68" t="n"/>
      <c r="CI4" s="68" t="n"/>
      <c r="CJ4" s="68" t="n"/>
      <c r="CK4" s="68" t="n"/>
      <c r="CL4" s="68" t="n"/>
      <c r="CM4" s="68" t="n"/>
      <c r="CN4" s="68" t="n"/>
      <c r="CO4" s="68" t="n"/>
      <c r="CP4" s="68" t="n"/>
      <c r="CQ4" s="68" t="n"/>
      <c r="CR4" s="68" t="n"/>
      <c r="CS4" s="68" t="n"/>
      <c r="CT4" s="68" t="n"/>
      <c r="CU4" s="68" t="n"/>
      <c r="CV4" s="68" t="n"/>
      <c r="CW4" s="68" t="n"/>
      <c r="CX4" s="68" t="n"/>
      <c r="CY4" s="68" t="n"/>
      <c r="CZ4" s="68" t="n"/>
      <c r="DA4" s="68" t="n"/>
      <c r="DB4" s="68" t="n"/>
      <c r="DC4" s="68" t="n"/>
      <c r="DD4" s="68" t="n"/>
      <c r="DE4" s="68" t="n"/>
      <c r="DF4" s="68" t="n"/>
      <c r="DG4" s="68" t="n"/>
      <c r="DH4" s="68" t="n"/>
      <c r="DI4" s="68" t="n"/>
      <c r="DJ4" s="68" t="n"/>
      <c r="DK4" s="68" t="n"/>
      <c r="DL4" s="68" t="n"/>
      <c r="DM4" s="68" t="n"/>
      <c r="DN4" s="68" t="n"/>
      <c r="DO4" s="68" t="n"/>
      <c r="DP4" s="68" t="n"/>
      <c r="DQ4" s="68" t="n"/>
      <c r="DR4" s="68" t="n"/>
      <c r="DS4" s="68" t="n"/>
      <c r="DT4" s="68" t="n"/>
      <c r="DU4" s="68" t="n"/>
      <c r="DV4" s="68" t="n"/>
      <c r="DW4" s="68" t="n"/>
      <c r="DX4" s="68" t="n"/>
      <c r="DY4" s="68" t="n"/>
      <c r="DZ4" s="68" t="n"/>
      <c r="EA4" s="68" t="n"/>
      <c r="EB4" s="68" t="n"/>
      <c r="EC4" s="68" t="n"/>
      <c r="ED4" s="68" t="n"/>
      <c r="EE4" s="68" t="n"/>
      <c r="EF4" s="68" t="n"/>
      <c r="EG4" s="68" t="n"/>
      <c r="EH4" s="68" t="n"/>
      <c r="EI4" s="68" t="n"/>
      <c r="EJ4" s="68" t="n"/>
      <c r="EK4" s="68" t="n"/>
      <c r="EL4" s="68" t="n"/>
      <c r="EM4" s="68" t="n"/>
      <c r="EN4" s="68" t="n"/>
      <c r="EO4" s="68" t="n"/>
      <c r="EP4" s="68" t="n"/>
      <c r="EQ4" s="68" t="n"/>
      <c r="ER4" s="68" t="n"/>
      <c r="ES4" s="68" t="n"/>
      <c r="ET4" s="68" t="n"/>
      <c r="EU4" s="68" t="n"/>
      <c r="EV4" s="68" t="n"/>
      <c r="EW4" s="68" t="n"/>
      <c r="EX4" s="68" t="n"/>
      <c r="EY4" s="68" t="n"/>
      <c r="EZ4" s="68" t="n"/>
      <c r="FA4" s="68" t="n"/>
      <c r="FB4" s="68" t="n"/>
      <c r="FC4" s="68" t="n"/>
      <c r="FD4" s="68" t="n"/>
      <c r="FE4" s="68" t="n"/>
      <c r="FF4" s="68" t="n"/>
      <c r="FG4" s="68" t="n"/>
      <c r="FH4" s="68" t="n"/>
      <c r="FI4" s="68" t="n"/>
      <c r="FJ4" s="68" t="n"/>
      <c r="FK4" s="68" t="n"/>
      <c r="FL4" s="68" t="n"/>
      <c r="FM4" s="68" t="n"/>
      <c r="FN4" s="68" t="n"/>
      <c r="FO4" s="68" t="n"/>
      <c r="FP4" s="68" t="n"/>
      <c r="FQ4" s="68" t="n"/>
      <c r="FR4" s="68" t="n"/>
      <c r="FS4" s="68" t="n"/>
      <c r="FT4" s="68" t="n"/>
      <c r="FU4" s="68" t="n"/>
      <c r="FV4" s="68" t="n"/>
      <c r="FW4" s="68" t="n"/>
      <c r="FX4" s="68" t="n"/>
      <c r="FY4" s="68" t="n"/>
      <c r="FZ4" s="68" t="n"/>
      <c r="GA4" s="68" t="n"/>
      <c r="GB4" s="68" t="n"/>
      <c r="GC4" s="68" t="n"/>
      <c r="GD4" s="68" t="n"/>
      <c r="GE4" s="68" t="n"/>
      <c r="GF4" s="68" t="n"/>
      <c r="GG4" s="68" t="n"/>
      <c r="GH4" s="68" t="n"/>
      <c r="GI4" s="68" t="n"/>
      <c r="GJ4" s="68" t="n"/>
      <c r="GK4" s="68" t="n"/>
      <c r="GL4" s="68" t="n"/>
      <c r="GM4" s="68" t="n"/>
      <c r="GN4" s="68" t="n"/>
      <c r="GO4" s="68" t="n"/>
      <c r="GP4" s="68" t="n"/>
      <c r="GQ4" s="68" t="n"/>
      <c r="GR4" s="68" t="n"/>
      <c r="GS4" s="68" t="n"/>
      <c r="GT4" s="68" t="n"/>
      <c r="GU4" s="68" t="n"/>
      <c r="GV4" s="68" t="n"/>
      <c r="GW4" s="68" t="n"/>
      <c r="GX4" s="68" t="n"/>
      <c r="GY4" s="68" t="n"/>
      <c r="GZ4" s="68" t="n"/>
      <c r="HA4" s="68" t="n"/>
      <c r="HB4" s="68" t="n"/>
      <c r="HC4" s="68" t="n"/>
      <c r="HD4" s="68" t="n"/>
      <c r="HE4" s="68" t="n"/>
      <c r="HF4" s="68" t="n"/>
      <c r="HG4" s="68" t="n"/>
      <c r="HH4" s="68" t="n"/>
      <c r="HI4" s="68" t="n"/>
      <c r="HJ4" s="68" t="n"/>
      <c r="HK4" s="68" t="n"/>
      <c r="HL4" s="68" t="n"/>
      <c r="HM4" s="68" t="n"/>
      <c r="HN4" s="68" t="n"/>
      <c r="HO4" s="68" t="n"/>
      <c r="HP4" s="68" t="n"/>
      <c r="HQ4" s="68" t="n"/>
      <c r="HR4" s="68" t="n"/>
      <c r="HS4" s="68" t="n"/>
      <c r="HT4" s="68" t="n"/>
      <c r="HU4" s="68" t="n"/>
      <c r="HV4" s="68" t="n"/>
      <c r="HW4" s="68" t="n"/>
      <c r="HX4" s="68" t="n"/>
      <c r="HY4" s="68" t="n"/>
      <c r="HZ4" s="68" t="n"/>
      <c r="IA4" s="68" t="n"/>
      <c r="IB4" s="68" t="n"/>
      <c r="IC4" s="68" t="n"/>
      <c r="ID4" s="68" t="n"/>
      <c r="IE4" s="68" t="n"/>
      <c r="IF4" s="68" t="n"/>
      <c r="IG4" s="68" t="n"/>
      <c r="IH4" s="68" t="n"/>
      <c r="II4" s="68" t="n"/>
      <c r="IJ4" s="68" t="n"/>
      <c r="IK4" s="68" t="n"/>
      <c r="IL4" s="68" t="n"/>
      <c r="IM4" s="68" t="n"/>
      <c r="IN4" s="68" t="n"/>
    </row>
    <row r="5" ht="42" customHeight="1">
      <c r="A5" s="87" t="inlineStr">
        <is>
          <t>番号</t>
        </is>
      </c>
      <c r="B5" s="87" t="inlineStr">
        <is>
          <t>入力あり</t>
        </is>
      </c>
      <c r="C5" s="87" t="inlineStr">
        <is>
          <t>取得価額</t>
        </is>
      </c>
      <c r="D5" s="87" t="inlineStr">
        <is>
          <t>取得日</t>
        </is>
      </c>
      <c r="E5" s="87" t="inlineStr">
        <is>
          <t>使い始め</t>
        </is>
      </c>
      <c r="F5" s="87" t="inlineStr">
        <is>
          <t>方法(1定額2定率3一括4少額)</t>
        </is>
      </c>
      <c r="G5" s="87" t="inlineStr">
        <is>
          <t>定率の表(200/250)</t>
        </is>
      </c>
      <c r="H5" s="87" t="inlineStr">
        <is>
          <t>耐用年数</t>
        </is>
      </c>
      <c r="I5" s="87" t="inlineStr">
        <is>
          <t>下限(1円/0円)</t>
        </is>
      </c>
      <c r="J5" s="87" t="inlineStr">
        <is>
          <t>償却率</t>
        </is>
      </c>
      <c r="K5" s="87" t="inlineStr">
        <is>
          <t>改定償却率</t>
        </is>
      </c>
      <c r="L5" s="87" t="inlineStr">
        <is>
          <t>保証率</t>
        </is>
      </c>
      <c r="M5" s="87" t="inlineStr">
        <is>
          <t>償却保証額(丸め前)</t>
        </is>
      </c>
      <c r="N5" s="87" t="inlineStr">
        <is>
          <t>事業専用割合</t>
        </is>
      </c>
      <c r="O5" s="87" t="inlineStr">
        <is>
          <t>使い始めの年(年度)</t>
        </is>
      </c>
      <c r="P5" s="87" t="inlineStr">
        <is>
          <t>初年の月数</t>
        </is>
      </c>
      <c r="Q5" s="87" t="inlineStr">
        <is>
          <t>売却・除却日</t>
        </is>
      </c>
      <c r="R5" s="87" t="inlineStr">
        <is>
          <t>売却・除却は何年目</t>
        </is>
      </c>
      <c r="S5" s="87" t="inlineStr">
        <is>
          <t>その年の月数</t>
        </is>
      </c>
      <c r="T5" s="87" t="inlineStr">
        <is>
          <t>入力の誤り(番号)</t>
        </is>
      </c>
      <c r="U5" s="87" t="inlineStr">
        <is>
          <t>計算する</t>
        </is>
      </c>
      <c r="V5" s="87" t="inlineStr">
        <is>
          <t>表示年は何年目</t>
        </is>
      </c>
      <c r="W5" s="87" t="inlineStr">
        <is>
          <t>表示年に存在</t>
        </is>
      </c>
      <c r="X5" s="87" t="inlineStr">
        <is>
          <t>期首</t>
        </is>
      </c>
      <c r="Y5" s="87" t="inlineStr">
        <is>
          <t>期末</t>
        </is>
      </c>
      <c r="Z5" s="87" t="inlineStr">
        <is>
          <t>償却費</t>
        </is>
      </c>
      <c r="AA5" s="87" t="inlineStr">
        <is>
          <t>改定取得価額</t>
        </is>
      </c>
      <c r="AB5" s="87" t="inlineStr">
        <is>
          <t>月数</t>
        </is>
      </c>
      <c r="AC5" s="87" t="inlineStr">
        <is>
          <t>経費にする額</t>
        </is>
      </c>
      <c r="AD5" s="87" t="inlineStr">
        <is>
          <t>この年に売却</t>
        </is>
      </c>
      <c r="AE5" s="87" t="inlineStr">
        <is>
          <t>前の年までに売却</t>
        </is>
      </c>
      <c r="AF5" s="87" t="inlineStr">
        <is>
          <t>転記に出す</t>
        </is>
      </c>
      <c r="AG5" s="87" t="inlineStr">
        <is>
          <t>転記の順番</t>
        </is>
      </c>
      <c r="AH5" s="87" t="inlineStr">
        <is>
          <t>誤り</t>
        </is>
      </c>
      <c r="AI5" s="87" t="inlineStr">
        <is>
          <t>注意</t>
        </is>
      </c>
      <c r="AJ5" s="87" t="inlineStr">
        <is>
          <t>参考</t>
        </is>
      </c>
      <c r="AK5" s="87" t="inlineStr">
        <is>
          <t>状態</t>
        </is>
      </c>
      <c r="AL5" s="87" t="inlineStr">
        <is>
          <t>少額特例(この年)</t>
        </is>
      </c>
      <c r="AM5" s="87" t="inlineStr">
        <is>
          <t>償却保証額(表示)</t>
        </is>
      </c>
      <c r="AN5" s="87" t="inlineStr">
        <is>
          <t>(ロ)償却の基礎</t>
        </is>
      </c>
      <c r="AO5" s="87" t="inlineStr">
        <is>
          <t>(ハ)率</t>
        </is>
      </c>
      <c r="AP5" s="68" t="n"/>
      <c r="AQ5" s="68" t="n"/>
      <c r="AR5" s="68" t="n"/>
      <c r="AS5" s="88" t="inlineStr">
        <is>
          <t>E0</t>
        </is>
      </c>
      <c r="AT5" s="88" t="inlineStr">
        <is>
          <t>E1</t>
        </is>
      </c>
      <c r="AU5" s="88" t="inlineStr">
        <is>
          <t>E2</t>
        </is>
      </c>
      <c r="AV5" s="88" t="inlineStr">
        <is>
          <t>E3</t>
        </is>
      </c>
      <c r="AW5" s="88" t="inlineStr">
        <is>
          <t>E4</t>
        </is>
      </c>
      <c r="AX5" s="88" t="inlineStr">
        <is>
          <t>E5</t>
        </is>
      </c>
      <c r="AY5" s="88" t="inlineStr">
        <is>
          <t>E6</t>
        </is>
      </c>
      <c r="AZ5" s="88" t="inlineStr">
        <is>
          <t>E7</t>
        </is>
      </c>
      <c r="BA5" s="88" t="inlineStr">
        <is>
          <t>E8</t>
        </is>
      </c>
      <c r="BB5" s="88" t="inlineStr">
        <is>
          <t>E9</t>
        </is>
      </c>
      <c r="BC5" s="88" t="inlineStr">
        <is>
          <t>E10</t>
        </is>
      </c>
      <c r="BD5" s="88" t="inlineStr">
        <is>
          <t>E11</t>
        </is>
      </c>
      <c r="BE5" s="88" t="inlineStr">
        <is>
          <t>E12</t>
        </is>
      </c>
      <c r="BF5" s="88" t="inlineStr">
        <is>
          <t>E13</t>
        </is>
      </c>
      <c r="BG5" s="88" t="inlineStr">
        <is>
          <t>E14</t>
        </is>
      </c>
      <c r="BH5" s="88" t="inlineStr">
        <is>
          <t>E15</t>
        </is>
      </c>
      <c r="BI5" s="88" t="inlineStr">
        <is>
          <t>E16</t>
        </is>
      </c>
      <c r="BJ5" s="88" t="inlineStr">
        <is>
          <t>E17</t>
        </is>
      </c>
      <c r="BK5" s="88" t="inlineStr">
        <is>
          <t>E18</t>
        </is>
      </c>
      <c r="BL5" s="88" t="inlineStr">
        <is>
          <t>E19</t>
        </is>
      </c>
      <c r="BM5" s="88" t="inlineStr">
        <is>
          <t>E20</t>
        </is>
      </c>
      <c r="BN5" s="88" t="inlineStr">
        <is>
          <t>E21</t>
        </is>
      </c>
      <c r="BO5" s="88" t="inlineStr">
        <is>
          <t>E22</t>
        </is>
      </c>
      <c r="BP5" s="88" t="inlineStr">
        <is>
          <t>E23</t>
        </is>
      </c>
      <c r="BQ5" s="88" t="inlineStr">
        <is>
          <t>E24</t>
        </is>
      </c>
      <c r="BR5" s="88" t="inlineStr">
        <is>
          <t>E25</t>
        </is>
      </c>
      <c r="BS5" s="88" t="inlineStr">
        <is>
          <t>E26</t>
        </is>
      </c>
      <c r="BT5" s="88" t="inlineStr">
        <is>
          <t>E27</t>
        </is>
      </c>
      <c r="BU5" s="88" t="inlineStr">
        <is>
          <t>E28</t>
        </is>
      </c>
      <c r="BV5" s="88" t="inlineStr">
        <is>
          <t>E29</t>
        </is>
      </c>
      <c r="BW5" s="88" t="inlineStr">
        <is>
          <t>E30</t>
        </is>
      </c>
      <c r="BX5" s="88" t="inlineStr">
        <is>
          <t>E31</t>
        </is>
      </c>
      <c r="BY5" s="88" t="inlineStr">
        <is>
          <t>E32</t>
        </is>
      </c>
      <c r="BZ5" s="88" t="inlineStr">
        <is>
          <t>E33</t>
        </is>
      </c>
      <c r="CA5" s="88" t="inlineStr">
        <is>
          <t>E34</t>
        </is>
      </c>
      <c r="CB5" s="88" t="inlineStr">
        <is>
          <t>E35</t>
        </is>
      </c>
      <c r="CC5" s="88" t="inlineStr">
        <is>
          <t>E36</t>
        </is>
      </c>
      <c r="CD5" s="88" t="inlineStr">
        <is>
          <t>E37</t>
        </is>
      </c>
      <c r="CE5" s="88" t="inlineStr">
        <is>
          <t>E38</t>
        </is>
      </c>
      <c r="CF5" s="88" t="inlineStr">
        <is>
          <t>E39</t>
        </is>
      </c>
      <c r="CG5" s="88" t="inlineStr">
        <is>
          <t>E40</t>
        </is>
      </c>
      <c r="CH5" s="88" t="inlineStr">
        <is>
          <t>E41</t>
        </is>
      </c>
      <c r="CI5" s="88" t="inlineStr">
        <is>
          <t>E42</t>
        </is>
      </c>
      <c r="CJ5" s="88" t="inlineStr">
        <is>
          <t>E43</t>
        </is>
      </c>
      <c r="CK5" s="88" t="inlineStr">
        <is>
          <t>E44</t>
        </is>
      </c>
      <c r="CL5" s="88" t="inlineStr">
        <is>
          <t>E45</t>
        </is>
      </c>
      <c r="CM5" s="88" t="inlineStr">
        <is>
          <t>E46</t>
        </is>
      </c>
      <c r="CN5" s="88" t="inlineStr">
        <is>
          <t>E47</t>
        </is>
      </c>
      <c r="CO5" s="88" t="inlineStr">
        <is>
          <t>E48</t>
        </is>
      </c>
      <c r="CP5" s="88" t="inlineStr">
        <is>
          <t>E49</t>
        </is>
      </c>
      <c r="CQ5" s="88" t="inlineStr">
        <is>
          <t>E50</t>
        </is>
      </c>
      <c r="CR5" s="88" t="inlineStr">
        <is>
          <t>E51</t>
        </is>
      </c>
      <c r="CS5" s="88" t="inlineStr">
        <is>
          <t>E52</t>
        </is>
      </c>
      <c r="CT5" s="88" t="inlineStr">
        <is>
          <t>E53</t>
        </is>
      </c>
      <c r="CU5" s="88" t="inlineStr">
        <is>
          <t>E54</t>
        </is>
      </c>
      <c r="CV5" s="88" t="inlineStr">
        <is>
          <t>E55</t>
        </is>
      </c>
      <c r="CW5" s="88" t="inlineStr">
        <is>
          <t>E56</t>
        </is>
      </c>
      <c r="CX5" s="88" t="inlineStr">
        <is>
          <t>E57</t>
        </is>
      </c>
      <c r="CY5" s="88" t="inlineStr">
        <is>
          <t>E58</t>
        </is>
      </c>
      <c r="CZ5" s="88" t="inlineStr">
        <is>
          <t>E59</t>
        </is>
      </c>
      <c r="DA5" s="88" t="inlineStr">
        <is>
          <t>E60</t>
        </is>
      </c>
      <c r="DB5" s="88" t="inlineStr">
        <is>
          <t>E61</t>
        </is>
      </c>
      <c r="DC5" s="88" t="inlineStr">
        <is>
          <t>E62</t>
        </is>
      </c>
      <c r="DD5" s="88" t="inlineStr">
        <is>
          <t>E63</t>
        </is>
      </c>
      <c r="DE5" s="88" t="inlineStr">
        <is>
          <t>E64</t>
        </is>
      </c>
      <c r="DF5" s="88" t="inlineStr">
        <is>
          <t>E65</t>
        </is>
      </c>
      <c r="DG5" s="88" t="inlineStr">
        <is>
          <t>E66</t>
        </is>
      </c>
      <c r="DH5" s="88" t="inlineStr">
        <is>
          <t>E67</t>
        </is>
      </c>
      <c r="DI5" s="88" t="inlineStr">
        <is>
          <t>E68</t>
        </is>
      </c>
      <c r="DJ5" s="88" t="inlineStr">
        <is>
          <t>E69</t>
        </is>
      </c>
      <c r="DK5" s="88" t="inlineStr">
        <is>
          <t>E70</t>
        </is>
      </c>
      <c r="DL5" s="88" t="inlineStr">
        <is>
          <t>E71</t>
        </is>
      </c>
      <c r="DM5" s="88" t="inlineStr">
        <is>
          <t>E72</t>
        </is>
      </c>
      <c r="DN5" s="88" t="inlineStr">
        <is>
          <t>E73</t>
        </is>
      </c>
      <c r="DO5" s="88" t="inlineStr">
        <is>
          <t>E74</t>
        </is>
      </c>
      <c r="DP5" s="88" t="inlineStr">
        <is>
          <t>E75</t>
        </is>
      </c>
      <c r="DQ5" s="88" t="inlineStr">
        <is>
          <t>E76</t>
        </is>
      </c>
      <c r="DR5" s="88" t="inlineStr">
        <is>
          <t>E77</t>
        </is>
      </c>
      <c r="DS5" s="88" t="inlineStr">
        <is>
          <t>E78</t>
        </is>
      </c>
      <c r="DT5" s="88" t="inlineStr">
        <is>
          <t>E79</t>
        </is>
      </c>
      <c r="DU5" s="88" t="inlineStr">
        <is>
          <t>E80</t>
        </is>
      </c>
      <c r="DV5" s="88" t="inlineStr">
        <is>
          <t>E81</t>
        </is>
      </c>
      <c r="DW5" s="88" t="inlineStr">
        <is>
          <t>E82</t>
        </is>
      </c>
      <c r="DX5" s="88" t="inlineStr">
        <is>
          <t>E83</t>
        </is>
      </c>
      <c r="DY5" s="88" t="inlineStr">
        <is>
          <t>E84</t>
        </is>
      </c>
      <c r="DZ5" s="88" t="inlineStr">
        <is>
          <t>E85</t>
        </is>
      </c>
      <c r="EA5" s="88" t="inlineStr">
        <is>
          <t>E86</t>
        </is>
      </c>
      <c r="EB5" s="88" t="inlineStr">
        <is>
          <t>E87</t>
        </is>
      </c>
      <c r="EC5" s="88" t="inlineStr">
        <is>
          <t>E88</t>
        </is>
      </c>
      <c r="ED5" s="88" t="inlineStr">
        <is>
          <t>E89</t>
        </is>
      </c>
      <c r="EE5" s="88" t="inlineStr">
        <is>
          <t>E90</t>
        </is>
      </c>
      <c r="EF5" s="88" t="inlineStr">
        <is>
          <t>E91</t>
        </is>
      </c>
      <c r="EG5" s="88" t="inlineStr">
        <is>
          <t>E92</t>
        </is>
      </c>
      <c r="EH5" s="88" t="inlineStr">
        <is>
          <t>E93</t>
        </is>
      </c>
      <c r="EI5" s="88" t="inlineStr">
        <is>
          <t>E94</t>
        </is>
      </c>
      <c r="EJ5" s="88" t="inlineStr">
        <is>
          <t>E95</t>
        </is>
      </c>
      <c r="EK5" s="88" t="inlineStr">
        <is>
          <t>E96</t>
        </is>
      </c>
      <c r="EL5" s="88" t="inlineStr">
        <is>
          <t>E97</t>
        </is>
      </c>
      <c r="EM5" s="88" t="inlineStr">
        <is>
          <t>E98</t>
        </is>
      </c>
      <c r="EN5" s="88" t="inlineStr">
        <is>
          <t>E99</t>
        </is>
      </c>
      <c r="EO5" s="88" t="inlineStr">
        <is>
          <t>E100</t>
        </is>
      </c>
      <c r="EP5" s="88" t="inlineStr">
        <is>
          <t>E101</t>
        </is>
      </c>
      <c r="EQ5" s="68" t="n"/>
      <c r="ER5" s="87" t="inlineStr">
        <is>
          <t>R1</t>
        </is>
      </c>
      <c r="ES5" s="87" t="inlineStr">
        <is>
          <t>R2</t>
        </is>
      </c>
      <c r="ET5" s="87" t="inlineStr">
        <is>
          <t>R3</t>
        </is>
      </c>
      <c r="EU5" s="87" t="inlineStr">
        <is>
          <t>R4</t>
        </is>
      </c>
      <c r="EV5" s="87" t="inlineStr">
        <is>
          <t>R5</t>
        </is>
      </c>
      <c r="EW5" s="87" t="inlineStr">
        <is>
          <t>R6</t>
        </is>
      </c>
      <c r="EX5" s="87" t="inlineStr">
        <is>
          <t>R7</t>
        </is>
      </c>
      <c r="EY5" s="87" t="inlineStr">
        <is>
          <t>R8</t>
        </is>
      </c>
      <c r="EZ5" s="87" t="inlineStr">
        <is>
          <t>R9</t>
        </is>
      </c>
      <c r="FA5" s="87" t="inlineStr">
        <is>
          <t>R10</t>
        </is>
      </c>
      <c r="FB5" s="87" t="inlineStr">
        <is>
          <t>R11</t>
        </is>
      </c>
      <c r="FC5" s="87" t="inlineStr">
        <is>
          <t>R12</t>
        </is>
      </c>
      <c r="FD5" s="87" t="inlineStr">
        <is>
          <t>R13</t>
        </is>
      </c>
      <c r="FE5" s="87" t="inlineStr">
        <is>
          <t>R14</t>
        </is>
      </c>
      <c r="FF5" s="87" t="inlineStr">
        <is>
          <t>R15</t>
        </is>
      </c>
      <c r="FG5" s="87" t="inlineStr">
        <is>
          <t>R16</t>
        </is>
      </c>
      <c r="FH5" s="87" t="inlineStr">
        <is>
          <t>R17</t>
        </is>
      </c>
      <c r="FI5" s="87" t="inlineStr">
        <is>
          <t>R18</t>
        </is>
      </c>
      <c r="FJ5" s="87" t="inlineStr">
        <is>
          <t>R19</t>
        </is>
      </c>
      <c r="FK5" s="87" t="inlineStr">
        <is>
          <t>R20</t>
        </is>
      </c>
      <c r="FL5" s="87" t="inlineStr">
        <is>
          <t>R21</t>
        </is>
      </c>
      <c r="FM5" s="87" t="inlineStr">
        <is>
          <t>R22</t>
        </is>
      </c>
      <c r="FN5" s="87" t="inlineStr">
        <is>
          <t>R23</t>
        </is>
      </c>
      <c r="FO5" s="87" t="inlineStr">
        <is>
          <t>R24</t>
        </is>
      </c>
      <c r="FP5" s="87" t="inlineStr">
        <is>
          <t>R25</t>
        </is>
      </c>
      <c r="FQ5" s="87" t="inlineStr">
        <is>
          <t>R26</t>
        </is>
      </c>
      <c r="FR5" s="87" t="inlineStr">
        <is>
          <t>R27</t>
        </is>
      </c>
      <c r="FS5" s="87" t="inlineStr">
        <is>
          <t>R28</t>
        </is>
      </c>
      <c r="FT5" s="87" t="inlineStr">
        <is>
          <t>R29</t>
        </is>
      </c>
      <c r="FU5" s="87" t="inlineStr">
        <is>
          <t>R30</t>
        </is>
      </c>
      <c r="FV5" s="87" t="inlineStr">
        <is>
          <t>R31</t>
        </is>
      </c>
      <c r="FW5" s="87" t="inlineStr">
        <is>
          <t>R32</t>
        </is>
      </c>
      <c r="FX5" s="87" t="inlineStr">
        <is>
          <t>R33</t>
        </is>
      </c>
      <c r="FY5" s="87" t="inlineStr">
        <is>
          <t>R34</t>
        </is>
      </c>
      <c r="FZ5" s="87" t="inlineStr">
        <is>
          <t>R35</t>
        </is>
      </c>
      <c r="GA5" s="87" t="inlineStr">
        <is>
          <t>R36</t>
        </is>
      </c>
      <c r="GB5" s="87" t="inlineStr">
        <is>
          <t>R37</t>
        </is>
      </c>
      <c r="GC5" s="87" t="inlineStr">
        <is>
          <t>R38</t>
        </is>
      </c>
      <c r="GD5" s="87" t="inlineStr">
        <is>
          <t>R39</t>
        </is>
      </c>
      <c r="GE5" s="87" t="inlineStr">
        <is>
          <t>R40</t>
        </is>
      </c>
      <c r="GF5" s="87" t="inlineStr">
        <is>
          <t>R41</t>
        </is>
      </c>
      <c r="GG5" s="87" t="inlineStr">
        <is>
          <t>R42</t>
        </is>
      </c>
      <c r="GH5" s="87" t="inlineStr">
        <is>
          <t>R43</t>
        </is>
      </c>
      <c r="GI5" s="87" t="inlineStr">
        <is>
          <t>R44</t>
        </is>
      </c>
      <c r="GJ5" s="87" t="inlineStr">
        <is>
          <t>R45</t>
        </is>
      </c>
      <c r="GK5" s="87" t="inlineStr">
        <is>
          <t>R46</t>
        </is>
      </c>
      <c r="GL5" s="87" t="inlineStr">
        <is>
          <t>R47</t>
        </is>
      </c>
      <c r="GM5" s="87" t="inlineStr">
        <is>
          <t>R48</t>
        </is>
      </c>
      <c r="GN5" s="87" t="inlineStr">
        <is>
          <t>R49</t>
        </is>
      </c>
      <c r="GO5" s="87" t="inlineStr">
        <is>
          <t>R50</t>
        </is>
      </c>
      <c r="GP5" s="87" t="inlineStr">
        <is>
          <t>R51</t>
        </is>
      </c>
      <c r="GQ5" s="87" t="inlineStr">
        <is>
          <t>R52</t>
        </is>
      </c>
      <c r="GR5" s="87" t="inlineStr">
        <is>
          <t>R53</t>
        </is>
      </c>
      <c r="GS5" s="87" t="inlineStr">
        <is>
          <t>R54</t>
        </is>
      </c>
      <c r="GT5" s="87" t="inlineStr">
        <is>
          <t>R55</t>
        </is>
      </c>
      <c r="GU5" s="87" t="inlineStr">
        <is>
          <t>R56</t>
        </is>
      </c>
      <c r="GV5" s="87" t="inlineStr">
        <is>
          <t>R57</t>
        </is>
      </c>
      <c r="GW5" s="87" t="inlineStr">
        <is>
          <t>R58</t>
        </is>
      </c>
      <c r="GX5" s="87" t="inlineStr">
        <is>
          <t>R59</t>
        </is>
      </c>
      <c r="GY5" s="87" t="inlineStr">
        <is>
          <t>R60</t>
        </is>
      </c>
      <c r="GZ5" s="87" t="inlineStr">
        <is>
          <t>R61</t>
        </is>
      </c>
      <c r="HA5" s="87" t="inlineStr">
        <is>
          <t>R62</t>
        </is>
      </c>
      <c r="HB5" s="87" t="inlineStr">
        <is>
          <t>R63</t>
        </is>
      </c>
      <c r="HC5" s="87" t="inlineStr">
        <is>
          <t>R64</t>
        </is>
      </c>
      <c r="HD5" s="87" t="inlineStr">
        <is>
          <t>R65</t>
        </is>
      </c>
      <c r="HE5" s="87" t="inlineStr">
        <is>
          <t>R66</t>
        </is>
      </c>
      <c r="HF5" s="87" t="inlineStr">
        <is>
          <t>R67</t>
        </is>
      </c>
      <c r="HG5" s="87" t="inlineStr">
        <is>
          <t>R68</t>
        </is>
      </c>
      <c r="HH5" s="87" t="inlineStr">
        <is>
          <t>R69</t>
        </is>
      </c>
      <c r="HI5" s="87" t="inlineStr">
        <is>
          <t>R70</t>
        </is>
      </c>
      <c r="HJ5" s="87" t="inlineStr">
        <is>
          <t>R71</t>
        </is>
      </c>
      <c r="HK5" s="87" t="inlineStr">
        <is>
          <t>R72</t>
        </is>
      </c>
      <c r="HL5" s="87" t="inlineStr">
        <is>
          <t>R73</t>
        </is>
      </c>
      <c r="HM5" s="87" t="inlineStr">
        <is>
          <t>R74</t>
        </is>
      </c>
      <c r="HN5" s="87" t="inlineStr">
        <is>
          <t>R75</t>
        </is>
      </c>
      <c r="HO5" s="87" t="inlineStr">
        <is>
          <t>R76</t>
        </is>
      </c>
      <c r="HP5" s="87" t="inlineStr">
        <is>
          <t>R77</t>
        </is>
      </c>
      <c r="HQ5" s="87" t="inlineStr">
        <is>
          <t>R78</t>
        </is>
      </c>
      <c r="HR5" s="87" t="inlineStr">
        <is>
          <t>R79</t>
        </is>
      </c>
      <c r="HS5" s="87" t="inlineStr">
        <is>
          <t>R80</t>
        </is>
      </c>
      <c r="HT5" s="87" t="inlineStr">
        <is>
          <t>R81</t>
        </is>
      </c>
      <c r="HU5" s="87" t="inlineStr">
        <is>
          <t>R82</t>
        </is>
      </c>
      <c r="HV5" s="87" t="inlineStr">
        <is>
          <t>R83</t>
        </is>
      </c>
      <c r="HW5" s="87" t="inlineStr">
        <is>
          <t>R84</t>
        </is>
      </c>
      <c r="HX5" s="87" t="inlineStr">
        <is>
          <t>R85</t>
        </is>
      </c>
      <c r="HY5" s="87" t="inlineStr">
        <is>
          <t>R86</t>
        </is>
      </c>
      <c r="HZ5" s="87" t="inlineStr">
        <is>
          <t>R87</t>
        </is>
      </c>
      <c r="IA5" s="87" t="inlineStr">
        <is>
          <t>R88</t>
        </is>
      </c>
      <c r="IB5" s="87" t="inlineStr">
        <is>
          <t>R89</t>
        </is>
      </c>
      <c r="IC5" s="87" t="inlineStr">
        <is>
          <t>R90</t>
        </is>
      </c>
      <c r="ID5" s="87" t="inlineStr">
        <is>
          <t>R91</t>
        </is>
      </c>
      <c r="IE5" s="87" t="inlineStr">
        <is>
          <t>R92</t>
        </is>
      </c>
      <c r="IF5" s="87" t="inlineStr">
        <is>
          <t>R93</t>
        </is>
      </c>
      <c r="IG5" s="87" t="inlineStr">
        <is>
          <t>R94</t>
        </is>
      </c>
      <c r="IH5" s="87" t="inlineStr">
        <is>
          <t>R95</t>
        </is>
      </c>
      <c r="II5" s="87" t="inlineStr">
        <is>
          <t>R96</t>
        </is>
      </c>
      <c r="IJ5" s="87" t="inlineStr">
        <is>
          <t>R97</t>
        </is>
      </c>
      <c r="IK5" s="87" t="inlineStr">
        <is>
          <t>R98</t>
        </is>
      </c>
      <c r="IL5" s="87" t="inlineStr">
        <is>
          <t>R99</t>
        </is>
      </c>
      <c r="IM5" s="87" t="inlineStr">
        <is>
          <t>R100</t>
        </is>
      </c>
      <c r="IN5" s="87" t="inlineStr">
        <is>
          <t>R101</t>
        </is>
      </c>
    </row>
    <row r="6">
      <c r="A6" s="68" t="n">
        <v>1</v>
      </c>
      <c r="B6" s="68">
        <f>IF(OR(TRIM('固定資産台帳'!$B6)&lt;&gt;"",'固定資産台帳'!$E6&lt;&gt;"",'固定資産台帳'!$G6&lt;&gt;"",'固定資産台帳'!$H6&lt;&gt;""),1,0)</f>
        <v/>
      </c>
      <c r="C6" s="68">
        <f>IF(ISNUMBER('固定資産台帳'!$G6),MAX(ROUND('固定資産台帳'!$G6,0),0),0)</f>
        <v/>
      </c>
      <c r="D6" s="84">
        <f>IF(ISNUMBER('固定資産台帳'!$E6),INT('固定資産台帳'!$E6),0)</f>
        <v/>
      </c>
      <c r="E6" s="84">
        <f>IF(ISNUMBER('固定資産台帳'!$F6),INT('固定資産台帳'!$F6),$D6)</f>
        <v/>
      </c>
      <c r="F6" s="68">
        <f>IF('固定資産台帳'!$H6="定額法",1,IF(OR('固定資産台帳'!$H6="定率法",'固定資産台帳'!$H6="定率法（200%）",'固定資産台帳'!$H6="定率法（250%）"),2,IF('固定資産台帳'!$H6="一括償却（3年）",3,IF('固定資産台帳'!$H6="少額特例",4,0))))</f>
        <v/>
      </c>
      <c r="G6" s="68">
        <f>IF('固定資産台帳'!$H6="定率法（250%）",250,IF('固定資産台帳'!$H6="定率法（200%）",200,IF($D6&gt;=DATE(2012,4,1),200,250)))</f>
        <v/>
      </c>
      <c r="H6" s="68">
        <f>IF(ISNUMBER('固定資産台帳'!$I6),IF(AND('固定資産台帳'!$I6&gt;=2,'固定資産台帳'!$I6&lt;=100,'固定資産台帳'!$I6=INT('固定資産台帳'!$I6)),'固定資産台帳'!$I6,0),0)</f>
        <v/>
      </c>
      <c r="I6" s="68">
        <f>IF('固定資産台帳'!$C6="無形固定資産",0,1)</f>
        <v/>
      </c>
      <c r="J6" s="68">
        <f>IF(OR($H6=0,$F6=0,$F6&gt;2),0,IF($F6=1,INDEX('償却率表'!$B$6:$B$104,$H6-1),IF($G6=200,INDEX('償却率表'!$C$6:$C$104,$H6-1),INDEX('償却率表'!$F$6:$F$104,$H6-1))))</f>
        <v/>
      </c>
      <c r="K6" s="68">
        <f>IF(AND($F6=2,$H6&gt;0),IF($G6=200,INDEX('償却率表'!$D$6:$D$104,$H6-1),INDEX('償却率表'!$G$6:$G$104,$H6-1)),0)</f>
        <v/>
      </c>
      <c r="L6" s="68">
        <f>IF(AND($F6=2,$H6&gt;0),IF($G6=200,INDEX('償却率表'!$E$6:$E$104,$H6-1),INDEX('償却率表'!$H$6:$H$104,$H6-1)),0)</f>
        <v/>
      </c>
      <c r="M6" s="68">
        <f>$C6*$L6</f>
        <v/>
      </c>
      <c r="N6" s="68">
        <f>IF($B$1=1,1,IF('固定資産台帳'!$J6="",1,IF(ISNUMBER('固定資産台帳'!$J6),IF(AND('固定資産台帳'!$J6&gt;0,'固定資産台帳'!$J6&lt;=1),'固定資産台帳'!$J6,0),0)))</f>
        <v/>
      </c>
      <c r="O6" s="68">
        <f>IF($E6=0,0,YEAR($E6)-IF(MONTH($E6)&lt;$B$2,1,0))</f>
        <v/>
      </c>
      <c r="P6" s="68">
        <f>IF($E6=0,0,12-MOD(MONTH($E6)-$B$2,12))</f>
        <v/>
      </c>
      <c r="Q6" s="84">
        <f>IF(ISNUMBER('固定資産台帳'!$K6),INT('固定資産台帳'!$K6),0)</f>
        <v/>
      </c>
      <c r="R6" s="68">
        <f>IF(OR($Q6=0,$E6=0),999,YEAR($Q6)-IF(MONTH($Q6)&lt;$B$2,1,0)-$O6)</f>
        <v/>
      </c>
      <c r="S6" s="68">
        <f>IF($R6=999,0,MOD(MONTH($Q6)-$B$2,12)+1-IF($R6=0,12-$P6,0))</f>
        <v/>
      </c>
      <c r="T6" s="68">
        <f>IF($B6=0,0,IF($C6&lt;=0,1,IF($D6=0,2,IF($F6=0,3,IF(AND($F6&lt;=2,$H6=0),4,IF(AND($F6&lt;=2,$D6&lt;DATE(2007,4,1)),5,IF($E6&lt;$D6,6,IF(AND($Q6&gt;0,$Q6&lt;$E6),7,IF($N6=0,8,IF($B$3=0,9,0))))))))))</f>
        <v/>
      </c>
      <c r="U6" s="68">
        <f>IF(AND($B6=1,$T6=0),1,0)</f>
        <v/>
      </c>
      <c r="V6" s="68">
        <f>$B$3-$O6</f>
        <v/>
      </c>
      <c r="W6" s="68">
        <f>IF(AND($U6=1,$V6&gt;=0),1,0)</f>
        <v/>
      </c>
      <c r="X6" s="68">
        <f>IF($W6=0,0,IF($V6=0,$C6,INDEX($AS6:$EP6,MIN($V6,102))))</f>
        <v/>
      </c>
      <c r="Y6" s="68">
        <f>IF($W6=0,0,INDEX($AS6:$EP6,MIN($V6,101)+1))</f>
        <v/>
      </c>
      <c r="Z6" s="68">
        <f>$X6-$Y6</f>
        <v/>
      </c>
      <c r="AA6" s="68">
        <f>IF(AND($W6=1,$F6=2,$V6&gt;=1),INDEX($ER6:$IN6,MIN($V6,101)),0)</f>
        <v/>
      </c>
      <c r="AB6" s="68">
        <f>IF(OR($W6=0,$F6&gt;2,$Z6=0),0,IF($V6=0,IF($R6=0,$S6,$P6),IF($V6=$R6,$S6,12)))</f>
        <v/>
      </c>
      <c r="AC6" s="68">
        <f>IF($W6=0,0,INT(ROUND($Z6*$N6,6)+$B$4))</f>
        <v/>
      </c>
      <c r="AD6" s="68">
        <f>IF(AND($W6=1,$F6&lt;=2,$V6=$R6),1,0)</f>
        <v/>
      </c>
      <c r="AE6" s="68">
        <f>IF(AND($W6=1,$F6&lt;=2,$V6&gt;$R6),1,0)</f>
        <v/>
      </c>
      <c r="AF6" s="68">
        <f>IF(AND($W6=1,$AE6=0,OR($Z6&gt;0,$AD6=1)),1,0)</f>
        <v/>
      </c>
      <c r="AG6" s="68">
        <f>IF($AF6=1,SUM($AF$6:$AF6),0)</f>
        <v/>
      </c>
      <c r="AH6" s="68">
        <f>IF($T6=0,"",CHOOSE($T6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6" s="68">
        <f>IF(AND($F6=2,OR('固定資産台帳'!$C6="建物",'固定資産台帳'!$C6="無形固定資産",AND(OR('固定資産台帳'!$C6="建物附属設備",'固定資産台帳'!$C6="構築物"),$D6&gt;=DATE(2016,4,1)))),"この資産は定額法だけです（定率法は使えません）。","")&amp;IF(AND($F6=3,$C6&gt;=200000),"一括償却は20万円未満の資産だけです。","")&amp;IF(AND($F6=3,$B$1=0,$C6&lt;100000),"10万円未満は一括償却にせず、全額をその年の経費にします。","")&amp;IF(AND($F6=4,$C6&lt;100000),"10万円未満は少額特例ではなく、全額をその年の経費にします。","")&amp;IF(AND($F6=4,$D6&lt;DATE(2026,4,1),$C6&gt;=300000),"2026年3月31日までの取得で少額特例が使えるのは30万円未満です。","")&amp;IF(AND($F6=4,$D6&gt;=DATE(2026,4,1),$C6&gt;=400000),"少額特例は40万円未満の資産だけです。","")&amp;IF(AND($F6=4,OR($D6&lt;DATE(2006,4,1),$D6&gt;DATE(2029,3,31))),"少額特例は2006年4月1日〜2029年3月31日に取得した資産だけです。","")&amp;IF(AND($F6=2,$G6=250,$D6&gt;DATE(2012,12,31)),"250%定率法は2012年12月31日までの取得だけです。","")</f>
        <v/>
      </c>
      <c r="AJ6" s="68">
        <f>IF(AND($F6=2,'固定資産台帳'!$H6="定率法（200%）",$D6&lt;DATE(2012,4,1)),"2012年3月31日までの取得に200%を使うのは、経過措置の届出をした場合です。","")&amp;IF(AND($F6=2,'固定資産台帳'!$H6="定率法（250%）",$D6&gt;=DATE(2012,4,1),$D6&lt;=DATE(2012,12,31)),"2012年4〜12月の取得に250%を使うのは、経過措置を選んだ場合です。","")</f>
        <v/>
      </c>
      <c r="AK6" s="68">
        <f>IF($U6=0,"",IF($V6&lt;0,"表示している年より後に使い始める資産です。",IF($AE6=1,"売却・除却済みです。",IF($AD6=1,"この年に売却・除却。期末の帳簿価額 "&amp;TEXT($Y6,"#,##0")&amp;"円を帳簿から外します。",IF($F6=4,IF($V6=0,"少額特例：この年に全額を経費にします。","少額特例で経費にした資産です。"),IF($F6=3,IF($V6&gt;2,"一括償却は終わっています。","一括償却 "&amp;($V6+1)&amp;"年目（3年のうち）。"),IF($Z6=0,"償却済み（帳簿価額 "&amp;TEXT($Y6,"#,##0")&amp;"円）。",IF($AA6&gt;0,"改定償却率で計算（改定取得価額 "&amp;TEXT($AA6,"#,##0")&amp;"円）。",IF($V6=0,"この年に使い始め（"&amp;$AB6&amp;"か月分）。","")))))))))</f>
        <v/>
      </c>
      <c r="AL6" s="68">
        <f>IF(AND($U6=1,$F6=4,$V6=0),$C6,0)</f>
        <v/>
      </c>
      <c r="AM6" s="68">
        <f>IF($F6=2,INT(ROUND($M6,6)+$B$4),0)</f>
        <v/>
      </c>
      <c r="AN6" s="68">
        <f>IF($W6=0,0,IF($F6=2,IF($AA6&gt;0,$AA6,$X6),$C6))</f>
        <v/>
      </c>
      <c r="AO6" s="68">
        <f>IF($W6=0,"",IF($F6=3,"1/3",IF($F6=4,"―",IF($AA6&gt;0,$K6,$J6))))</f>
        <v/>
      </c>
      <c r="AP6" s="68" t="n"/>
      <c r="AQ6" s="68" t="n"/>
      <c r="AR6" s="68" t="n"/>
      <c r="AS6" s="68">
        <f>IF($U6=0,0,IF($F6=4,0,IF($F6=3,MAX($C6-INT(ROUND($C6/3,6)+$B$4),0),$C6-MIN(INT(ROUND($C6*$J6*IF($R6=0,$S6,$P6)/12,6)+$B$4),MAX($C6-$I6,0)))))</f>
        <v/>
      </c>
      <c r="AT6" s="68">
        <f>IF($U6=0,0,IF($F6=4,0,IF($F6=3,AS6-MIN(INT(ROUND($C6/3,6)+$B$4),AS6),IF(OR(1&gt;$R6,AS6&lt;=$I6),AS6,AS6-MIN(INT(ROUND(IF($F6=1,$C6*$J6,IF(ER6&gt;0,ER6*$K6,AS6*$J6))*IF(1=$R6,$S6,12)/12,6)+$B$4),AS6-$I6)))))</f>
        <v/>
      </c>
      <c r="AU6" s="68">
        <f>IF($U6=0,0,IF($F6=4,0,IF($F6=3,0,IF(OR(2&gt;$R6,AT6&lt;=$I6),AT6,AT6-MIN(INT(ROUND(IF($F6=1,$C6*$J6,IF(ES6&gt;0,ES6*$K6,AT6*$J6))*IF(2=$R6,$S6,12)/12,6)+$B$4),AT6-$I6)))))</f>
        <v/>
      </c>
      <c r="AV6" s="68">
        <f>IF($U6=0,0,IF($F6=4,0,IF($F6=3,0,IF(OR(3&gt;$R6,AU6&lt;=$I6),AU6,AU6-MIN(INT(ROUND(IF($F6=1,$C6*$J6,IF(ET6&gt;0,ET6*$K6,AU6*$J6))*IF(3=$R6,$S6,12)/12,6)+$B$4),AU6-$I6)))))</f>
        <v/>
      </c>
      <c r="AW6" s="68">
        <f>IF($U6=0,0,IF($F6=4,0,IF($F6=3,0,IF(OR(4&gt;$R6,AV6&lt;=$I6),AV6,AV6-MIN(INT(ROUND(IF($F6=1,$C6*$J6,IF(EU6&gt;0,EU6*$K6,AV6*$J6))*IF(4=$R6,$S6,12)/12,6)+$B$4),AV6-$I6)))))</f>
        <v/>
      </c>
      <c r="AX6" s="68">
        <f>IF($U6=0,0,IF($F6=4,0,IF($F6=3,0,IF(OR(5&gt;$R6,AW6&lt;=$I6),AW6,AW6-MIN(INT(ROUND(IF($F6=1,$C6*$J6,IF(EV6&gt;0,EV6*$K6,AW6*$J6))*IF(5=$R6,$S6,12)/12,6)+$B$4),AW6-$I6)))))</f>
        <v/>
      </c>
      <c r="AY6" s="68">
        <f>IF($U6=0,0,IF($F6=4,0,IF($F6=3,0,IF(OR(6&gt;$R6,AX6&lt;=$I6),AX6,AX6-MIN(INT(ROUND(IF($F6=1,$C6*$J6,IF(EW6&gt;0,EW6*$K6,AX6*$J6))*IF(6=$R6,$S6,12)/12,6)+$B$4),AX6-$I6)))))</f>
        <v/>
      </c>
      <c r="AZ6" s="68">
        <f>IF($U6=0,0,IF($F6=4,0,IF($F6=3,0,IF(OR(7&gt;$R6,AY6&lt;=$I6),AY6,AY6-MIN(INT(ROUND(IF($F6=1,$C6*$J6,IF(EX6&gt;0,EX6*$K6,AY6*$J6))*IF(7=$R6,$S6,12)/12,6)+$B$4),AY6-$I6)))))</f>
        <v/>
      </c>
      <c r="BA6" s="68">
        <f>IF($U6=0,0,IF($F6=4,0,IF($F6=3,0,IF(OR(8&gt;$R6,AZ6&lt;=$I6),AZ6,AZ6-MIN(INT(ROUND(IF($F6=1,$C6*$J6,IF(EY6&gt;0,EY6*$K6,AZ6*$J6))*IF(8=$R6,$S6,12)/12,6)+$B$4),AZ6-$I6)))))</f>
        <v/>
      </c>
      <c r="BB6" s="68">
        <f>IF($U6=0,0,IF($F6=4,0,IF($F6=3,0,IF(OR(9&gt;$R6,BA6&lt;=$I6),BA6,BA6-MIN(INT(ROUND(IF($F6=1,$C6*$J6,IF(EZ6&gt;0,EZ6*$K6,BA6*$J6))*IF(9=$R6,$S6,12)/12,6)+$B$4),BA6-$I6)))))</f>
        <v/>
      </c>
      <c r="BC6" s="68">
        <f>IF($U6=0,0,IF($F6=4,0,IF($F6=3,0,IF(OR(10&gt;$R6,BB6&lt;=$I6),BB6,BB6-MIN(INT(ROUND(IF($F6=1,$C6*$J6,IF(FA6&gt;0,FA6*$K6,BB6*$J6))*IF(10=$R6,$S6,12)/12,6)+$B$4),BB6-$I6)))))</f>
        <v/>
      </c>
      <c r="BD6" s="68">
        <f>IF($U6=0,0,IF($F6=4,0,IF($F6=3,0,IF(OR(11&gt;$R6,BC6&lt;=$I6),BC6,BC6-MIN(INT(ROUND(IF($F6=1,$C6*$J6,IF(FB6&gt;0,FB6*$K6,BC6*$J6))*IF(11=$R6,$S6,12)/12,6)+$B$4),BC6-$I6)))))</f>
        <v/>
      </c>
      <c r="BE6" s="68">
        <f>IF($U6=0,0,IF($F6=4,0,IF($F6=3,0,IF(OR(12&gt;$R6,BD6&lt;=$I6),BD6,BD6-MIN(INT(ROUND(IF($F6=1,$C6*$J6,IF(FC6&gt;0,FC6*$K6,BD6*$J6))*IF(12=$R6,$S6,12)/12,6)+$B$4),BD6-$I6)))))</f>
        <v/>
      </c>
      <c r="BF6" s="68">
        <f>IF($U6=0,0,IF($F6=4,0,IF($F6=3,0,IF(OR(13&gt;$R6,BE6&lt;=$I6),BE6,BE6-MIN(INT(ROUND(IF($F6=1,$C6*$J6,IF(FD6&gt;0,FD6*$K6,BE6*$J6))*IF(13=$R6,$S6,12)/12,6)+$B$4),BE6-$I6)))))</f>
        <v/>
      </c>
      <c r="BG6" s="68">
        <f>IF($U6=0,0,IF($F6=4,0,IF($F6=3,0,IF(OR(14&gt;$R6,BF6&lt;=$I6),BF6,BF6-MIN(INT(ROUND(IF($F6=1,$C6*$J6,IF(FE6&gt;0,FE6*$K6,BF6*$J6))*IF(14=$R6,$S6,12)/12,6)+$B$4),BF6-$I6)))))</f>
        <v/>
      </c>
      <c r="BH6" s="68">
        <f>IF($U6=0,0,IF($F6=4,0,IF($F6=3,0,IF(OR(15&gt;$R6,BG6&lt;=$I6),BG6,BG6-MIN(INT(ROUND(IF($F6=1,$C6*$J6,IF(FF6&gt;0,FF6*$K6,BG6*$J6))*IF(15=$R6,$S6,12)/12,6)+$B$4),BG6-$I6)))))</f>
        <v/>
      </c>
      <c r="BI6" s="68">
        <f>IF($U6=0,0,IF($F6=4,0,IF($F6=3,0,IF(OR(16&gt;$R6,BH6&lt;=$I6),BH6,BH6-MIN(INT(ROUND(IF($F6=1,$C6*$J6,IF(FG6&gt;0,FG6*$K6,BH6*$J6))*IF(16=$R6,$S6,12)/12,6)+$B$4),BH6-$I6)))))</f>
        <v/>
      </c>
      <c r="BJ6" s="68">
        <f>IF($U6=0,0,IF($F6=4,0,IF($F6=3,0,IF(OR(17&gt;$R6,BI6&lt;=$I6),BI6,BI6-MIN(INT(ROUND(IF($F6=1,$C6*$J6,IF(FH6&gt;0,FH6*$K6,BI6*$J6))*IF(17=$R6,$S6,12)/12,6)+$B$4),BI6-$I6)))))</f>
        <v/>
      </c>
      <c r="BK6" s="68">
        <f>IF($U6=0,0,IF($F6=4,0,IF($F6=3,0,IF(OR(18&gt;$R6,BJ6&lt;=$I6),BJ6,BJ6-MIN(INT(ROUND(IF($F6=1,$C6*$J6,IF(FI6&gt;0,FI6*$K6,BJ6*$J6))*IF(18=$R6,$S6,12)/12,6)+$B$4),BJ6-$I6)))))</f>
        <v/>
      </c>
      <c r="BL6" s="68">
        <f>IF($U6=0,0,IF($F6=4,0,IF($F6=3,0,IF(OR(19&gt;$R6,BK6&lt;=$I6),BK6,BK6-MIN(INT(ROUND(IF($F6=1,$C6*$J6,IF(FJ6&gt;0,FJ6*$K6,BK6*$J6))*IF(19=$R6,$S6,12)/12,6)+$B$4),BK6-$I6)))))</f>
        <v/>
      </c>
      <c r="BM6" s="68">
        <f>IF($U6=0,0,IF($F6=4,0,IF($F6=3,0,IF(OR(20&gt;$R6,BL6&lt;=$I6),BL6,BL6-MIN(INT(ROUND(IF($F6=1,$C6*$J6,IF(FK6&gt;0,FK6*$K6,BL6*$J6))*IF(20=$R6,$S6,12)/12,6)+$B$4),BL6-$I6)))))</f>
        <v/>
      </c>
      <c r="BN6" s="68">
        <f>IF($U6=0,0,IF($F6=4,0,IF($F6=3,0,IF(OR(21&gt;$R6,BM6&lt;=$I6),BM6,BM6-MIN(INT(ROUND(IF($F6=1,$C6*$J6,IF(FL6&gt;0,FL6*$K6,BM6*$J6))*IF(21=$R6,$S6,12)/12,6)+$B$4),BM6-$I6)))))</f>
        <v/>
      </c>
      <c r="BO6" s="68">
        <f>IF($U6=0,0,IF($F6=4,0,IF($F6=3,0,IF(OR(22&gt;$R6,BN6&lt;=$I6),BN6,BN6-MIN(INT(ROUND(IF($F6=1,$C6*$J6,IF(FM6&gt;0,FM6*$K6,BN6*$J6))*IF(22=$R6,$S6,12)/12,6)+$B$4),BN6-$I6)))))</f>
        <v/>
      </c>
      <c r="BP6" s="68">
        <f>IF($U6=0,0,IF($F6=4,0,IF($F6=3,0,IF(OR(23&gt;$R6,BO6&lt;=$I6),BO6,BO6-MIN(INT(ROUND(IF($F6=1,$C6*$J6,IF(FN6&gt;0,FN6*$K6,BO6*$J6))*IF(23=$R6,$S6,12)/12,6)+$B$4),BO6-$I6)))))</f>
        <v/>
      </c>
      <c r="BQ6" s="68">
        <f>IF($U6=0,0,IF($F6=4,0,IF($F6=3,0,IF(OR(24&gt;$R6,BP6&lt;=$I6),BP6,BP6-MIN(INT(ROUND(IF($F6=1,$C6*$J6,IF(FO6&gt;0,FO6*$K6,BP6*$J6))*IF(24=$R6,$S6,12)/12,6)+$B$4),BP6-$I6)))))</f>
        <v/>
      </c>
      <c r="BR6" s="68">
        <f>IF($U6=0,0,IF($F6=4,0,IF($F6=3,0,IF(OR(25&gt;$R6,BQ6&lt;=$I6),BQ6,BQ6-MIN(INT(ROUND(IF($F6=1,$C6*$J6,IF(FP6&gt;0,FP6*$K6,BQ6*$J6))*IF(25=$R6,$S6,12)/12,6)+$B$4),BQ6-$I6)))))</f>
        <v/>
      </c>
      <c r="BS6" s="68">
        <f>IF($U6=0,0,IF($F6=4,0,IF($F6=3,0,IF(OR(26&gt;$R6,BR6&lt;=$I6),BR6,BR6-MIN(INT(ROUND(IF($F6=1,$C6*$J6,IF(FQ6&gt;0,FQ6*$K6,BR6*$J6))*IF(26=$R6,$S6,12)/12,6)+$B$4),BR6-$I6)))))</f>
        <v/>
      </c>
      <c r="BT6" s="68">
        <f>IF($U6=0,0,IF($F6=4,0,IF($F6=3,0,IF(OR(27&gt;$R6,BS6&lt;=$I6),BS6,BS6-MIN(INT(ROUND(IF($F6=1,$C6*$J6,IF(FR6&gt;0,FR6*$K6,BS6*$J6))*IF(27=$R6,$S6,12)/12,6)+$B$4),BS6-$I6)))))</f>
        <v/>
      </c>
      <c r="BU6" s="68">
        <f>IF($U6=0,0,IF($F6=4,0,IF($F6=3,0,IF(OR(28&gt;$R6,BT6&lt;=$I6),BT6,BT6-MIN(INT(ROUND(IF($F6=1,$C6*$J6,IF(FS6&gt;0,FS6*$K6,BT6*$J6))*IF(28=$R6,$S6,12)/12,6)+$B$4),BT6-$I6)))))</f>
        <v/>
      </c>
      <c r="BV6" s="68">
        <f>IF($U6=0,0,IF($F6=4,0,IF($F6=3,0,IF(OR(29&gt;$R6,BU6&lt;=$I6),BU6,BU6-MIN(INT(ROUND(IF($F6=1,$C6*$J6,IF(FT6&gt;0,FT6*$K6,BU6*$J6))*IF(29=$R6,$S6,12)/12,6)+$B$4),BU6-$I6)))))</f>
        <v/>
      </c>
      <c r="BW6" s="68">
        <f>IF($U6=0,0,IF($F6=4,0,IF($F6=3,0,IF(OR(30&gt;$R6,BV6&lt;=$I6),BV6,BV6-MIN(INT(ROUND(IF($F6=1,$C6*$J6,IF(FU6&gt;0,FU6*$K6,BV6*$J6))*IF(30=$R6,$S6,12)/12,6)+$B$4),BV6-$I6)))))</f>
        <v/>
      </c>
      <c r="BX6" s="68">
        <f>IF($U6=0,0,IF($F6=4,0,IF($F6=3,0,IF(OR(31&gt;$R6,BW6&lt;=$I6),BW6,BW6-MIN(INT(ROUND(IF($F6=1,$C6*$J6,IF(FV6&gt;0,FV6*$K6,BW6*$J6))*IF(31=$R6,$S6,12)/12,6)+$B$4),BW6-$I6)))))</f>
        <v/>
      </c>
      <c r="BY6" s="68">
        <f>IF($U6=0,0,IF($F6=4,0,IF($F6=3,0,IF(OR(32&gt;$R6,BX6&lt;=$I6),BX6,BX6-MIN(INT(ROUND(IF($F6=1,$C6*$J6,IF(FW6&gt;0,FW6*$K6,BX6*$J6))*IF(32=$R6,$S6,12)/12,6)+$B$4),BX6-$I6)))))</f>
        <v/>
      </c>
      <c r="BZ6" s="68">
        <f>IF($U6=0,0,IF($F6=4,0,IF($F6=3,0,IF(OR(33&gt;$R6,BY6&lt;=$I6),BY6,BY6-MIN(INT(ROUND(IF($F6=1,$C6*$J6,IF(FX6&gt;0,FX6*$K6,BY6*$J6))*IF(33=$R6,$S6,12)/12,6)+$B$4),BY6-$I6)))))</f>
        <v/>
      </c>
      <c r="CA6" s="68">
        <f>IF($U6=0,0,IF($F6=4,0,IF($F6=3,0,IF(OR(34&gt;$R6,BZ6&lt;=$I6),BZ6,BZ6-MIN(INT(ROUND(IF($F6=1,$C6*$J6,IF(FY6&gt;0,FY6*$K6,BZ6*$J6))*IF(34=$R6,$S6,12)/12,6)+$B$4),BZ6-$I6)))))</f>
        <v/>
      </c>
      <c r="CB6" s="68">
        <f>IF($U6=0,0,IF($F6=4,0,IF($F6=3,0,IF(OR(35&gt;$R6,CA6&lt;=$I6),CA6,CA6-MIN(INT(ROUND(IF($F6=1,$C6*$J6,IF(FZ6&gt;0,FZ6*$K6,CA6*$J6))*IF(35=$R6,$S6,12)/12,6)+$B$4),CA6-$I6)))))</f>
        <v/>
      </c>
      <c r="CC6" s="68">
        <f>IF($U6=0,0,IF($F6=4,0,IF($F6=3,0,IF(OR(36&gt;$R6,CB6&lt;=$I6),CB6,CB6-MIN(INT(ROUND(IF($F6=1,$C6*$J6,IF(GA6&gt;0,GA6*$K6,CB6*$J6))*IF(36=$R6,$S6,12)/12,6)+$B$4),CB6-$I6)))))</f>
        <v/>
      </c>
      <c r="CD6" s="68">
        <f>IF($U6=0,0,IF($F6=4,0,IF($F6=3,0,IF(OR(37&gt;$R6,CC6&lt;=$I6),CC6,CC6-MIN(INT(ROUND(IF($F6=1,$C6*$J6,IF(GB6&gt;0,GB6*$K6,CC6*$J6))*IF(37=$R6,$S6,12)/12,6)+$B$4),CC6-$I6)))))</f>
        <v/>
      </c>
      <c r="CE6" s="68">
        <f>IF($U6=0,0,IF($F6=4,0,IF($F6=3,0,IF(OR(38&gt;$R6,CD6&lt;=$I6),CD6,CD6-MIN(INT(ROUND(IF($F6=1,$C6*$J6,IF(GC6&gt;0,GC6*$K6,CD6*$J6))*IF(38=$R6,$S6,12)/12,6)+$B$4),CD6-$I6)))))</f>
        <v/>
      </c>
      <c r="CF6" s="68">
        <f>IF($U6=0,0,IF($F6=4,0,IF($F6=3,0,IF(OR(39&gt;$R6,CE6&lt;=$I6),CE6,CE6-MIN(INT(ROUND(IF($F6=1,$C6*$J6,IF(GD6&gt;0,GD6*$K6,CE6*$J6))*IF(39=$R6,$S6,12)/12,6)+$B$4),CE6-$I6)))))</f>
        <v/>
      </c>
      <c r="CG6" s="68">
        <f>IF($U6=0,0,IF($F6=4,0,IF($F6=3,0,IF(OR(40&gt;$R6,CF6&lt;=$I6),CF6,CF6-MIN(INT(ROUND(IF($F6=1,$C6*$J6,IF(GE6&gt;0,GE6*$K6,CF6*$J6))*IF(40=$R6,$S6,12)/12,6)+$B$4),CF6-$I6)))))</f>
        <v/>
      </c>
      <c r="CH6" s="68">
        <f>IF($U6=0,0,IF($F6=4,0,IF($F6=3,0,IF(OR(41&gt;$R6,CG6&lt;=$I6),CG6,CG6-MIN(INT(ROUND(IF($F6=1,$C6*$J6,IF(GF6&gt;0,GF6*$K6,CG6*$J6))*IF(41=$R6,$S6,12)/12,6)+$B$4),CG6-$I6)))))</f>
        <v/>
      </c>
      <c r="CI6" s="68">
        <f>IF($U6=0,0,IF($F6=4,0,IF($F6=3,0,IF(OR(42&gt;$R6,CH6&lt;=$I6),CH6,CH6-MIN(INT(ROUND(IF($F6=1,$C6*$J6,IF(GG6&gt;0,GG6*$K6,CH6*$J6))*IF(42=$R6,$S6,12)/12,6)+$B$4),CH6-$I6)))))</f>
        <v/>
      </c>
      <c r="CJ6" s="68">
        <f>IF($U6=0,0,IF($F6=4,0,IF($F6=3,0,IF(OR(43&gt;$R6,CI6&lt;=$I6),CI6,CI6-MIN(INT(ROUND(IF($F6=1,$C6*$J6,IF(GH6&gt;0,GH6*$K6,CI6*$J6))*IF(43=$R6,$S6,12)/12,6)+$B$4),CI6-$I6)))))</f>
        <v/>
      </c>
      <c r="CK6" s="68">
        <f>IF($U6=0,0,IF($F6=4,0,IF($F6=3,0,IF(OR(44&gt;$R6,CJ6&lt;=$I6),CJ6,CJ6-MIN(INT(ROUND(IF($F6=1,$C6*$J6,IF(GI6&gt;0,GI6*$K6,CJ6*$J6))*IF(44=$R6,$S6,12)/12,6)+$B$4),CJ6-$I6)))))</f>
        <v/>
      </c>
      <c r="CL6" s="68">
        <f>IF($U6=0,0,IF($F6=4,0,IF($F6=3,0,IF(OR(45&gt;$R6,CK6&lt;=$I6),CK6,CK6-MIN(INT(ROUND(IF($F6=1,$C6*$J6,IF(GJ6&gt;0,GJ6*$K6,CK6*$J6))*IF(45=$R6,$S6,12)/12,6)+$B$4),CK6-$I6)))))</f>
        <v/>
      </c>
      <c r="CM6" s="68">
        <f>IF($U6=0,0,IF($F6=4,0,IF($F6=3,0,IF(OR(46&gt;$R6,CL6&lt;=$I6),CL6,CL6-MIN(INT(ROUND(IF($F6=1,$C6*$J6,IF(GK6&gt;0,GK6*$K6,CL6*$J6))*IF(46=$R6,$S6,12)/12,6)+$B$4),CL6-$I6)))))</f>
        <v/>
      </c>
      <c r="CN6" s="68">
        <f>IF($U6=0,0,IF($F6=4,0,IF($F6=3,0,IF(OR(47&gt;$R6,CM6&lt;=$I6),CM6,CM6-MIN(INT(ROUND(IF($F6=1,$C6*$J6,IF(GL6&gt;0,GL6*$K6,CM6*$J6))*IF(47=$R6,$S6,12)/12,6)+$B$4),CM6-$I6)))))</f>
        <v/>
      </c>
      <c r="CO6" s="68">
        <f>IF($U6=0,0,IF($F6=4,0,IF($F6=3,0,IF(OR(48&gt;$R6,CN6&lt;=$I6),CN6,CN6-MIN(INT(ROUND(IF($F6=1,$C6*$J6,IF(GM6&gt;0,GM6*$K6,CN6*$J6))*IF(48=$R6,$S6,12)/12,6)+$B$4),CN6-$I6)))))</f>
        <v/>
      </c>
      <c r="CP6" s="68">
        <f>IF($U6=0,0,IF($F6=4,0,IF($F6=3,0,IF(OR(49&gt;$R6,CO6&lt;=$I6),CO6,CO6-MIN(INT(ROUND(IF($F6=1,$C6*$J6,IF(GN6&gt;0,GN6*$K6,CO6*$J6))*IF(49=$R6,$S6,12)/12,6)+$B$4),CO6-$I6)))))</f>
        <v/>
      </c>
      <c r="CQ6" s="68">
        <f>IF($U6=0,0,IF($F6=4,0,IF($F6=3,0,IF(OR(50&gt;$R6,CP6&lt;=$I6),CP6,CP6-MIN(INT(ROUND(IF($F6=1,$C6*$J6,IF(GO6&gt;0,GO6*$K6,CP6*$J6))*IF(50=$R6,$S6,12)/12,6)+$B$4),CP6-$I6)))))</f>
        <v/>
      </c>
      <c r="CR6" s="68">
        <f>IF($U6=0,0,IF($F6=4,0,IF($F6=3,0,IF(OR(51&gt;$R6,CQ6&lt;=$I6),CQ6,CQ6-MIN(INT(ROUND(IF($F6=1,$C6*$J6,IF(GP6&gt;0,GP6*$K6,CQ6*$J6))*IF(51=$R6,$S6,12)/12,6)+$B$4),CQ6-$I6)))))</f>
        <v/>
      </c>
      <c r="CS6" s="68">
        <f>IF($U6=0,0,IF($F6=4,0,IF($F6=3,0,IF(OR(52&gt;$R6,CR6&lt;=$I6),CR6,CR6-MIN(INT(ROUND(IF($F6=1,$C6*$J6,IF(GQ6&gt;0,GQ6*$K6,CR6*$J6))*IF(52=$R6,$S6,12)/12,6)+$B$4),CR6-$I6)))))</f>
        <v/>
      </c>
      <c r="CT6" s="68">
        <f>IF($U6=0,0,IF($F6=4,0,IF($F6=3,0,IF(OR(53&gt;$R6,CS6&lt;=$I6),CS6,CS6-MIN(INT(ROUND(IF($F6=1,$C6*$J6,IF(GR6&gt;0,GR6*$K6,CS6*$J6))*IF(53=$R6,$S6,12)/12,6)+$B$4),CS6-$I6)))))</f>
        <v/>
      </c>
      <c r="CU6" s="68">
        <f>IF($U6=0,0,IF($F6=4,0,IF($F6=3,0,IF(OR(54&gt;$R6,CT6&lt;=$I6),CT6,CT6-MIN(INT(ROUND(IF($F6=1,$C6*$J6,IF(GS6&gt;0,GS6*$K6,CT6*$J6))*IF(54=$R6,$S6,12)/12,6)+$B$4),CT6-$I6)))))</f>
        <v/>
      </c>
      <c r="CV6" s="68">
        <f>IF($U6=0,0,IF($F6=4,0,IF($F6=3,0,IF(OR(55&gt;$R6,CU6&lt;=$I6),CU6,CU6-MIN(INT(ROUND(IF($F6=1,$C6*$J6,IF(GT6&gt;0,GT6*$K6,CU6*$J6))*IF(55=$R6,$S6,12)/12,6)+$B$4),CU6-$I6)))))</f>
        <v/>
      </c>
      <c r="CW6" s="68">
        <f>IF($U6=0,0,IF($F6=4,0,IF($F6=3,0,IF(OR(56&gt;$R6,CV6&lt;=$I6),CV6,CV6-MIN(INT(ROUND(IF($F6=1,$C6*$J6,IF(GU6&gt;0,GU6*$K6,CV6*$J6))*IF(56=$R6,$S6,12)/12,6)+$B$4),CV6-$I6)))))</f>
        <v/>
      </c>
      <c r="CX6" s="68">
        <f>IF($U6=0,0,IF($F6=4,0,IF($F6=3,0,IF(OR(57&gt;$R6,CW6&lt;=$I6),CW6,CW6-MIN(INT(ROUND(IF($F6=1,$C6*$J6,IF(GV6&gt;0,GV6*$K6,CW6*$J6))*IF(57=$R6,$S6,12)/12,6)+$B$4),CW6-$I6)))))</f>
        <v/>
      </c>
      <c r="CY6" s="68">
        <f>IF($U6=0,0,IF($F6=4,0,IF($F6=3,0,IF(OR(58&gt;$R6,CX6&lt;=$I6),CX6,CX6-MIN(INT(ROUND(IF($F6=1,$C6*$J6,IF(GW6&gt;0,GW6*$K6,CX6*$J6))*IF(58=$R6,$S6,12)/12,6)+$B$4),CX6-$I6)))))</f>
        <v/>
      </c>
      <c r="CZ6" s="68">
        <f>IF($U6=0,0,IF($F6=4,0,IF($F6=3,0,IF(OR(59&gt;$R6,CY6&lt;=$I6),CY6,CY6-MIN(INT(ROUND(IF($F6=1,$C6*$J6,IF(GX6&gt;0,GX6*$K6,CY6*$J6))*IF(59=$R6,$S6,12)/12,6)+$B$4),CY6-$I6)))))</f>
        <v/>
      </c>
      <c r="DA6" s="68">
        <f>IF($U6=0,0,IF($F6=4,0,IF($F6=3,0,IF(OR(60&gt;$R6,CZ6&lt;=$I6),CZ6,CZ6-MIN(INT(ROUND(IF($F6=1,$C6*$J6,IF(GY6&gt;0,GY6*$K6,CZ6*$J6))*IF(60=$R6,$S6,12)/12,6)+$B$4),CZ6-$I6)))))</f>
        <v/>
      </c>
      <c r="DB6" s="68">
        <f>IF($U6=0,0,IF($F6=4,0,IF($F6=3,0,IF(OR(61&gt;$R6,DA6&lt;=$I6),DA6,DA6-MIN(INT(ROUND(IF($F6=1,$C6*$J6,IF(GZ6&gt;0,GZ6*$K6,DA6*$J6))*IF(61=$R6,$S6,12)/12,6)+$B$4),DA6-$I6)))))</f>
        <v/>
      </c>
      <c r="DC6" s="68">
        <f>IF($U6=0,0,IF($F6=4,0,IF($F6=3,0,IF(OR(62&gt;$R6,DB6&lt;=$I6),DB6,DB6-MIN(INT(ROUND(IF($F6=1,$C6*$J6,IF(HA6&gt;0,HA6*$K6,DB6*$J6))*IF(62=$R6,$S6,12)/12,6)+$B$4),DB6-$I6)))))</f>
        <v/>
      </c>
      <c r="DD6" s="68">
        <f>IF($U6=0,0,IF($F6=4,0,IF($F6=3,0,IF(OR(63&gt;$R6,DC6&lt;=$I6),DC6,DC6-MIN(INT(ROUND(IF($F6=1,$C6*$J6,IF(HB6&gt;0,HB6*$K6,DC6*$J6))*IF(63=$R6,$S6,12)/12,6)+$B$4),DC6-$I6)))))</f>
        <v/>
      </c>
      <c r="DE6" s="68">
        <f>IF($U6=0,0,IF($F6=4,0,IF($F6=3,0,IF(OR(64&gt;$R6,DD6&lt;=$I6),DD6,DD6-MIN(INT(ROUND(IF($F6=1,$C6*$J6,IF(HC6&gt;0,HC6*$K6,DD6*$J6))*IF(64=$R6,$S6,12)/12,6)+$B$4),DD6-$I6)))))</f>
        <v/>
      </c>
      <c r="DF6" s="68">
        <f>IF($U6=0,0,IF($F6=4,0,IF($F6=3,0,IF(OR(65&gt;$R6,DE6&lt;=$I6),DE6,DE6-MIN(INT(ROUND(IF($F6=1,$C6*$J6,IF(HD6&gt;0,HD6*$K6,DE6*$J6))*IF(65=$R6,$S6,12)/12,6)+$B$4),DE6-$I6)))))</f>
        <v/>
      </c>
      <c r="DG6" s="68">
        <f>IF($U6=0,0,IF($F6=4,0,IF($F6=3,0,IF(OR(66&gt;$R6,DF6&lt;=$I6),DF6,DF6-MIN(INT(ROUND(IF($F6=1,$C6*$J6,IF(HE6&gt;0,HE6*$K6,DF6*$J6))*IF(66=$R6,$S6,12)/12,6)+$B$4),DF6-$I6)))))</f>
        <v/>
      </c>
      <c r="DH6" s="68">
        <f>IF($U6=0,0,IF($F6=4,0,IF($F6=3,0,IF(OR(67&gt;$R6,DG6&lt;=$I6),DG6,DG6-MIN(INT(ROUND(IF($F6=1,$C6*$J6,IF(HF6&gt;0,HF6*$K6,DG6*$J6))*IF(67=$R6,$S6,12)/12,6)+$B$4),DG6-$I6)))))</f>
        <v/>
      </c>
      <c r="DI6" s="68">
        <f>IF($U6=0,0,IF($F6=4,0,IF($F6=3,0,IF(OR(68&gt;$R6,DH6&lt;=$I6),DH6,DH6-MIN(INT(ROUND(IF($F6=1,$C6*$J6,IF(HG6&gt;0,HG6*$K6,DH6*$J6))*IF(68=$R6,$S6,12)/12,6)+$B$4),DH6-$I6)))))</f>
        <v/>
      </c>
      <c r="DJ6" s="68">
        <f>IF($U6=0,0,IF($F6=4,0,IF($F6=3,0,IF(OR(69&gt;$R6,DI6&lt;=$I6),DI6,DI6-MIN(INT(ROUND(IF($F6=1,$C6*$J6,IF(HH6&gt;0,HH6*$K6,DI6*$J6))*IF(69=$R6,$S6,12)/12,6)+$B$4),DI6-$I6)))))</f>
        <v/>
      </c>
      <c r="DK6" s="68">
        <f>IF($U6=0,0,IF($F6=4,0,IF($F6=3,0,IF(OR(70&gt;$R6,DJ6&lt;=$I6),DJ6,DJ6-MIN(INT(ROUND(IF($F6=1,$C6*$J6,IF(HI6&gt;0,HI6*$K6,DJ6*$J6))*IF(70=$R6,$S6,12)/12,6)+$B$4),DJ6-$I6)))))</f>
        <v/>
      </c>
      <c r="DL6" s="68">
        <f>IF($U6=0,0,IF($F6=4,0,IF($F6=3,0,IF(OR(71&gt;$R6,DK6&lt;=$I6),DK6,DK6-MIN(INT(ROUND(IF($F6=1,$C6*$J6,IF(HJ6&gt;0,HJ6*$K6,DK6*$J6))*IF(71=$R6,$S6,12)/12,6)+$B$4),DK6-$I6)))))</f>
        <v/>
      </c>
      <c r="DM6" s="68">
        <f>IF($U6=0,0,IF($F6=4,0,IF($F6=3,0,IF(OR(72&gt;$R6,DL6&lt;=$I6),DL6,DL6-MIN(INT(ROUND(IF($F6=1,$C6*$J6,IF(HK6&gt;0,HK6*$K6,DL6*$J6))*IF(72=$R6,$S6,12)/12,6)+$B$4),DL6-$I6)))))</f>
        <v/>
      </c>
      <c r="DN6" s="68">
        <f>IF($U6=0,0,IF($F6=4,0,IF($F6=3,0,IF(OR(73&gt;$R6,DM6&lt;=$I6),DM6,DM6-MIN(INT(ROUND(IF($F6=1,$C6*$J6,IF(HL6&gt;0,HL6*$K6,DM6*$J6))*IF(73=$R6,$S6,12)/12,6)+$B$4),DM6-$I6)))))</f>
        <v/>
      </c>
      <c r="DO6" s="68">
        <f>IF($U6=0,0,IF($F6=4,0,IF($F6=3,0,IF(OR(74&gt;$R6,DN6&lt;=$I6),DN6,DN6-MIN(INT(ROUND(IF($F6=1,$C6*$J6,IF(HM6&gt;0,HM6*$K6,DN6*$J6))*IF(74=$R6,$S6,12)/12,6)+$B$4),DN6-$I6)))))</f>
        <v/>
      </c>
      <c r="DP6" s="68">
        <f>IF($U6=0,0,IF($F6=4,0,IF($F6=3,0,IF(OR(75&gt;$R6,DO6&lt;=$I6),DO6,DO6-MIN(INT(ROUND(IF($F6=1,$C6*$J6,IF(HN6&gt;0,HN6*$K6,DO6*$J6))*IF(75=$R6,$S6,12)/12,6)+$B$4),DO6-$I6)))))</f>
        <v/>
      </c>
      <c r="DQ6" s="68">
        <f>IF($U6=0,0,IF($F6=4,0,IF($F6=3,0,IF(OR(76&gt;$R6,DP6&lt;=$I6),DP6,DP6-MIN(INT(ROUND(IF($F6=1,$C6*$J6,IF(HO6&gt;0,HO6*$K6,DP6*$J6))*IF(76=$R6,$S6,12)/12,6)+$B$4),DP6-$I6)))))</f>
        <v/>
      </c>
      <c r="DR6" s="68">
        <f>IF($U6=0,0,IF($F6=4,0,IF($F6=3,0,IF(OR(77&gt;$R6,DQ6&lt;=$I6),DQ6,DQ6-MIN(INT(ROUND(IF($F6=1,$C6*$J6,IF(HP6&gt;0,HP6*$K6,DQ6*$J6))*IF(77=$R6,$S6,12)/12,6)+$B$4),DQ6-$I6)))))</f>
        <v/>
      </c>
      <c r="DS6" s="68">
        <f>IF($U6=0,0,IF($F6=4,0,IF($F6=3,0,IF(OR(78&gt;$R6,DR6&lt;=$I6),DR6,DR6-MIN(INT(ROUND(IF($F6=1,$C6*$J6,IF(HQ6&gt;0,HQ6*$K6,DR6*$J6))*IF(78=$R6,$S6,12)/12,6)+$B$4),DR6-$I6)))))</f>
        <v/>
      </c>
      <c r="DT6" s="68">
        <f>IF($U6=0,0,IF($F6=4,0,IF($F6=3,0,IF(OR(79&gt;$R6,DS6&lt;=$I6),DS6,DS6-MIN(INT(ROUND(IF($F6=1,$C6*$J6,IF(HR6&gt;0,HR6*$K6,DS6*$J6))*IF(79=$R6,$S6,12)/12,6)+$B$4),DS6-$I6)))))</f>
        <v/>
      </c>
      <c r="DU6" s="68">
        <f>IF($U6=0,0,IF($F6=4,0,IF($F6=3,0,IF(OR(80&gt;$R6,DT6&lt;=$I6),DT6,DT6-MIN(INT(ROUND(IF($F6=1,$C6*$J6,IF(HS6&gt;0,HS6*$K6,DT6*$J6))*IF(80=$R6,$S6,12)/12,6)+$B$4),DT6-$I6)))))</f>
        <v/>
      </c>
      <c r="DV6" s="68">
        <f>IF($U6=0,0,IF($F6=4,0,IF($F6=3,0,IF(OR(81&gt;$R6,DU6&lt;=$I6),DU6,DU6-MIN(INT(ROUND(IF($F6=1,$C6*$J6,IF(HT6&gt;0,HT6*$K6,DU6*$J6))*IF(81=$R6,$S6,12)/12,6)+$B$4),DU6-$I6)))))</f>
        <v/>
      </c>
      <c r="DW6" s="68">
        <f>IF($U6=0,0,IF($F6=4,0,IF($F6=3,0,IF(OR(82&gt;$R6,DV6&lt;=$I6),DV6,DV6-MIN(INT(ROUND(IF($F6=1,$C6*$J6,IF(HU6&gt;0,HU6*$K6,DV6*$J6))*IF(82=$R6,$S6,12)/12,6)+$B$4),DV6-$I6)))))</f>
        <v/>
      </c>
      <c r="DX6" s="68">
        <f>IF($U6=0,0,IF($F6=4,0,IF($F6=3,0,IF(OR(83&gt;$R6,DW6&lt;=$I6),DW6,DW6-MIN(INT(ROUND(IF($F6=1,$C6*$J6,IF(HV6&gt;0,HV6*$K6,DW6*$J6))*IF(83=$R6,$S6,12)/12,6)+$B$4),DW6-$I6)))))</f>
        <v/>
      </c>
      <c r="DY6" s="68">
        <f>IF($U6=0,0,IF($F6=4,0,IF($F6=3,0,IF(OR(84&gt;$R6,DX6&lt;=$I6),DX6,DX6-MIN(INT(ROUND(IF($F6=1,$C6*$J6,IF(HW6&gt;0,HW6*$K6,DX6*$J6))*IF(84=$R6,$S6,12)/12,6)+$B$4),DX6-$I6)))))</f>
        <v/>
      </c>
      <c r="DZ6" s="68">
        <f>IF($U6=0,0,IF($F6=4,0,IF($F6=3,0,IF(OR(85&gt;$R6,DY6&lt;=$I6),DY6,DY6-MIN(INT(ROUND(IF($F6=1,$C6*$J6,IF(HX6&gt;0,HX6*$K6,DY6*$J6))*IF(85=$R6,$S6,12)/12,6)+$B$4),DY6-$I6)))))</f>
        <v/>
      </c>
      <c r="EA6" s="68">
        <f>IF($U6=0,0,IF($F6=4,0,IF($F6=3,0,IF(OR(86&gt;$R6,DZ6&lt;=$I6),DZ6,DZ6-MIN(INT(ROUND(IF($F6=1,$C6*$J6,IF(HY6&gt;0,HY6*$K6,DZ6*$J6))*IF(86=$R6,$S6,12)/12,6)+$B$4),DZ6-$I6)))))</f>
        <v/>
      </c>
      <c r="EB6" s="68">
        <f>IF($U6=0,0,IF($F6=4,0,IF($F6=3,0,IF(OR(87&gt;$R6,EA6&lt;=$I6),EA6,EA6-MIN(INT(ROUND(IF($F6=1,$C6*$J6,IF(HZ6&gt;0,HZ6*$K6,EA6*$J6))*IF(87=$R6,$S6,12)/12,6)+$B$4),EA6-$I6)))))</f>
        <v/>
      </c>
      <c r="EC6" s="68">
        <f>IF($U6=0,0,IF($F6=4,0,IF($F6=3,0,IF(OR(88&gt;$R6,EB6&lt;=$I6),EB6,EB6-MIN(INT(ROUND(IF($F6=1,$C6*$J6,IF(IA6&gt;0,IA6*$K6,EB6*$J6))*IF(88=$R6,$S6,12)/12,6)+$B$4),EB6-$I6)))))</f>
        <v/>
      </c>
      <c r="ED6" s="68">
        <f>IF($U6=0,0,IF($F6=4,0,IF($F6=3,0,IF(OR(89&gt;$R6,EC6&lt;=$I6),EC6,EC6-MIN(INT(ROUND(IF($F6=1,$C6*$J6,IF(IB6&gt;0,IB6*$K6,EC6*$J6))*IF(89=$R6,$S6,12)/12,6)+$B$4),EC6-$I6)))))</f>
        <v/>
      </c>
      <c r="EE6" s="68">
        <f>IF($U6=0,0,IF($F6=4,0,IF($F6=3,0,IF(OR(90&gt;$R6,ED6&lt;=$I6),ED6,ED6-MIN(INT(ROUND(IF($F6=1,$C6*$J6,IF(IC6&gt;0,IC6*$K6,ED6*$J6))*IF(90=$R6,$S6,12)/12,6)+$B$4),ED6-$I6)))))</f>
        <v/>
      </c>
      <c r="EF6" s="68">
        <f>IF($U6=0,0,IF($F6=4,0,IF($F6=3,0,IF(OR(91&gt;$R6,EE6&lt;=$I6),EE6,EE6-MIN(INT(ROUND(IF($F6=1,$C6*$J6,IF(ID6&gt;0,ID6*$K6,EE6*$J6))*IF(91=$R6,$S6,12)/12,6)+$B$4),EE6-$I6)))))</f>
        <v/>
      </c>
      <c r="EG6" s="68">
        <f>IF($U6=0,0,IF($F6=4,0,IF($F6=3,0,IF(OR(92&gt;$R6,EF6&lt;=$I6),EF6,EF6-MIN(INT(ROUND(IF($F6=1,$C6*$J6,IF(IE6&gt;0,IE6*$K6,EF6*$J6))*IF(92=$R6,$S6,12)/12,6)+$B$4),EF6-$I6)))))</f>
        <v/>
      </c>
      <c r="EH6" s="68">
        <f>IF($U6=0,0,IF($F6=4,0,IF($F6=3,0,IF(OR(93&gt;$R6,EG6&lt;=$I6),EG6,EG6-MIN(INT(ROUND(IF($F6=1,$C6*$J6,IF(IF6&gt;0,IF6*$K6,EG6*$J6))*IF(93=$R6,$S6,12)/12,6)+$B$4),EG6-$I6)))))</f>
        <v/>
      </c>
      <c r="EI6" s="68">
        <f>IF($U6=0,0,IF($F6=4,0,IF($F6=3,0,IF(OR(94&gt;$R6,EH6&lt;=$I6),EH6,EH6-MIN(INT(ROUND(IF($F6=1,$C6*$J6,IF(IG6&gt;0,IG6*$K6,EH6*$J6))*IF(94=$R6,$S6,12)/12,6)+$B$4),EH6-$I6)))))</f>
        <v/>
      </c>
      <c r="EJ6" s="68">
        <f>IF($U6=0,0,IF($F6=4,0,IF($F6=3,0,IF(OR(95&gt;$R6,EI6&lt;=$I6),EI6,EI6-MIN(INT(ROUND(IF($F6=1,$C6*$J6,IF(IH6&gt;0,IH6*$K6,EI6*$J6))*IF(95=$R6,$S6,12)/12,6)+$B$4),EI6-$I6)))))</f>
        <v/>
      </c>
      <c r="EK6" s="68">
        <f>IF($U6=0,0,IF($F6=4,0,IF($F6=3,0,IF(OR(96&gt;$R6,EJ6&lt;=$I6),EJ6,EJ6-MIN(INT(ROUND(IF($F6=1,$C6*$J6,IF(II6&gt;0,II6*$K6,EJ6*$J6))*IF(96=$R6,$S6,12)/12,6)+$B$4),EJ6-$I6)))))</f>
        <v/>
      </c>
      <c r="EL6" s="68">
        <f>IF($U6=0,0,IF($F6=4,0,IF($F6=3,0,IF(OR(97&gt;$R6,EK6&lt;=$I6),EK6,EK6-MIN(INT(ROUND(IF($F6=1,$C6*$J6,IF(IJ6&gt;0,IJ6*$K6,EK6*$J6))*IF(97=$R6,$S6,12)/12,6)+$B$4),EK6-$I6)))))</f>
        <v/>
      </c>
      <c r="EM6" s="68">
        <f>IF($U6=0,0,IF($F6=4,0,IF($F6=3,0,IF(OR(98&gt;$R6,EL6&lt;=$I6),EL6,EL6-MIN(INT(ROUND(IF($F6=1,$C6*$J6,IF(IK6&gt;0,IK6*$K6,EL6*$J6))*IF(98=$R6,$S6,12)/12,6)+$B$4),EL6-$I6)))))</f>
        <v/>
      </c>
      <c r="EN6" s="68">
        <f>IF($U6=0,0,IF($F6=4,0,IF($F6=3,0,IF(OR(99&gt;$R6,EM6&lt;=$I6),EM6,EM6-MIN(INT(ROUND(IF($F6=1,$C6*$J6,IF(IL6&gt;0,IL6*$K6,EM6*$J6))*IF(99=$R6,$S6,12)/12,6)+$B$4),EM6-$I6)))))</f>
        <v/>
      </c>
      <c r="EO6" s="68">
        <f>IF($U6=0,0,IF($F6=4,0,IF($F6=3,0,IF(OR(100&gt;$R6,EN6&lt;=$I6),EN6,EN6-MIN(INT(ROUND(IF($F6=1,$C6*$J6,IF(IM6&gt;0,IM6*$K6,EN6*$J6))*IF(100=$R6,$S6,12)/12,6)+$B$4),EN6-$I6)))))</f>
        <v/>
      </c>
      <c r="EP6" s="68">
        <f>IF($U6=0,0,IF($F6=4,0,IF($F6=3,0,IF(OR(101&gt;$R6,EO6&lt;=$I6),EO6,EO6-MIN(INT(ROUND(IF($F6=1,$C6*$J6,IF(IN6&gt;0,IN6*$K6,EO6*$J6))*IF(101=$R6,$S6,12)/12,6)+$B$4),EO6-$I6)))))</f>
        <v/>
      </c>
      <c r="EQ6" s="68" t="n"/>
      <c r="ER6" s="68">
        <f>IF(OR($U6=0,$F6&lt;&gt;2),0,IF(ROUND(AS6*$J6,6)&lt;ROUND($M6,6),AS6,0))</f>
        <v/>
      </c>
      <c r="ES6" s="68">
        <f>IF(OR($U6=0,$F6&lt;&gt;2),0,IF(ER6&gt;0,ER6,IF(ROUND(AT6*$J6,6)&lt;ROUND($M6,6),AT6,0)))</f>
        <v/>
      </c>
      <c r="ET6" s="68">
        <f>IF(OR($U6=0,$F6&lt;&gt;2),0,IF(ES6&gt;0,ES6,IF(ROUND(AU6*$J6,6)&lt;ROUND($M6,6),AU6,0)))</f>
        <v/>
      </c>
      <c r="EU6" s="68">
        <f>IF(OR($U6=0,$F6&lt;&gt;2),0,IF(ET6&gt;0,ET6,IF(ROUND(AV6*$J6,6)&lt;ROUND($M6,6),AV6,0)))</f>
        <v/>
      </c>
      <c r="EV6" s="68">
        <f>IF(OR($U6=0,$F6&lt;&gt;2),0,IF(EU6&gt;0,EU6,IF(ROUND(AW6*$J6,6)&lt;ROUND($M6,6),AW6,0)))</f>
        <v/>
      </c>
      <c r="EW6" s="68">
        <f>IF(OR($U6=0,$F6&lt;&gt;2),0,IF(EV6&gt;0,EV6,IF(ROUND(AX6*$J6,6)&lt;ROUND($M6,6),AX6,0)))</f>
        <v/>
      </c>
      <c r="EX6" s="68">
        <f>IF(OR($U6=0,$F6&lt;&gt;2),0,IF(EW6&gt;0,EW6,IF(ROUND(AY6*$J6,6)&lt;ROUND($M6,6),AY6,0)))</f>
        <v/>
      </c>
      <c r="EY6" s="68">
        <f>IF(OR($U6=0,$F6&lt;&gt;2),0,IF(EX6&gt;0,EX6,IF(ROUND(AZ6*$J6,6)&lt;ROUND($M6,6),AZ6,0)))</f>
        <v/>
      </c>
      <c r="EZ6" s="68">
        <f>IF(OR($U6=0,$F6&lt;&gt;2),0,IF(EY6&gt;0,EY6,IF(ROUND(BA6*$J6,6)&lt;ROUND($M6,6),BA6,0)))</f>
        <v/>
      </c>
      <c r="FA6" s="68">
        <f>IF(OR($U6=0,$F6&lt;&gt;2),0,IF(EZ6&gt;0,EZ6,IF(ROUND(BB6*$J6,6)&lt;ROUND($M6,6),BB6,0)))</f>
        <v/>
      </c>
      <c r="FB6" s="68">
        <f>IF(OR($U6=0,$F6&lt;&gt;2),0,IF(FA6&gt;0,FA6,IF(ROUND(BC6*$J6,6)&lt;ROUND($M6,6),BC6,0)))</f>
        <v/>
      </c>
      <c r="FC6" s="68">
        <f>IF(OR($U6=0,$F6&lt;&gt;2),0,IF(FB6&gt;0,FB6,IF(ROUND(BD6*$J6,6)&lt;ROUND($M6,6),BD6,0)))</f>
        <v/>
      </c>
      <c r="FD6" s="68">
        <f>IF(OR($U6=0,$F6&lt;&gt;2),0,IF(FC6&gt;0,FC6,IF(ROUND(BE6*$J6,6)&lt;ROUND($M6,6),BE6,0)))</f>
        <v/>
      </c>
      <c r="FE6" s="68">
        <f>IF(OR($U6=0,$F6&lt;&gt;2),0,IF(FD6&gt;0,FD6,IF(ROUND(BF6*$J6,6)&lt;ROUND($M6,6),BF6,0)))</f>
        <v/>
      </c>
      <c r="FF6" s="68">
        <f>IF(OR($U6=0,$F6&lt;&gt;2),0,IF(FE6&gt;0,FE6,IF(ROUND(BG6*$J6,6)&lt;ROUND($M6,6),BG6,0)))</f>
        <v/>
      </c>
      <c r="FG6" s="68">
        <f>IF(OR($U6=0,$F6&lt;&gt;2),0,IF(FF6&gt;0,FF6,IF(ROUND(BH6*$J6,6)&lt;ROUND($M6,6),BH6,0)))</f>
        <v/>
      </c>
      <c r="FH6" s="68">
        <f>IF(OR($U6=0,$F6&lt;&gt;2),0,IF(FG6&gt;0,FG6,IF(ROUND(BI6*$J6,6)&lt;ROUND($M6,6),BI6,0)))</f>
        <v/>
      </c>
      <c r="FI6" s="68">
        <f>IF(OR($U6=0,$F6&lt;&gt;2),0,IF(FH6&gt;0,FH6,IF(ROUND(BJ6*$J6,6)&lt;ROUND($M6,6),BJ6,0)))</f>
        <v/>
      </c>
      <c r="FJ6" s="68">
        <f>IF(OR($U6=0,$F6&lt;&gt;2),0,IF(FI6&gt;0,FI6,IF(ROUND(BK6*$J6,6)&lt;ROUND($M6,6),BK6,0)))</f>
        <v/>
      </c>
      <c r="FK6" s="68">
        <f>IF(OR($U6=0,$F6&lt;&gt;2),0,IF(FJ6&gt;0,FJ6,IF(ROUND(BL6*$J6,6)&lt;ROUND($M6,6),BL6,0)))</f>
        <v/>
      </c>
      <c r="FL6" s="68">
        <f>IF(OR($U6=0,$F6&lt;&gt;2),0,IF(FK6&gt;0,FK6,IF(ROUND(BM6*$J6,6)&lt;ROUND($M6,6),BM6,0)))</f>
        <v/>
      </c>
      <c r="FM6" s="68">
        <f>IF(OR($U6=0,$F6&lt;&gt;2),0,IF(FL6&gt;0,FL6,IF(ROUND(BN6*$J6,6)&lt;ROUND($M6,6),BN6,0)))</f>
        <v/>
      </c>
      <c r="FN6" s="68">
        <f>IF(OR($U6=0,$F6&lt;&gt;2),0,IF(FM6&gt;0,FM6,IF(ROUND(BO6*$J6,6)&lt;ROUND($M6,6),BO6,0)))</f>
        <v/>
      </c>
      <c r="FO6" s="68">
        <f>IF(OR($U6=0,$F6&lt;&gt;2),0,IF(FN6&gt;0,FN6,IF(ROUND(BP6*$J6,6)&lt;ROUND($M6,6),BP6,0)))</f>
        <v/>
      </c>
      <c r="FP6" s="68">
        <f>IF(OR($U6=0,$F6&lt;&gt;2),0,IF(FO6&gt;0,FO6,IF(ROUND(BQ6*$J6,6)&lt;ROUND($M6,6),BQ6,0)))</f>
        <v/>
      </c>
      <c r="FQ6" s="68">
        <f>IF(OR($U6=0,$F6&lt;&gt;2),0,IF(FP6&gt;0,FP6,IF(ROUND(BR6*$J6,6)&lt;ROUND($M6,6),BR6,0)))</f>
        <v/>
      </c>
      <c r="FR6" s="68">
        <f>IF(OR($U6=0,$F6&lt;&gt;2),0,IF(FQ6&gt;0,FQ6,IF(ROUND(BS6*$J6,6)&lt;ROUND($M6,6),BS6,0)))</f>
        <v/>
      </c>
      <c r="FS6" s="68">
        <f>IF(OR($U6=0,$F6&lt;&gt;2),0,IF(FR6&gt;0,FR6,IF(ROUND(BT6*$J6,6)&lt;ROUND($M6,6),BT6,0)))</f>
        <v/>
      </c>
      <c r="FT6" s="68">
        <f>IF(OR($U6=0,$F6&lt;&gt;2),0,IF(FS6&gt;0,FS6,IF(ROUND(BU6*$J6,6)&lt;ROUND($M6,6),BU6,0)))</f>
        <v/>
      </c>
      <c r="FU6" s="68">
        <f>IF(OR($U6=0,$F6&lt;&gt;2),0,IF(FT6&gt;0,FT6,IF(ROUND(BV6*$J6,6)&lt;ROUND($M6,6),BV6,0)))</f>
        <v/>
      </c>
      <c r="FV6" s="68">
        <f>IF(OR($U6=0,$F6&lt;&gt;2),0,IF(FU6&gt;0,FU6,IF(ROUND(BW6*$J6,6)&lt;ROUND($M6,6),BW6,0)))</f>
        <v/>
      </c>
      <c r="FW6" s="68">
        <f>IF(OR($U6=0,$F6&lt;&gt;2),0,IF(FV6&gt;0,FV6,IF(ROUND(BX6*$J6,6)&lt;ROUND($M6,6),BX6,0)))</f>
        <v/>
      </c>
      <c r="FX6" s="68">
        <f>IF(OR($U6=0,$F6&lt;&gt;2),0,IF(FW6&gt;0,FW6,IF(ROUND(BY6*$J6,6)&lt;ROUND($M6,6),BY6,0)))</f>
        <v/>
      </c>
      <c r="FY6" s="68">
        <f>IF(OR($U6=0,$F6&lt;&gt;2),0,IF(FX6&gt;0,FX6,IF(ROUND(BZ6*$J6,6)&lt;ROUND($M6,6),BZ6,0)))</f>
        <v/>
      </c>
      <c r="FZ6" s="68">
        <f>IF(OR($U6=0,$F6&lt;&gt;2),0,IF(FY6&gt;0,FY6,IF(ROUND(CA6*$J6,6)&lt;ROUND($M6,6),CA6,0)))</f>
        <v/>
      </c>
      <c r="GA6" s="68">
        <f>IF(OR($U6=0,$F6&lt;&gt;2),0,IF(FZ6&gt;0,FZ6,IF(ROUND(CB6*$J6,6)&lt;ROUND($M6,6),CB6,0)))</f>
        <v/>
      </c>
      <c r="GB6" s="68">
        <f>IF(OR($U6=0,$F6&lt;&gt;2),0,IF(GA6&gt;0,GA6,IF(ROUND(CC6*$J6,6)&lt;ROUND($M6,6),CC6,0)))</f>
        <v/>
      </c>
      <c r="GC6" s="68">
        <f>IF(OR($U6=0,$F6&lt;&gt;2),0,IF(GB6&gt;0,GB6,IF(ROUND(CD6*$J6,6)&lt;ROUND($M6,6),CD6,0)))</f>
        <v/>
      </c>
      <c r="GD6" s="68">
        <f>IF(OR($U6=0,$F6&lt;&gt;2),0,IF(GC6&gt;0,GC6,IF(ROUND(CE6*$J6,6)&lt;ROUND($M6,6),CE6,0)))</f>
        <v/>
      </c>
      <c r="GE6" s="68">
        <f>IF(OR($U6=0,$F6&lt;&gt;2),0,IF(GD6&gt;0,GD6,IF(ROUND(CF6*$J6,6)&lt;ROUND($M6,6),CF6,0)))</f>
        <v/>
      </c>
      <c r="GF6" s="68">
        <f>IF(OR($U6=0,$F6&lt;&gt;2),0,IF(GE6&gt;0,GE6,IF(ROUND(CG6*$J6,6)&lt;ROUND($M6,6),CG6,0)))</f>
        <v/>
      </c>
      <c r="GG6" s="68">
        <f>IF(OR($U6=0,$F6&lt;&gt;2),0,IF(GF6&gt;0,GF6,IF(ROUND(CH6*$J6,6)&lt;ROUND($M6,6),CH6,0)))</f>
        <v/>
      </c>
      <c r="GH6" s="68">
        <f>IF(OR($U6=0,$F6&lt;&gt;2),0,IF(GG6&gt;0,GG6,IF(ROUND(CI6*$J6,6)&lt;ROUND($M6,6),CI6,0)))</f>
        <v/>
      </c>
      <c r="GI6" s="68">
        <f>IF(OR($U6=0,$F6&lt;&gt;2),0,IF(GH6&gt;0,GH6,IF(ROUND(CJ6*$J6,6)&lt;ROUND($M6,6),CJ6,0)))</f>
        <v/>
      </c>
      <c r="GJ6" s="68">
        <f>IF(OR($U6=0,$F6&lt;&gt;2),0,IF(GI6&gt;0,GI6,IF(ROUND(CK6*$J6,6)&lt;ROUND($M6,6),CK6,0)))</f>
        <v/>
      </c>
      <c r="GK6" s="68">
        <f>IF(OR($U6=0,$F6&lt;&gt;2),0,IF(GJ6&gt;0,GJ6,IF(ROUND(CL6*$J6,6)&lt;ROUND($M6,6),CL6,0)))</f>
        <v/>
      </c>
      <c r="GL6" s="68">
        <f>IF(OR($U6=0,$F6&lt;&gt;2),0,IF(GK6&gt;0,GK6,IF(ROUND(CM6*$J6,6)&lt;ROUND($M6,6),CM6,0)))</f>
        <v/>
      </c>
      <c r="GM6" s="68">
        <f>IF(OR($U6=0,$F6&lt;&gt;2),0,IF(GL6&gt;0,GL6,IF(ROUND(CN6*$J6,6)&lt;ROUND($M6,6),CN6,0)))</f>
        <v/>
      </c>
      <c r="GN6" s="68">
        <f>IF(OR($U6=0,$F6&lt;&gt;2),0,IF(GM6&gt;0,GM6,IF(ROUND(CO6*$J6,6)&lt;ROUND($M6,6),CO6,0)))</f>
        <v/>
      </c>
      <c r="GO6" s="68">
        <f>IF(OR($U6=0,$F6&lt;&gt;2),0,IF(GN6&gt;0,GN6,IF(ROUND(CP6*$J6,6)&lt;ROUND($M6,6),CP6,0)))</f>
        <v/>
      </c>
      <c r="GP6" s="68">
        <f>IF(OR($U6=0,$F6&lt;&gt;2),0,IF(GO6&gt;0,GO6,IF(ROUND(CQ6*$J6,6)&lt;ROUND($M6,6),CQ6,0)))</f>
        <v/>
      </c>
      <c r="GQ6" s="68">
        <f>IF(OR($U6=0,$F6&lt;&gt;2),0,IF(GP6&gt;0,GP6,IF(ROUND(CR6*$J6,6)&lt;ROUND($M6,6),CR6,0)))</f>
        <v/>
      </c>
      <c r="GR6" s="68">
        <f>IF(OR($U6=0,$F6&lt;&gt;2),0,IF(GQ6&gt;0,GQ6,IF(ROUND(CS6*$J6,6)&lt;ROUND($M6,6),CS6,0)))</f>
        <v/>
      </c>
      <c r="GS6" s="68">
        <f>IF(OR($U6=0,$F6&lt;&gt;2),0,IF(GR6&gt;0,GR6,IF(ROUND(CT6*$J6,6)&lt;ROUND($M6,6),CT6,0)))</f>
        <v/>
      </c>
      <c r="GT6" s="68">
        <f>IF(OR($U6=0,$F6&lt;&gt;2),0,IF(GS6&gt;0,GS6,IF(ROUND(CU6*$J6,6)&lt;ROUND($M6,6),CU6,0)))</f>
        <v/>
      </c>
      <c r="GU6" s="68">
        <f>IF(OR($U6=0,$F6&lt;&gt;2),0,IF(GT6&gt;0,GT6,IF(ROUND(CV6*$J6,6)&lt;ROUND($M6,6),CV6,0)))</f>
        <v/>
      </c>
      <c r="GV6" s="68">
        <f>IF(OR($U6=0,$F6&lt;&gt;2),0,IF(GU6&gt;0,GU6,IF(ROUND(CW6*$J6,6)&lt;ROUND($M6,6),CW6,0)))</f>
        <v/>
      </c>
      <c r="GW6" s="68">
        <f>IF(OR($U6=0,$F6&lt;&gt;2),0,IF(GV6&gt;0,GV6,IF(ROUND(CX6*$J6,6)&lt;ROUND($M6,6),CX6,0)))</f>
        <v/>
      </c>
      <c r="GX6" s="68">
        <f>IF(OR($U6=0,$F6&lt;&gt;2),0,IF(GW6&gt;0,GW6,IF(ROUND(CY6*$J6,6)&lt;ROUND($M6,6),CY6,0)))</f>
        <v/>
      </c>
      <c r="GY6" s="68">
        <f>IF(OR($U6=0,$F6&lt;&gt;2),0,IF(GX6&gt;0,GX6,IF(ROUND(CZ6*$J6,6)&lt;ROUND($M6,6),CZ6,0)))</f>
        <v/>
      </c>
      <c r="GZ6" s="68">
        <f>IF(OR($U6=0,$F6&lt;&gt;2),0,IF(GY6&gt;0,GY6,IF(ROUND(DA6*$J6,6)&lt;ROUND($M6,6),DA6,0)))</f>
        <v/>
      </c>
      <c r="HA6" s="68">
        <f>IF(OR($U6=0,$F6&lt;&gt;2),0,IF(GZ6&gt;0,GZ6,IF(ROUND(DB6*$J6,6)&lt;ROUND($M6,6),DB6,0)))</f>
        <v/>
      </c>
      <c r="HB6" s="68">
        <f>IF(OR($U6=0,$F6&lt;&gt;2),0,IF(HA6&gt;0,HA6,IF(ROUND(DC6*$J6,6)&lt;ROUND($M6,6),DC6,0)))</f>
        <v/>
      </c>
      <c r="HC6" s="68">
        <f>IF(OR($U6=0,$F6&lt;&gt;2),0,IF(HB6&gt;0,HB6,IF(ROUND(DD6*$J6,6)&lt;ROUND($M6,6),DD6,0)))</f>
        <v/>
      </c>
      <c r="HD6" s="68">
        <f>IF(OR($U6=0,$F6&lt;&gt;2),0,IF(HC6&gt;0,HC6,IF(ROUND(DE6*$J6,6)&lt;ROUND($M6,6),DE6,0)))</f>
        <v/>
      </c>
      <c r="HE6" s="68">
        <f>IF(OR($U6=0,$F6&lt;&gt;2),0,IF(HD6&gt;0,HD6,IF(ROUND(DF6*$J6,6)&lt;ROUND($M6,6),DF6,0)))</f>
        <v/>
      </c>
      <c r="HF6" s="68">
        <f>IF(OR($U6=0,$F6&lt;&gt;2),0,IF(HE6&gt;0,HE6,IF(ROUND(DG6*$J6,6)&lt;ROUND($M6,6),DG6,0)))</f>
        <v/>
      </c>
      <c r="HG6" s="68">
        <f>IF(OR($U6=0,$F6&lt;&gt;2),0,IF(HF6&gt;0,HF6,IF(ROUND(DH6*$J6,6)&lt;ROUND($M6,6),DH6,0)))</f>
        <v/>
      </c>
      <c r="HH6" s="68">
        <f>IF(OR($U6=0,$F6&lt;&gt;2),0,IF(HG6&gt;0,HG6,IF(ROUND(DI6*$J6,6)&lt;ROUND($M6,6),DI6,0)))</f>
        <v/>
      </c>
      <c r="HI6" s="68">
        <f>IF(OR($U6=0,$F6&lt;&gt;2),0,IF(HH6&gt;0,HH6,IF(ROUND(DJ6*$J6,6)&lt;ROUND($M6,6),DJ6,0)))</f>
        <v/>
      </c>
      <c r="HJ6" s="68">
        <f>IF(OR($U6=0,$F6&lt;&gt;2),0,IF(HI6&gt;0,HI6,IF(ROUND(DK6*$J6,6)&lt;ROUND($M6,6),DK6,0)))</f>
        <v/>
      </c>
      <c r="HK6" s="68">
        <f>IF(OR($U6=0,$F6&lt;&gt;2),0,IF(HJ6&gt;0,HJ6,IF(ROUND(DL6*$J6,6)&lt;ROUND($M6,6),DL6,0)))</f>
        <v/>
      </c>
      <c r="HL6" s="68">
        <f>IF(OR($U6=0,$F6&lt;&gt;2),0,IF(HK6&gt;0,HK6,IF(ROUND(DM6*$J6,6)&lt;ROUND($M6,6),DM6,0)))</f>
        <v/>
      </c>
      <c r="HM6" s="68">
        <f>IF(OR($U6=0,$F6&lt;&gt;2),0,IF(HL6&gt;0,HL6,IF(ROUND(DN6*$J6,6)&lt;ROUND($M6,6),DN6,0)))</f>
        <v/>
      </c>
      <c r="HN6" s="68">
        <f>IF(OR($U6=0,$F6&lt;&gt;2),0,IF(HM6&gt;0,HM6,IF(ROUND(DO6*$J6,6)&lt;ROUND($M6,6),DO6,0)))</f>
        <v/>
      </c>
      <c r="HO6" s="68">
        <f>IF(OR($U6=0,$F6&lt;&gt;2),0,IF(HN6&gt;0,HN6,IF(ROUND(DP6*$J6,6)&lt;ROUND($M6,6),DP6,0)))</f>
        <v/>
      </c>
      <c r="HP6" s="68">
        <f>IF(OR($U6=0,$F6&lt;&gt;2),0,IF(HO6&gt;0,HO6,IF(ROUND(DQ6*$J6,6)&lt;ROUND($M6,6),DQ6,0)))</f>
        <v/>
      </c>
      <c r="HQ6" s="68">
        <f>IF(OR($U6=0,$F6&lt;&gt;2),0,IF(HP6&gt;0,HP6,IF(ROUND(DR6*$J6,6)&lt;ROUND($M6,6),DR6,0)))</f>
        <v/>
      </c>
      <c r="HR6" s="68">
        <f>IF(OR($U6=0,$F6&lt;&gt;2),0,IF(HQ6&gt;0,HQ6,IF(ROUND(DS6*$J6,6)&lt;ROUND($M6,6),DS6,0)))</f>
        <v/>
      </c>
      <c r="HS6" s="68">
        <f>IF(OR($U6=0,$F6&lt;&gt;2),0,IF(HR6&gt;0,HR6,IF(ROUND(DT6*$J6,6)&lt;ROUND($M6,6),DT6,0)))</f>
        <v/>
      </c>
      <c r="HT6" s="68">
        <f>IF(OR($U6=0,$F6&lt;&gt;2),0,IF(HS6&gt;0,HS6,IF(ROUND(DU6*$J6,6)&lt;ROUND($M6,6),DU6,0)))</f>
        <v/>
      </c>
      <c r="HU6" s="68">
        <f>IF(OR($U6=0,$F6&lt;&gt;2),0,IF(HT6&gt;0,HT6,IF(ROUND(DV6*$J6,6)&lt;ROUND($M6,6),DV6,0)))</f>
        <v/>
      </c>
      <c r="HV6" s="68">
        <f>IF(OR($U6=0,$F6&lt;&gt;2),0,IF(HU6&gt;0,HU6,IF(ROUND(DW6*$J6,6)&lt;ROUND($M6,6),DW6,0)))</f>
        <v/>
      </c>
      <c r="HW6" s="68">
        <f>IF(OR($U6=0,$F6&lt;&gt;2),0,IF(HV6&gt;0,HV6,IF(ROUND(DX6*$J6,6)&lt;ROUND($M6,6),DX6,0)))</f>
        <v/>
      </c>
      <c r="HX6" s="68">
        <f>IF(OR($U6=0,$F6&lt;&gt;2),0,IF(HW6&gt;0,HW6,IF(ROUND(DY6*$J6,6)&lt;ROUND($M6,6),DY6,0)))</f>
        <v/>
      </c>
      <c r="HY6" s="68">
        <f>IF(OR($U6=0,$F6&lt;&gt;2),0,IF(HX6&gt;0,HX6,IF(ROUND(DZ6*$J6,6)&lt;ROUND($M6,6),DZ6,0)))</f>
        <v/>
      </c>
      <c r="HZ6" s="68">
        <f>IF(OR($U6=0,$F6&lt;&gt;2),0,IF(HY6&gt;0,HY6,IF(ROUND(EA6*$J6,6)&lt;ROUND($M6,6),EA6,0)))</f>
        <v/>
      </c>
      <c r="IA6" s="68">
        <f>IF(OR($U6=0,$F6&lt;&gt;2),0,IF(HZ6&gt;0,HZ6,IF(ROUND(EB6*$J6,6)&lt;ROUND($M6,6),EB6,0)))</f>
        <v/>
      </c>
      <c r="IB6" s="68">
        <f>IF(OR($U6=0,$F6&lt;&gt;2),0,IF(IA6&gt;0,IA6,IF(ROUND(EC6*$J6,6)&lt;ROUND($M6,6),EC6,0)))</f>
        <v/>
      </c>
      <c r="IC6" s="68">
        <f>IF(OR($U6=0,$F6&lt;&gt;2),0,IF(IB6&gt;0,IB6,IF(ROUND(ED6*$J6,6)&lt;ROUND($M6,6),ED6,0)))</f>
        <v/>
      </c>
      <c r="ID6" s="68">
        <f>IF(OR($U6=0,$F6&lt;&gt;2),0,IF(IC6&gt;0,IC6,IF(ROUND(EE6*$J6,6)&lt;ROUND($M6,6),EE6,0)))</f>
        <v/>
      </c>
      <c r="IE6" s="68">
        <f>IF(OR($U6=0,$F6&lt;&gt;2),0,IF(ID6&gt;0,ID6,IF(ROUND(EF6*$J6,6)&lt;ROUND($M6,6),EF6,0)))</f>
        <v/>
      </c>
      <c r="IF6" s="68">
        <f>IF(OR($U6=0,$F6&lt;&gt;2),0,IF(IE6&gt;0,IE6,IF(ROUND(EG6*$J6,6)&lt;ROUND($M6,6),EG6,0)))</f>
        <v/>
      </c>
      <c r="IG6" s="68">
        <f>IF(OR($U6=0,$F6&lt;&gt;2),0,IF(IF6&gt;0,IF6,IF(ROUND(EH6*$J6,6)&lt;ROUND($M6,6),EH6,0)))</f>
        <v/>
      </c>
      <c r="IH6" s="68">
        <f>IF(OR($U6=0,$F6&lt;&gt;2),0,IF(IG6&gt;0,IG6,IF(ROUND(EI6*$J6,6)&lt;ROUND($M6,6),EI6,0)))</f>
        <v/>
      </c>
      <c r="II6" s="68">
        <f>IF(OR($U6=0,$F6&lt;&gt;2),0,IF(IH6&gt;0,IH6,IF(ROUND(EJ6*$J6,6)&lt;ROUND($M6,6),EJ6,0)))</f>
        <v/>
      </c>
      <c r="IJ6" s="68">
        <f>IF(OR($U6=0,$F6&lt;&gt;2),0,IF(II6&gt;0,II6,IF(ROUND(EK6*$J6,6)&lt;ROUND($M6,6),EK6,0)))</f>
        <v/>
      </c>
      <c r="IK6" s="68">
        <f>IF(OR($U6=0,$F6&lt;&gt;2),0,IF(IJ6&gt;0,IJ6,IF(ROUND(EL6*$J6,6)&lt;ROUND($M6,6),EL6,0)))</f>
        <v/>
      </c>
      <c r="IL6" s="68">
        <f>IF(OR($U6=0,$F6&lt;&gt;2),0,IF(IK6&gt;0,IK6,IF(ROUND(EM6*$J6,6)&lt;ROUND($M6,6),EM6,0)))</f>
        <v/>
      </c>
      <c r="IM6" s="68">
        <f>IF(OR($U6=0,$F6&lt;&gt;2),0,IF(IL6&gt;0,IL6,IF(ROUND(EN6*$J6,6)&lt;ROUND($M6,6),EN6,0)))</f>
        <v/>
      </c>
      <c r="IN6" s="68">
        <f>IF(OR($U6=0,$F6&lt;&gt;2),0,IF(IM6&gt;0,IM6,IF(ROUND(EO6*$J6,6)&lt;ROUND($M6,6),EO6,0)))</f>
        <v/>
      </c>
    </row>
    <row r="7">
      <c r="A7" s="68" t="n">
        <v>2</v>
      </c>
      <c r="B7" s="68">
        <f>IF(OR(TRIM('固定資産台帳'!$B7)&lt;&gt;"",'固定資産台帳'!$E7&lt;&gt;"",'固定資産台帳'!$G7&lt;&gt;"",'固定資産台帳'!$H7&lt;&gt;""),1,0)</f>
        <v/>
      </c>
      <c r="C7" s="68">
        <f>IF(ISNUMBER('固定資産台帳'!$G7),MAX(ROUND('固定資産台帳'!$G7,0),0),0)</f>
        <v/>
      </c>
      <c r="D7" s="84">
        <f>IF(ISNUMBER('固定資産台帳'!$E7),INT('固定資産台帳'!$E7),0)</f>
        <v/>
      </c>
      <c r="E7" s="84">
        <f>IF(ISNUMBER('固定資産台帳'!$F7),INT('固定資産台帳'!$F7),$D7)</f>
        <v/>
      </c>
      <c r="F7" s="68">
        <f>IF('固定資産台帳'!$H7="定額法",1,IF(OR('固定資産台帳'!$H7="定率法",'固定資産台帳'!$H7="定率法（200%）",'固定資産台帳'!$H7="定率法（250%）"),2,IF('固定資産台帳'!$H7="一括償却（3年）",3,IF('固定資産台帳'!$H7="少額特例",4,0))))</f>
        <v/>
      </c>
      <c r="G7" s="68">
        <f>IF('固定資産台帳'!$H7="定率法（250%）",250,IF('固定資産台帳'!$H7="定率法（200%）",200,IF($D7&gt;=DATE(2012,4,1),200,250)))</f>
        <v/>
      </c>
      <c r="H7" s="68">
        <f>IF(ISNUMBER('固定資産台帳'!$I7),IF(AND('固定資産台帳'!$I7&gt;=2,'固定資産台帳'!$I7&lt;=100,'固定資産台帳'!$I7=INT('固定資産台帳'!$I7)),'固定資産台帳'!$I7,0),0)</f>
        <v/>
      </c>
      <c r="I7" s="68">
        <f>IF('固定資産台帳'!$C7="無形固定資産",0,1)</f>
        <v/>
      </c>
      <c r="J7" s="68">
        <f>IF(OR($H7=0,$F7=0,$F7&gt;2),0,IF($F7=1,INDEX('償却率表'!$B$6:$B$104,$H7-1),IF($G7=200,INDEX('償却率表'!$C$6:$C$104,$H7-1),INDEX('償却率表'!$F$6:$F$104,$H7-1))))</f>
        <v/>
      </c>
      <c r="K7" s="68">
        <f>IF(AND($F7=2,$H7&gt;0),IF($G7=200,INDEX('償却率表'!$D$6:$D$104,$H7-1),INDEX('償却率表'!$G$6:$G$104,$H7-1)),0)</f>
        <v/>
      </c>
      <c r="L7" s="68">
        <f>IF(AND($F7=2,$H7&gt;0),IF($G7=200,INDEX('償却率表'!$E$6:$E$104,$H7-1),INDEX('償却率表'!$H$6:$H$104,$H7-1)),0)</f>
        <v/>
      </c>
      <c r="M7" s="68">
        <f>$C7*$L7</f>
        <v/>
      </c>
      <c r="N7" s="68">
        <f>IF($B$1=1,1,IF('固定資産台帳'!$J7="",1,IF(ISNUMBER('固定資産台帳'!$J7),IF(AND('固定資産台帳'!$J7&gt;0,'固定資産台帳'!$J7&lt;=1),'固定資産台帳'!$J7,0),0)))</f>
        <v/>
      </c>
      <c r="O7" s="68">
        <f>IF($E7=0,0,YEAR($E7)-IF(MONTH($E7)&lt;$B$2,1,0))</f>
        <v/>
      </c>
      <c r="P7" s="68">
        <f>IF($E7=0,0,12-MOD(MONTH($E7)-$B$2,12))</f>
        <v/>
      </c>
      <c r="Q7" s="84">
        <f>IF(ISNUMBER('固定資産台帳'!$K7),INT('固定資産台帳'!$K7),0)</f>
        <v/>
      </c>
      <c r="R7" s="68">
        <f>IF(OR($Q7=0,$E7=0),999,YEAR($Q7)-IF(MONTH($Q7)&lt;$B$2,1,0)-$O7)</f>
        <v/>
      </c>
      <c r="S7" s="68">
        <f>IF($R7=999,0,MOD(MONTH($Q7)-$B$2,12)+1-IF($R7=0,12-$P7,0))</f>
        <v/>
      </c>
      <c r="T7" s="68">
        <f>IF($B7=0,0,IF($C7&lt;=0,1,IF($D7=0,2,IF($F7=0,3,IF(AND($F7&lt;=2,$H7=0),4,IF(AND($F7&lt;=2,$D7&lt;DATE(2007,4,1)),5,IF($E7&lt;$D7,6,IF(AND($Q7&gt;0,$Q7&lt;$E7),7,IF($N7=0,8,IF($B$3=0,9,0))))))))))</f>
        <v/>
      </c>
      <c r="U7" s="68">
        <f>IF(AND($B7=1,$T7=0),1,0)</f>
        <v/>
      </c>
      <c r="V7" s="68">
        <f>$B$3-$O7</f>
        <v/>
      </c>
      <c r="W7" s="68">
        <f>IF(AND($U7=1,$V7&gt;=0),1,0)</f>
        <v/>
      </c>
      <c r="X7" s="68">
        <f>IF($W7=0,0,IF($V7=0,$C7,INDEX($AS7:$EP7,MIN($V7,102))))</f>
        <v/>
      </c>
      <c r="Y7" s="68">
        <f>IF($W7=0,0,INDEX($AS7:$EP7,MIN($V7,101)+1))</f>
        <v/>
      </c>
      <c r="Z7" s="68">
        <f>$X7-$Y7</f>
        <v/>
      </c>
      <c r="AA7" s="68">
        <f>IF(AND($W7=1,$F7=2,$V7&gt;=1),INDEX($ER7:$IN7,MIN($V7,101)),0)</f>
        <v/>
      </c>
      <c r="AB7" s="68">
        <f>IF(OR($W7=0,$F7&gt;2,$Z7=0),0,IF($V7=0,IF($R7=0,$S7,$P7),IF($V7=$R7,$S7,12)))</f>
        <v/>
      </c>
      <c r="AC7" s="68">
        <f>IF($W7=0,0,INT(ROUND($Z7*$N7,6)+$B$4))</f>
        <v/>
      </c>
      <c r="AD7" s="68">
        <f>IF(AND($W7=1,$F7&lt;=2,$V7=$R7),1,0)</f>
        <v/>
      </c>
      <c r="AE7" s="68">
        <f>IF(AND($W7=1,$F7&lt;=2,$V7&gt;$R7),1,0)</f>
        <v/>
      </c>
      <c r="AF7" s="68">
        <f>IF(AND($W7=1,$AE7=0,OR($Z7&gt;0,$AD7=1)),1,0)</f>
        <v/>
      </c>
      <c r="AG7" s="68">
        <f>IF($AF7=1,SUM($AF$6:$AF7),0)</f>
        <v/>
      </c>
      <c r="AH7" s="68">
        <f>IF($T7=0,"",CHOOSE($T7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7" s="68">
        <f>IF(AND($F7=2,OR('固定資産台帳'!$C7="建物",'固定資産台帳'!$C7="無形固定資産",AND(OR('固定資産台帳'!$C7="建物附属設備",'固定資産台帳'!$C7="構築物"),$D7&gt;=DATE(2016,4,1)))),"この資産は定額法だけです（定率法は使えません）。","")&amp;IF(AND($F7=3,$C7&gt;=200000),"一括償却は20万円未満の資産だけです。","")&amp;IF(AND($F7=3,$B$1=0,$C7&lt;100000),"10万円未満は一括償却にせず、全額をその年の経費にします。","")&amp;IF(AND($F7=4,$C7&lt;100000),"10万円未満は少額特例ではなく、全額をその年の経費にします。","")&amp;IF(AND($F7=4,$D7&lt;DATE(2026,4,1),$C7&gt;=300000),"2026年3月31日までの取得で少額特例が使えるのは30万円未満です。","")&amp;IF(AND($F7=4,$D7&gt;=DATE(2026,4,1),$C7&gt;=400000),"少額特例は40万円未満の資産だけです。","")&amp;IF(AND($F7=4,OR($D7&lt;DATE(2006,4,1),$D7&gt;DATE(2029,3,31))),"少額特例は2006年4月1日〜2029年3月31日に取得した資産だけです。","")&amp;IF(AND($F7=2,$G7=250,$D7&gt;DATE(2012,12,31)),"250%定率法は2012年12月31日までの取得だけです。","")</f>
        <v/>
      </c>
      <c r="AJ7" s="68">
        <f>IF(AND($F7=2,'固定資産台帳'!$H7="定率法（200%）",$D7&lt;DATE(2012,4,1)),"2012年3月31日までの取得に200%を使うのは、経過措置の届出をした場合です。","")&amp;IF(AND($F7=2,'固定資産台帳'!$H7="定率法（250%）",$D7&gt;=DATE(2012,4,1),$D7&lt;=DATE(2012,12,31)),"2012年4〜12月の取得に250%を使うのは、経過措置を選んだ場合です。","")</f>
        <v/>
      </c>
      <c r="AK7" s="68">
        <f>IF($U7=0,"",IF($V7&lt;0,"表示している年より後に使い始める資産です。",IF($AE7=1,"売却・除却済みです。",IF($AD7=1,"この年に売却・除却。期末の帳簿価額 "&amp;TEXT($Y7,"#,##0")&amp;"円を帳簿から外します。",IF($F7=4,IF($V7=0,"少額特例：この年に全額を経費にします。","少額特例で経費にした資産です。"),IF($F7=3,IF($V7&gt;2,"一括償却は終わっています。","一括償却 "&amp;($V7+1)&amp;"年目（3年のうち）。"),IF($Z7=0,"償却済み（帳簿価額 "&amp;TEXT($Y7,"#,##0")&amp;"円）。",IF($AA7&gt;0,"改定償却率で計算（改定取得価額 "&amp;TEXT($AA7,"#,##0")&amp;"円）。",IF($V7=0,"この年に使い始め（"&amp;$AB7&amp;"か月分）。","")))))))))</f>
        <v/>
      </c>
      <c r="AL7" s="68">
        <f>IF(AND($U7=1,$F7=4,$V7=0),$C7,0)</f>
        <v/>
      </c>
      <c r="AM7" s="68">
        <f>IF($F7=2,INT(ROUND($M7,6)+$B$4),0)</f>
        <v/>
      </c>
      <c r="AN7" s="68">
        <f>IF($W7=0,0,IF($F7=2,IF($AA7&gt;0,$AA7,$X7),$C7))</f>
        <v/>
      </c>
      <c r="AO7" s="68">
        <f>IF($W7=0,"",IF($F7=3,"1/3",IF($F7=4,"―",IF($AA7&gt;0,$K7,$J7))))</f>
        <v/>
      </c>
      <c r="AP7" s="68" t="n"/>
      <c r="AQ7" s="68" t="n"/>
      <c r="AR7" s="68" t="n"/>
      <c r="AS7" s="68">
        <f>IF($U7=0,0,IF($F7=4,0,IF($F7=3,MAX($C7-INT(ROUND($C7/3,6)+$B$4),0),$C7-MIN(INT(ROUND($C7*$J7*IF($R7=0,$S7,$P7)/12,6)+$B$4),MAX($C7-$I7,0)))))</f>
        <v/>
      </c>
      <c r="AT7" s="68">
        <f>IF($U7=0,0,IF($F7=4,0,IF($F7=3,AS7-MIN(INT(ROUND($C7/3,6)+$B$4),AS7),IF(OR(1&gt;$R7,AS7&lt;=$I7),AS7,AS7-MIN(INT(ROUND(IF($F7=1,$C7*$J7,IF(ER7&gt;0,ER7*$K7,AS7*$J7))*IF(1=$R7,$S7,12)/12,6)+$B$4),AS7-$I7)))))</f>
        <v/>
      </c>
      <c r="AU7" s="68">
        <f>IF($U7=0,0,IF($F7=4,0,IF($F7=3,0,IF(OR(2&gt;$R7,AT7&lt;=$I7),AT7,AT7-MIN(INT(ROUND(IF($F7=1,$C7*$J7,IF(ES7&gt;0,ES7*$K7,AT7*$J7))*IF(2=$R7,$S7,12)/12,6)+$B$4),AT7-$I7)))))</f>
        <v/>
      </c>
      <c r="AV7" s="68">
        <f>IF($U7=0,0,IF($F7=4,0,IF($F7=3,0,IF(OR(3&gt;$R7,AU7&lt;=$I7),AU7,AU7-MIN(INT(ROUND(IF($F7=1,$C7*$J7,IF(ET7&gt;0,ET7*$K7,AU7*$J7))*IF(3=$R7,$S7,12)/12,6)+$B$4),AU7-$I7)))))</f>
        <v/>
      </c>
      <c r="AW7" s="68">
        <f>IF($U7=0,0,IF($F7=4,0,IF($F7=3,0,IF(OR(4&gt;$R7,AV7&lt;=$I7),AV7,AV7-MIN(INT(ROUND(IF($F7=1,$C7*$J7,IF(EU7&gt;0,EU7*$K7,AV7*$J7))*IF(4=$R7,$S7,12)/12,6)+$B$4),AV7-$I7)))))</f>
        <v/>
      </c>
      <c r="AX7" s="68">
        <f>IF($U7=0,0,IF($F7=4,0,IF($F7=3,0,IF(OR(5&gt;$R7,AW7&lt;=$I7),AW7,AW7-MIN(INT(ROUND(IF($F7=1,$C7*$J7,IF(EV7&gt;0,EV7*$K7,AW7*$J7))*IF(5=$R7,$S7,12)/12,6)+$B$4),AW7-$I7)))))</f>
        <v/>
      </c>
      <c r="AY7" s="68">
        <f>IF($U7=0,0,IF($F7=4,0,IF($F7=3,0,IF(OR(6&gt;$R7,AX7&lt;=$I7),AX7,AX7-MIN(INT(ROUND(IF($F7=1,$C7*$J7,IF(EW7&gt;0,EW7*$K7,AX7*$J7))*IF(6=$R7,$S7,12)/12,6)+$B$4),AX7-$I7)))))</f>
        <v/>
      </c>
      <c r="AZ7" s="68">
        <f>IF($U7=0,0,IF($F7=4,0,IF($F7=3,0,IF(OR(7&gt;$R7,AY7&lt;=$I7),AY7,AY7-MIN(INT(ROUND(IF($F7=1,$C7*$J7,IF(EX7&gt;0,EX7*$K7,AY7*$J7))*IF(7=$R7,$S7,12)/12,6)+$B$4),AY7-$I7)))))</f>
        <v/>
      </c>
      <c r="BA7" s="68">
        <f>IF($U7=0,0,IF($F7=4,0,IF($F7=3,0,IF(OR(8&gt;$R7,AZ7&lt;=$I7),AZ7,AZ7-MIN(INT(ROUND(IF($F7=1,$C7*$J7,IF(EY7&gt;0,EY7*$K7,AZ7*$J7))*IF(8=$R7,$S7,12)/12,6)+$B$4),AZ7-$I7)))))</f>
        <v/>
      </c>
      <c r="BB7" s="68">
        <f>IF($U7=0,0,IF($F7=4,0,IF($F7=3,0,IF(OR(9&gt;$R7,BA7&lt;=$I7),BA7,BA7-MIN(INT(ROUND(IF($F7=1,$C7*$J7,IF(EZ7&gt;0,EZ7*$K7,BA7*$J7))*IF(9=$R7,$S7,12)/12,6)+$B$4),BA7-$I7)))))</f>
        <v/>
      </c>
      <c r="BC7" s="68">
        <f>IF($U7=0,0,IF($F7=4,0,IF($F7=3,0,IF(OR(10&gt;$R7,BB7&lt;=$I7),BB7,BB7-MIN(INT(ROUND(IF($F7=1,$C7*$J7,IF(FA7&gt;0,FA7*$K7,BB7*$J7))*IF(10=$R7,$S7,12)/12,6)+$B$4),BB7-$I7)))))</f>
        <v/>
      </c>
      <c r="BD7" s="68">
        <f>IF($U7=0,0,IF($F7=4,0,IF($F7=3,0,IF(OR(11&gt;$R7,BC7&lt;=$I7),BC7,BC7-MIN(INT(ROUND(IF($F7=1,$C7*$J7,IF(FB7&gt;0,FB7*$K7,BC7*$J7))*IF(11=$R7,$S7,12)/12,6)+$B$4),BC7-$I7)))))</f>
        <v/>
      </c>
      <c r="BE7" s="68">
        <f>IF($U7=0,0,IF($F7=4,0,IF($F7=3,0,IF(OR(12&gt;$R7,BD7&lt;=$I7),BD7,BD7-MIN(INT(ROUND(IF($F7=1,$C7*$J7,IF(FC7&gt;0,FC7*$K7,BD7*$J7))*IF(12=$R7,$S7,12)/12,6)+$B$4),BD7-$I7)))))</f>
        <v/>
      </c>
      <c r="BF7" s="68">
        <f>IF($U7=0,0,IF($F7=4,0,IF($F7=3,0,IF(OR(13&gt;$R7,BE7&lt;=$I7),BE7,BE7-MIN(INT(ROUND(IF($F7=1,$C7*$J7,IF(FD7&gt;0,FD7*$K7,BE7*$J7))*IF(13=$R7,$S7,12)/12,6)+$B$4),BE7-$I7)))))</f>
        <v/>
      </c>
      <c r="BG7" s="68">
        <f>IF($U7=0,0,IF($F7=4,0,IF($F7=3,0,IF(OR(14&gt;$R7,BF7&lt;=$I7),BF7,BF7-MIN(INT(ROUND(IF($F7=1,$C7*$J7,IF(FE7&gt;0,FE7*$K7,BF7*$J7))*IF(14=$R7,$S7,12)/12,6)+$B$4),BF7-$I7)))))</f>
        <v/>
      </c>
      <c r="BH7" s="68">
        <f>IF($U7=0,0,IF($F7=4,0,IF($F7=3,0,IF(OR(15&gt;$R7,BG7&lt;=$I7),BG7,BG7-MIN(INT(ROUND(IF($F7=1,$C7*$J7,IF(FF7&gt;0,FF7*$K7,BG7*$J7))*IF(15=$R7,$S7,12)/12,6)+$B$4),BG7-$I7)))))</f>
        <v/>
      </c>
      <c r="BI7" s="68">
        <f>IF($U7=0,0,IF($F7=4,0,IF($F7=3,0,IF(OR(16&gt;$R7,BH7&lt;=$I7),BH7,BH7-MIN(INT(ROUND(IF($F7=1,$C7*$J7,IF(FG7&gt;0,FG7*$K7,BH7*$J7))*IF(16=$R7,$S7,12)/12,6)+$B$4),BH7-$I7)))))</f>
        <v/>
      </c>
      <c r="BJ7" s="68">
        <f>IF($U7=0,0,IF($F7=4,0,IF($F7=3,0,IF(OR(17&gt;$R7,BI7&lt;=$I7),BI7,BI7-MIN(INT(ROUND(IF($F7=1,$C7*$J7,IF(FH7&gt;0,FH7*$K7,BI7*$J7))*IF(17=$R7,$S7,12)/12,6)+$B$4),BI7-$I7)))))</f>
        <v/>
      </c>
      <c r="BK7" s="68">
        <f>IF($U7=0,0,IF($F7=4,0,IF($F7=3,0,IF(OR(18&gt;$R7,BJ7&lt;=$I7),BJ7,BJ7-MIN(INT(ROUND(IF($F7=1,$C7*$J7,IF(FI7&gt;0,FI7*$K7,BJ7*$J7))*IF(18=$R7,$S7,12)/12,6)+$B$4),BJ7-$I7)))))</f>
        <v/>
      </c>
      <c r="BL7" s="68">
        <f>IF($U7=0,0,IF($F7=4,0,IF($F7=3,0,IF(OR(19&gt;$R7,BK7&lt;=$I7),BK7,BK7-MIN(INT(ROUND(IF($F7=1,$C7*$J7,IF(FJ7&gt;0,FJ7*$K7,BK7*$J7))*IF(19=$R7,$S7,12)/12,6)+$B$4),BK7-$I7)))))</f>
        <v/>
      </c>
      <c r="BM7" s="68">
        <f>IF($U7=0,0,IF($F7=4,0,IF($F7=3,0,IF(OR(20&gt;$R7,BL7&lt;=$I7),BL7,BL7-MIN(INT(ROUND(IF($F7=1,$C7*$J7,IF(FK7&gt;0,FK7*$K7,BL7*$J7))*IF(20=$R7,$S7,12)/12,6)+$B$4),BL7-$I7)))))</f>
        <v/>
      </c>
      <c r="BN7" s="68">
        <f>IF($U7=0,0,IF($F7=4,0,IF($F7=3,0,IF(OR(21&gt;$R7,BM7&lt;=$I7),BM7,BM7-MIN(INT(ROUND(IF($F7=1,$C7*$J7,IF(FL7&gt;0,FL7*$K7,BM7*$J7))*IF(21=$R7,$S7,12)/12,6)+$B$4),BM7-$I7)))))</f>
        <v/>
      </c>
      <c r="BO7" s="68">
        <f>IF($U7=0,0,IF($F7=4,0,IF($F7=3,0,IF(OR(22&gt;$R7,BN7&lt;=$I7),BN7,BN7-MIN(INT(ROUND(IF($F7=1,$C7*$J7,IF(FM7&gt;0,FM7*$K7,BN7*$J7))*IF(22=$R7,$S7,12)/12,6)+$B$4),BN7-$I7)))))</f>
        <v/>
      </c>
      <c r="BP7" s="68">
        <f>IF($U7=0,0,IF($F7=4,0,IF($F7=3,0,IF(OR(23&gt;$R7,BO7&lt;=$I7),BO7,BO7-MIN(INT(ROUND(IF($F7=1,$C7*$J7,IF(FN7&gt;0,FN7*$K7,BO7*$J7))*IF(23=$R7,$S7,12)/12,6)+$B$4),BO7-$I7)))))</f>
        <v/>
      </c>
      <c r="BQ7" s="68">
        <f>IF($U7=0,0,IF($F7=4,0,IF($F7=3,0,IF(OR(24&gt;$R7,BP7&lt;=$I7),BP7,BP7-MIN(INT(ROUND(IF($F7=1,$C7*$J7,IF(FO7&gt;0,FO7*$K7,BP7*$J7))*IF(24=$R7,$S7,12)/12,6)+$B$4),BP7-$I7)))))</f>
        <v/>
      </c>
      <c r="BR7" s="68">
        <f>IF($U7=0,0,IF($F7=4,0,IF($F7=3,0,IF(OR(25&gt;$R7,BQ7&lt;=$I7),BQ7,BQ7-MIN(INT(ROUND(IF($F7=1,$C7*$J7,IF(FP7&gt;0,FP7*$K7,BQ7*$J7))*IF(25=$R7,$S7,12)/12,6)+$B$4),BQ7-$I7)))))</f>
        <v/>
      </c>
      <c r="BS7" s="68">
        <f>IF($U7=0,0,IF($F7=4,0,IF($F7=3,0,IF(OR(26&gt;$R7,BR7&lt;=$I7),BR7,BR7-MIN(INT(ROUND(IF($F7=1,$C7*$J7,IF(FQ7&gt;0,FQ7*$K7,BR7*$J7))*IF(26=$R7,$S7,12)/12,6)+$B$4),BR7-$I7)))))</f>
        <v/>
      </c>
      <c r="BT7" s="68">
        <f>IF($U7=0,0,IF($F7=4,0,IF($F7=3,0,IF(OR(27&gt;$R7,BS7&lt;=$I7),BS7,BS7-MIN(INT(ROUND(IF($F7=1,$C7*$J7,IF(FR7&gt;0,FR7*$K7,BS7*$J7))*IF(27=$R7,$S7,12)/12,6)+$B$4),BS7-$I7)))))</f>
        <v/>
      </c>
      <c r="BU7" s="68">
        <f>IF($U7=0,0,IF($F7=4,0,IF($F7=3,0,IF(OR(28&gt;$R7,BT7&lt;=$I7),BT7,BT7-MIN(INT(ROUND(IF($F7=1,$C7*$J7,IF(FS7&gt;0,FS7*$K7,BT7*$J7))*IF(28=$R7,$S7,12)/12,6)+$B$4),BT7-$I7)))))</f>
        <v/>
      </c>
      <c r="BV7" s="68">
        <f>IF($U7=0,0,IF($F7=4,0,IF($F7=3,0,IF(OR(29&gt;$R7,BU7&lt;=$I7),BU7,BU7-MIN(INT(ROUND(IF($F7=1,$C7*$J7,IF(FT7&gt;0,FT7*$K7,BU7*$J7))*IF(29=$R7,$S7,12)/12,6)+$B$4),BU7-$I7)))))</f>
        <v/>
      </c>
      <c r="BW7" s="68">
        <f>IF($U7=0,0,IF($F7=4,0,IF($F7=3,0,IF(OR(30&gt;$R7,BV7&lt;=$I7),BV7,BV7-MIN(INT(ROUND(IF($F7=1,$C7*$J7,IF(FU7&gt;0,FU7*$K7,BV7*$J7))*IF(30=$R7,$S7,12)/12,6)+$B$4),BV7-$I7)))))</f>
        <v/>
      </c>
      <c r="BX7" s="68">
        <f>IF($U7=0,0,IF($F7=4,0,IF($F7=3,0,IF(OR(31&gt;$R7,BW7&lt;=$I7),BW7,BW7-MIN(INT(ROUND(IF($F7=1,$C7*$J7,IF(FV7&gt;0,FV7*$K7,BW7*$J7))*IF(31=$R7,$S7,12)/12,6)+$B$4),BW7-$I7)))))</f>
        <v/>
      </c>
      <c r="BY7" s="68">
        <f>IF($U7=0,0,IF($F7=4,0,IF($F7=3,0,IF(OR(32&gt;$R7,BX7&lt;=$I7),BX7,BX7-MIN(INT(ROUND(IF($F7=1,$C7*$J7,IF(FW7&gt;0,FW7*$K7,BX7*$J7))*IF(32=$R7,$S7,12)/12,6)+$B$4),BX7-$I7)))))</f>
        <v/>
      </c>
      <c r="BZ7" s="68">
        <f>IF($U7=0,0,IF($F7=4,0,IF($F7=3,0,IF(OR(33&gt;$R7,BY7&lt;=$I7),BY7,BY7-MIN(INT(ROUND(IF($F7=1,$C7*$J7,IF(FX7&gt;0,FX7*$K7,BY7*$J7))*IF(33=$R7,$S7,12)/12,6)+$B$4),BY7-$I7)))))</f>
        <v/>
      </c>
      <c r="CA7" s="68">
        <f>IF($U7=0,0,IF($F7=4,0,IF($F7=3,0,IF(OR(34&gt;$R7,BZ7&lt;=$I7),BZ7,BZ7-MIN(INT(ROUND(IF($F7=1,$C7*$J7,IF(FY7&gt;0,FY7*$K7,BZ7*$J7))*IF(34=$R7,$S7,12)/12,6)+$B$4),BZ7-$I7)))))</f>
        <v/>
      </c>
      <c r="CB7" s="68">
        <f>IF($U7=0,0,IF($F7=4,0,IF($F7=3,0,IF(OR(35&gt;$R7,CA7&lt;=$I7),CA7,CA7-MIN(INT(ROUND(IF($F7=1,$C7*$J7,IF(FZ7&gt;0,FZ7*$K7,CA7*$J7))*IF(35=$R7,$S7,12)/12,6)+$B$4),CA7-$I7)))))</f>
        <v/>
      </c>
      <c r="CC7" s="68">
        <f>IF($U7=0,0,IF($F7=4,0,IF($F7=3,0,IF(OR(36&gt;$R7,CB7&lt;=$I7),CB7,CB7-MIN(INT(ROUND(IF($F7=1,$C7*$J7,IF(GA7&gt;0,GA7*$K7,CB7*$J7))*IF(36=$R7,$S7,12)/12,6)+$B$4),CB7-$I7)))))</f>
        <v/>
      </c>
      <c r="CD7" s="68">
        <f>IF($U7=0,0,IF($F7=4,0,IF($F7=3,0,IF(OR(37&gt;$R7,CC7&lt;=$I7),CC7,CC7-MIN(INT(ROUND(IF($F7=1,$C7*$J7,IF(GB7&gt;0,GB7*$K7,CC7*$J7))*IF(37=$R7,$S7,12)/12,6)+$B$4),CC7-$I7)))))</f>
        <v/>
      </c>
      <c r="CE7" s="68">
        <f>IF($U7=0,0,IF($F7=4,0,IF($F7=3,0,IF(OR(38&gt;$R7,CD7&lt;=$I7),CD7,CD7-MIN(INT(ROUND(IF($F7=1,$C7*$J7,IF(GC7&gt;0,GC7*$K7,CD7*$J7))*IF(38=$R7,$S7,12)/12,6)+$B$4),CD7-$I7)))))</f>
        <v/>
      </c>
      <c r="CF7" s="68">
        <f>IF($U7=0,0,IF($F7=4,0,IF($F7=3,0,IF(OR(39&gt;$R7,CE7&lt;=$I7),CE7,CE7-MIN(INT(ROUND(IF($F7=1,$C7*$J7,IF(GD7&gt;0,GD7*$K7,CE7*$J7))*IF(39=$R7,$S7,12)/12,6)+$B$4),CE7-$I7)))))</f>
        <v/>
      </c>
      <c r="CG7" s="68">
        <f>IF($U7=0,0,IF($F7=4,0,IF($F7=3,0,IF(OR(40&gt;$R7,CF7&lt;=$I7),CF7,CF7-MIN(INT(ROUND(IF($F7=1,$C7*$J7,IF(GE7&gt;0,GE7*$K7,CF7*$J7))*IF(40=$R7,$S7,12)/12,6)+$B$4),CF7-$I7)))))</f>
        <v/>
      </c>
      <c r="CH7" s="68">
        <f>IF($U7=0,0,IF($F7=4,0,IF($F7=3,0,IF(OR(41&gt;$R7,CG7&lt;=$I7),CG7,CG7-MIN(INT(ROUND(IF($F7=1,$C7*$J7,IF(GF7&gt;0,GF7*$K7,CG7*$J7))*IF(41=$R7,$S7,12)/12,6)+$B$4),CG7-$I7)))))</f>
        <v/>
      </c>
      <c r="CI7" s="68">
        <f>IF($U7=0,0,IF($F7=4,0,IF($F7=3,0,IF(OR(42&gt;$R7,CH7&lt;=$I7),CH7,CH7-MIN(INT(ROUND(IF($F7=1,$C7*$J7,IF(GG7&gt;0,GG7*$K7,CH7*$J7))*IF(42=$R7,$S7,12)/12,6)+$B$4),CH7-$I7)))))</f>
        <v/>
      </c>
      <c r="CJ7" s="68">
        <f>IF($U7=0,0,IF($F7=4,0,IF($F7=3,0,IF(OR(43&gt;$R7,CI7&lt;=$I7),CI7,CI7-MIN(INT(ROUND(IF($F7=1,$C7*$J7,IF(GH7&gt;0,GH7*$K7,CI7*$J7))*IF(43=$R7,$S7,12)/12,6)+$B$4),CI7-$I7)))))</f>
        <v/>
      </c>
      <c r="CK7" s="68">
        <f>IF($U7=0,0,IF($F7=4,0,IF($F7=3,0,IF(OR(44&gt;$R7,CJ7&lt;=$I7),CJ7,CJ7-MIN(INT(ROUND(IF($F7=1,$C7*$J7,IF(GI7&gt;0,GI7*$K7,CJ7*$J7))*IF(44=$R7,$S7,12)/12,6)+$B$4),CJ7-$I7)))))</f>
        <v/>
      </c>
      <c r="CL7" s="68">
        <f>IF($U7=0,0,IF($F7=4,0,IF($F7=3,0,IF(OR(45&gt;$R7,CK7&lt;=$I7),CK7,CK7-MIN(INT(ROUND(IF($F7=1,$C7*$J7,IF(GJ7&gt;0,GJ7*$K7,CK7*$J7))*IF(45=$R7,$S7,12)/12,6)+$B$4),CK7-$I7)))))</f>
        <v/>
      </c>
      <c r="CM7" s="68">
        <f>IF($U7=0,0,IF($F7=4,0,IF($F7=3,0,IF(OR(46&gt;$R7,CL7&lt;=$I7),CL7,CL7-MIN(INT(ROUND(IF($F7=1,$C7*$J7,IF(GK7&gt;0,GK7*$K7,CL7*$J7))*IF(46=$R7,$S7,12)/12,6)+$B$4),CL7-$I7)))))</f>
        <v/>
      </c>
      <c r="CN7" s="68">
        <f>IF($U7=0,0,IF($F7=4,0,IF($F7=3,0,IF(OR(47&gt;$R7,CM7&lt;=$I7),CM7,CM7-MIN(INT(ROUND(IF($F7=1,$C7*$J7,IF(GL7&gt;0,GL7*$K7,CM7*$J7))*IF(47=$R7,$S7,12)/12,6)+$B$4),CM7-$I7)))))</f>
        <v/>
      </c>
      <c r="CO7" s="68">
        <f>IF($U7=0,0,IF($F7=4,0,IF($F7=3,0,IF(OR(48&gt;$R7,CN7&lt;=$I7),CN7,CN7-MIN(INT(ROUND(IF($F7=1,$C7*$J7,IF(GM7&gt;0,GM7*$K7,CN7*$J7))*IF(48=$R7,$S7,12)/12,6)+$B$4),CN7-$I7)))))</f>
        <v/>
      </c>
      <c r="CP7" s="68">
        <f>IF($U7=0,0,IF($F7=4,0,IF($F7=3,0,IF(OR(49&gt;$R7,CO7&lt;=$I7),CO7,CO7-MIN(INT(ROUND(IF($F7=1,$C7*$J7,IF(GN7&gt;0,GN7*$K7,CO7*$J7))*IF(49=$R7,$S7,12)/12,6)+$B$4),CO7-$I7)))))</f>
        <v/>
      </c>
      <c r="CQ7" s="68">
        <f>IF($U7=0,0,IF($F7=4,0,IF($F7=3,0,IF(OR(50&gt;$R7,CP7&lt;=$I7),CP7,CP7-MIN(INT(ROUND(IF($F7=1,$C7*$J7,IF(GO7&gt;0,GO7*$K7,CP7*$J7))*IF(50=$R7,$S7,12)/12,6)+$B$4),CP7-$I7)))))</f>
        <v/>
      </c>
      <c r="CR7" s="68">
        <f>IF($U7=0,0,IF($F7=4,0,IF($F7=3,0,IF(OR(51&gt;$R7,CQ7&lt;=$I7),CQ7,CQ7-MIN(INT(ROUND(IF($F7=1,$C7*$J7,IF(GP7&gt;0,GP7*$K7,CQ7*$J7))*IF(51=$R7,$S7,12)/12,6)+$B$4),CQ7-$I7)))))</f>
        <v/>
      </c>
      <c r="CS7" s="68">
        <f>IF($U7=0,0,IF($F7=4,0,IF($F7=3,0,IF(OR(52&gt;$R7,CR7&lt;=$I7),CR7,CR7-MIN(INT(ROUND(IF($F7=1,$C7*$J7,IF(GQ7&gt;0,GQ7*$K7,CR7*$J7))*IF(52=$R7,$S7,12)/12,6)+$B$4),CR7-$I7)))))</f>
        <v/>
      </c>
      <c r="CT7" s="68">
        <f>IF($U7=0,0,IF($F7=4,0,IF($F7=3,0,IF(OR(53&gt;$R7,CS7&lt;=$I7),CS7,CS7-MIN(INT(ROUND(IF($F7=1,$C7*$J7,IF(GR7&gt;0,GR7*$K7,CS7*$J7))*IF(53=$R7,$S7,12)/12,6)+$B$4),CS7-$I7)))))</f>
        <v/>
      </c>
      <c r="CU7" s="68">
        <f>IF($U7=0,0,IF($F7=4,0,IF($F7=3,0,IF(OR(54&gt;$R7,CT7&lt;=$I7),CT7,CT7-MIN(INT(ROUND(IF($F7=1,$C7*$J7,IF(GS7&gt;0,GS7*$K7,CT7*$J7))*IF(54=$R7,$S7,12)/12,6)+$B$4),CT7-$I7)))))</f>
        <v/>
      </c>
      <c r="CV7" s="68">
        <f>IF($U7=0,0,IF($F7=4,0,IF($F7=3,0,IF(OR(55&gt;$R7,CU7&lt;=$I7),CU7,CU7-MIN(INT(ROUND(IF($F7=1,$C7*$J7,IF(GT7&gt;0,GT7*$K7,CU7*$J7))*IF(55=$R7,$S7,12)/12,6)+$B$4),CU7-$I7)))))</f>
        <v/>
      </c>
      <c r="CW7" s="68">
        <f>IF($U7=0,0,IF($F7=4,0,IF($F7=3,0,IF(OR(56&gt;$R7,CV7&lt;=$I7),CV7,CV7-MIN(INT(ROUND(IF($F7=1,$C7*$J7,IF(GU7&gt;0,GU7*$K7,CV7*$J7))*IF(56=$R7,$S7,12)/12,6)+$B$4),CV7-$I7)))))</f>
        <v/>
      </c>
      <c r="CX7" s="68">
        <f>IF($U7=0,0,IF($F7=4,0,IF($F7=3,0,IF(OR(57&gt;$R7,CW7&lt;=$I7),CW7,CW7-MIN(INT(ROUND(IF($F7=1,$C7*$J7,IF(GV7&gt;0,GV7*$K7,CW7*$J7))*IF(57=$R7,$S7,12)/12,6)+$B$4),CW7-$I7)))))</f>
        <v/>
      </c>
      <c r="CY7" s="68">
        <f>IF($U7=0,0,IF($F7=4,0,IF($F7=3,0,IF(OR(58&gt;$R7,CX7&lt;=$I7),CX7,CX7-MIN(INT(ROUND(IF($F7=1,$C7*$J7,IF(GW7&gt;0,GW7*$K7,CX7*$J7))*IF(58=$R7,$S7,12)/12,6)+$B$4),CX7-$I7)))))</f>
        <v/>
      </c>
      <c r="CZ7" s="68">
        <f>IF($U7=0,0,IF($F7=4,0,IF($F7=3,0,IF(OR(59&gt;$R7,CY7&lt;=$I7),CY7,CY7-MIN(INT(ROUND(IF($F7=1,$C7*$J7,IF(GX7&gt;0,GX7*$K7,CY7*$J7))*IF(59=$R7,$S7,12)/12,6)+$B$4),CY7-$I7)))))</f>
        <v/>
      </c>
      <c r="DA7" s="68">
        <f>IF($U7=0,0,IF($F7=4,0,IF($F7=3,0,IF(OR(60&gt;$R7,CZ7&lt;=$I7),CZ7,CZ7-MIN(INT(ROUND(IF($F7=1,$C7*$J7,IF(GY7&gt;0,GY7*$K7,CZ7*$J7))*IF(60=$R7,$S7,12)/12,6)+$B$4),CZ7-$I7)))))</f>
        <v/>
      </c>
      <c r="DB7" s="68">
        <f>IF($U7=0,0,IF($F7=4,0,IF($F7=3,0,IF(OR(61&gt;$R7,DA7&lt;=$I7),DA7,DA7-MIN(INT(ROUND(IF($F7=1,$C7*$J7,IF(GZ7&gt;0,GZ7*$K7,DA7*$J7))*IF(61=$R7,$S7,12)/12,6)+$B$4),DA7-$I7)))))</f>
        <v/>
      </c>
      <c r="DC7" s="68">
        <f>IF($U7=0,0,IF($F7=4,0,IF($F7=3,0,IF(OR(62&gt;$R7,DB7&lt;=$I7),DB7,DB7-MIN(INT(ROUND(IF($F7=1,$C7*$J7,IF(HA7&gt;0,HA7*$K7,DB7*$J7))*IF(62=$R7,$S7,12)/12,6)+$B$4),DB7-$I7)))))</f>
        <v/>
      </c>
      <c r="DD7" s="68">
        <f>IF($U7=0,0,IF($F7=4,0,IF($F7=3,0,IF(OR(63&gt;$R7,DC7&lt;=$I7),DC7,DC7-MIN(INT(ROUND(IF($F7=1,$C7*$J7,IF(HB7&gt;0,HB7*$K7,DC7*$J7))*IF(63=$R7,$S7,12)/12,6)+$B$4),DC7-$I7)))))</f>
        <v/>
      </c>
      <c r="DE7" s="68">
        <f>IF($U7=0,0,IF($F7=4,0,IF($F7=3,0,IF(OR(64&gt;$R7,DD7&lt;=$I7),DD7,DD7-MIN(INT(ROUND(IF($F7=1,$C7*$J7,IF(HC7&gt;0,HC7*$K7,DD7*$J7))*IF(64=$R7,$S7,12)/12,6)+$B$4),DD7-$I7)))))</f>
        <v/>
      </c>
      <c r="DF7" s="68">
        <f>IF($U7=0,0,IF($F7=4,0,IF($F7=3,0,IF(OR(65&gt;$R7,DE7&lt;=$I7),DE7,DE7-MIN(INT(ROUND(IF($F7=1,$C7*$J7,IF(HD7&gt;0,HD7*$K7,DE7*$J7))*IF(65=$R7,$S7,12)/12,6)+$B$4),DE7-$I7)))))</f>
        <v/>
      </c>
      <c r="DG7" s="68">
        <f>IF($U7=0,0,IF($F7=4,0,IF($F7=3,0,IF(OR(66&gt;$R7,DF7&lt;=$I7),DF7,DF7-MIN(INT(ROUND(IF($F7=1,$C7*$J7,IF(HE7&gt;0,HE7*$K7,DF7*$J7))*IF(66=$R7,$S7,12)/12,6)+$B$4),DF7-$I7)))))</f>
        <v/>
      </c>
      <c r="DH7" s="68">
        <f>IF($U7=0,0,IF($F7=4,0,IF($F7=3,0,IF(OR(67&gt;$R7,DG7&lt;=$I7),DG7,DG7-MIN(INT(ROUND(IF($F7=1,$C7*$J7,IF(HF7&gt;0,HF7*$K7,DG7*$J7))*IF(67=$R7,$S7,12)/12,6)+$B$4),DG7-$I7)))))</f>
        <v/>
      </c>
      <c r="DI7" s="68">
        <f>IF($U7=0,0,IF($F7=4,0,IF($F7=3,0,IF(OR(68&gt;$R7,DH7&lt;=$I7),DH7,DH7-MIN(INT(ROUND(IF($F7=1,$C7*$J7,IF(HG7&gt;0,HG7*$K7,DH7*$J7))*IF(68=$R7,$S7,12)/12,6)+$B$4),DH7-$I7)))))</f>
        <v/>
      </c>
      <c r="DJ7" s="68">
        <f>IF($U7=0,0,IF($F7=4,0,IF($F7=3,0,IF(OR(69&gt;$R7,DI7&lt;=$I7),DI7,DI7-MIN(INT(ROUND(IF($F7=1,$C7*$J7,IF(HH7&gt;0,HH7*$K7,DI7*$J7))*IF(69=$R7,$S7,12)/12,6)+$B$4),DI7-$I7)))))</f>
        <v/>
      </c>
      <c r="DK7" s="68">
        <f>IF($U7=0,0,IF($F7=4,0,IF($F7=3,0,IF(OR(70&gt;$R7,DJ7&lt;=$I7),DJ7,DJ7-MIN(INT(ROUND(IF($F7=1,$C7*$J7,IF(HI7&gt;0,HI7*$K7,DJ7*$J7))*IF(70=$R7,$S7,12)/12,6)+$B$4),DJ7-$I7)))))</f>
        <v/>
      </c>
      <c r="DL7" s="68">
        <f>IF($U7=0,0,IF($F7=4,0,IF($F7=3,0,IF(OR(71&gt;$R7,DK7&lt;=$I7),DK7,DK7-MIN(INT(ROUND(IF($F7=1,$C7*$J7,IF(HJ7&gt;0,HJ7*$K7,DK7*$J7))*IF(71=$R7,$S7,12)/12,6)+$B$4),DK7-$I7)))))</f>
        <v/>
      </c>
      <c r="DM7" s="68">
        <f>IF($U7=0,0,IF($F7=4,0,IF($F7=3,0,IF(OR(72&gt;$R7,DL7&lt;=$I7),DL7,DL7-MIN(INT(ROUND(IF($F7=1,$C7*$J7,IF(HK7&gt;0,HK7*$K7,DL7*$J7))*IF(72=$R7,$S7,12)/12,6)+$B$4),DL7-$I7)))))</f>
        <v/>
      </c>
      <c r="DN7" s="68">
        <f>IF($U7=0,0,IF($F7=4,0,IF($F7=3,0,IF(OR(73&gt;$R7,DM7&lt;=$I7),DM7,DM7-MIN(INT(ROUND(IF($F7=1,$C7*$J7,IF(HL7&gt;0,HL7*$K7,DM7*$J7))*IF(73=$R7,$S7,12)/12,6)+$B$4),DM7-$I7)))))</f>
        <v/>
      </c>
      <c r="DO7" s="68">
        <f>IF($U7=0,0,IF($F7=4,0,IF($F7=3,0,IF(OR(74&gt;$R7,DN7&lt;=$I7),DN7,DN7-MIN(INT(ROUND(IF($F7=1,$C7*$J7,IF(HM7&gt;0,HM7*$K7,DN7*$J7))*IF(74=$R7,$S7,12)/12,6)+$B$4),DN7-$I7)))))</f>
        <v/>
      </c>
      <c r="DP7" s="68">
        <f>IF($U7=0,0,IF($F7=4,0,IF($F7=3,0,IF(OR(75&gt;$R7,DO7&lt;=$I7),DO7,DO7-MIN(INT(ROUND(IF($F7=1,$C7*$J7,IF(HN7&gt;0,HN7*$K7,DO7*$J7))*IF(75=$R7,$S7,12)/12,6)+$B$4),DO7-$I7)))))</f>
        <v/>
      </c>
      <c r="DQ7" s="68">
        <f>IF($U7=0,0,IF($F7=4,0,IF($F7=3,0,IF(OR(76&gt;$R7,DP7&lt;=$I7),DP7,DP7-MIN(INT(ROUND(IF($F7=1,$C7*$J7,IF(HO7&gt;0,HO7*$K7,DP7*$J7))*IF(76=$R7,$S7,12)/12,6)+$B$4),DP7-$I7)))))</f>
        <v/>
      </c>
      <c r="DR7" s="68">
        <f>IF($U7=0,0,IF($F7=4,0,IF($F7=3,0,IF(OR(77&gt;$R7,DQ7&lt;=$I7),DQ7,DQ7-MIN(INT(ROUND(IF($F7=1,$C7*$J7,IF(HP7&gt;0,HP7*$K7,DQ7*$J7))*IF(77=$R7,$S7,12)/12,6)+$B$4),DQ7-$I7)))))</f>
        <v/>
      </c>
      <c r="DS7" s="68">
        <f>IF($U7=0,0,IF($F7=4,0,IF($F7=3,0,IF(OR(78&gt;$R7,DR7&lt;=$I7),DR7,DR7-MIN(INT(ROUND(IF($F7=1,$C7*$J7,IF(HQ7&gt;0,HQ7*$K7,DR7*$J7))*IF(78=$R7,$S7,12)/12,6)+$B$4),DR7-$I7)))))</f>
        <v/>
      </c>
      <c r="DT7" s="68">
        <f>IF($U7=0,0,IF($F7=4,0,IF($F7=3,0,IF(OR(79&gt;$R7,DS7&lt;=$I7),DS7,DS7-MIN(INT(ROUND(IF($F7=1,$C7*$J7,IF(HR7&gt;0,HR7*$K7,DS7*$J7))*IF(79=$R7,$S7,12)/12,6)+$B$4),DS7-$I7)))))</f>
        <v/>
      </c>
      <c r="DU7" s="68">
        <f>IF($U7=0,0,IF($F7=4,0,IF($F7=3,0,IF(OR(80&gt;$R7,DT7&lt;=$I7),DT7,DT7-MIN(INT(ROUND(IF($F7=1,$C7*$J7,IF(HS7&gt;0,HS7*$K7,DT7*$J7))*IF(80=$R7,$S7,12)/12,6)+$B$4),DT7-$I7)))))</f>
        <v/>
      </c>
      <c r="DV7" s="68">
        <f>IF($U7=0,0,IF($F7=4,0,IF($F7=3,0,IF(OR(81&gt;$R7,DU7&lt;=$I7),DU7,DU7-MIN(INT(ROUND(IF($F7=1,$C7*$J7,IF(HT7&gt;0,HT7*$K7,DU7*$J7))*IF(81=$R7,$S7,12)/12,6)+$B$4),DU7-$I7)))))</f>
        <v/>
      </c>
      <c r="DW7" s="68">
        <f>IF($U7=0,0,IF($F7=4,0,IF($F7=3,0,IF(OR(82&gt;$R7,DV7&lt;=$I7),DV7,DV7-MIN(INT(ROUND(IF($F7=1,$C7*$J7,IF(HU7&gt;0,HU7*$K7,DV7*$J7))*IF(82=$R7,$S7,12)/12,6)+$B$4),DV7-$I7)))))</f>
        <v/>
      </c>
      <c r="DX7" s="68">
        <f>IF($U7=0,0,IF($F7=4,0,IF($F7=3,0,IF(OR(83&gt;$R7,DW7&lt;=$I7),DW7,DW7-MIN(INT(ROUND(IF($F7=1,$C7*$J7,IF(HV7&gt;0,HV7*$K7,DW7*$J7))*IF(83=$R7,$S7,12)/12,6)+$B$4),DW7-$I7)))))</f>
        <v/>
      </c>
      <c r="DY7" s="68">
        <f>IF($U7=0,0,IF($F7=4,0,IF($F7=3,0,IF(OR(84&gt;$R7,DX7&lt;=$I7),DX7,DX7-MIN(INT(ROUND(IF($F7=1,$C7*$J7,IF(HW7&gt;0,HW7*$K7,DX7*$J7))*IF(84=$R7,$S7,12)/12,6)+$B$4),DX7-$I7)))))</f>
        <v/>
      </c>
      <c r="DZ7" s="68">
        <f>IF($U7=0,0,IF($F7=4,0,IF($F7=3,0,IF(OR(85&gt;$R7,DY7&lt;=$I7),DY7,DY7-MIN(INT(ROUND(IF($F7=1,$C7*$J7,IF(HX7&gt;0,HX7*$K7,DY7*$J7))*IF(85=$R7,$S7,12)/12,6)+$B$4),DY7-$I7)))))</f>
        <v/>
      </c>
      <c r="EA7" s="68">
        <f>IF($U7=0,0,IF($F7=4,0,IF($F7=3,0,IF(OR(86&gt;$R7,DZ7&lt;=$I7),DZ7,DZ7-MIN(INT(ROUND(IF($F7=1,$C7*$J7,IF(HY7&gt;0,HY7*$K7,DZ7*$J7))*IF(86=$R7,$S7,12)/12,6)+$B$4),DZ7-$I7)))))</f>
        <v/>
      </c>
      <c r="EB7" s="68">
        <f>IF($U7=0,0,IF($F7=4,0,IF($F7=3,0,IF(OR(87&gt;$R7,EA7&lt;=$I7),EA7,EA7-MIN(INT(ROUND(IF($F7=1,$C7*$J7,IF(HZ7&gt;0,HZ7*$K7,EA7*$J7))*IF(87=$R7,$S7,12)/12,6)+$B$4),EA7-$I7)))))</f>
        <v/>
      </c>
      <c r="EC7" s="68">
        <f>IF($U7=0,0,IF($F7=4,0,IF($F7=3,0,IF(OR(88&gt;$R7,EB7&lt;=$I7),EB7,EB7-MIN(INT(ROUND(IF($F7=1,$C7*$J7,IF(IA7&gt;0,IA7*$K7,EB7*$J7))*IF(88=$R7,$S7,12)/12,6)+$B$4),EB7-$I7)))))</f>
        <v/>
      </c>
      <c r="ED7" s="68">
        <f>IF($U7=0,0,IF($F7=4,0,IF($F7=3,0,IF(OR(89&gt;$R7,EC7&lt;=$I7),EC7,EC7-MIN(INT(ROUND(IF($F7=1,$C7*$J7,IF(IB7&gt;0,IB7*$K7,EC7*$J7))*IF(89=$R7,$S7,12)/12,6)+$B$4),EC7-$I7)))))</f>
        <v/>
      </c>
      <c r="EE7" s="68">
        <f>IF($U7=0,0,IF($F7=4,0,IF($F7=3,0,IF(OR(90&gt;$R7,ED7&lt;=$I7),ED7,ED7-MIN(INT(ROUND(IF($F7=1,$C7*$J7,IF(IC7&gt;0,IC7*$K7,ED7*$J7))*IF(90=$R7,$S7,12)/12,6)+$B$4),ED7-$I7)))))</f>
        <v/>
      </c>
      <c r="EF7" s="68">
        <f>IF($U7=0,0,IF($F7=4,0,IF($F7=3,0,IF(OR(91&gt;$R7,EE7&lt;=$I7),EE7,EE7-MIN(INT(ROUND(IF($F7=1,$C7*$J7,IF(ID7&gt;0,ID7*$K7,EE7*$J7))*IF(91=$R7,$S7,12)/12,6)+$B$4),EE7-$I7)))))</f>
        <v/>
      </c>
      <c r="EG7" s="68">
        <f>IF($U7=0,0,IF($F7=4,0,IF($F7=3,0,IF(OR(92&gt;$R7,EF7&lt;=$I7),EF7,EF7-MIN(INT(ROUND(IF($F7=1,$C7*$J7,IF(IE7&gt;0,IE7*$K7,EF7*$J7))*IF(92=$R7,$S7,12)/12,6)+$B$4),EF7-$I7)))))</f>
        <v/>
      </c>
      <c r="EH7" s="68">
        <f>IF($U7=0,0,IF($F7=4,0,IF($F7=3,0,IF(OR(93&gt;$R7,EG7&lt;=$I7),EG7,EG7-MIN(INT(ROUND(IF($F7=1,$C7*$J7,IF(IF7&gt;0,IF7*$K7,EG7*$J7))*IF(93=$R7,$S7,12)/12,6)+$B$4),EG7-$I7)))))</f>
        <v/>
      </c>
      <c r="EI7" s="68">
        <f>IF($U7=0,0,IF($F7=4,0,IF($F7=3,0,IF(OR(94&gt;$R7,EH7&lt;=$I7),EH7,EH7-MIN(INT(ROUND(IF($F7=1,$C7*$J7,IF(IG7&gt;0,IG7*$K7,EH7*$J7))*IF(94=$R7,$S7,12)/12,6)+$B$4),EH7-$I7)))))</f>
        <v/>
      </c>
      <c r="EJ7" s="68">
        <f>IF($U7=0,0,IF($F7=4,0,IF($F7=3,0,IF(OR(95&gt;$R7,EI7&lt;=$I7),EI7,EI7-MIN(INT(ROUND(IF($F7=1,$C7*$J7,IF(IH7&gt;0,IH7*$K7,EI7*$J7))*IF(95=$R7,$S7,12)/12,6)+$B$4),EI7-$I7)))))</f>
        <v/>
      </c>
      <c r="EK7" s="68">
        <f>IF($U7=0,0,IF($F7=4,0,IF($F7=3,0,IF(OR(96&gt;$R7,EJ7&lt;=$I7),EJ7,EJ7-MIN(INT(ROUND(IF($F7=1,$C7*$J7,IF(II7&gt;0,II7*$K7,EJ7*$J7))*IF(96=$R7,$S7,12)/12,6)+$B$4),EJ7-$I7)))))</f>
        <v/>
      </c>
      <c r="EL7" s="68">
        <f>IF($U7=0,0,IF($F7=4,0,IF($F7=3,0,IF(OR(97&gt;$R7,EK7&lt;=$I7),EK7,EK7-MIN(INT(ROUND(IF($F7=1,$C7*$J7,IF(IJ7&gt;0,IJ7*$K7,EK7*$J7))*IF(97=$R7,$S7,12)/12,6)+$B$4),EK7-$I7)))))</f>
        <v/>
      </c>
      <c r="EM7" s="68">
        <f>IF($U7=0,0,IF($F7=4,0,IF($F7=3,0,IF(OR(98&gt;$R7,EL7&lt;=$I7),EL7,EL7-MIN(INT(ROUND(IF($F7=1,$C7*$J7,IF(IK7&gt;0,IK7*$K7,EL7*$J7))*IF(98=$R7,$S7,12)/12,6)+$B$4),EL7-$I7)))))</f>
        <v/>
      </c>
      <c r="EN7" s="68">
        <f>IF($U7=0,0,IF($F7=4,0,IF($F7=3,0,IF(OR(99&gt;$R7,EM7&lt;=$I7),EM7,EM7-MIN(INT(ROUND(IF($F7=1,$C7*$J7,IF(IL7&gt;0,IL7*$K7,EM7*$J7))*IF(99=$R7,$S7,12)/12,6)+$B$4),EM7-$I7)))))</f>
        <v/>
      </c>
      <c r="EO7" s="68">
        <f>IF($U7=0,0,IF($F7=4,0,IF($F7=3,0,IF(OR(100&gt;$R7,EN7&lt;=$I7),EN7,EN7-MIN(INT(ROUND(IF($F7=1,$C7*$J7,IF(IM7&gt;0,IM7*$K7,EN7*$J7))*IF(100=$R7,$S7,12)/12,6)+$B$4),EN7-$I7)))))</f>
        <v/>
      </c>
      <c r="EP7" s="68">
        <f>IF($U7=0,0,IF($F7=4,0,IF($F7=3,0,IF(OR(101&gt;$R7,EO7&lt;=$I7),EO7,EO7-MIN(INT(ROUND(IF($F7=1,$C7*$J7,IF(IN7&gt;0,IN7*$K7,EO7*$J7))*IF(101=$R7,$S7,12)/12,6)+$B$4),EO7-$I7)))))</f>
        <v/>
      </c>
      <c r="EQ7" s="68" t="n"/>
      <c r="ER7" s="68">
        <f>IF(OR($U7=0,$F7&lt;&gt;2),0,IF(ROUND(AS7*$J7,6)&lt;ROUND($M7,6),AS7,0))</f>
        <v/>
      </c>
      <c r="ES7" s="68">
        <f>IF(OR($U7=0,$F7&lt;&gt;2),0,IF(ER7&gt;0,ER7,IF(ROUND(AT7*$J7,6)&lt;ROUND($M7,6),AT7,0)))</f>
        <v/>
      </c>
      <c r="ET7" s="68">
        <f>IF(OR($U7=0,$F7&lt;&gt;2),0,IF(ES7&gt;0,ES7,IF(ROUND(AU7*$J7,6)&lt;ROUND($M7,6),AU7,0)))</f>
        <v/>
      </c>
      <c r="EU7" s="68">
        <f>IF(OR($U7=0,$F7&lt;&gt;2),0,IF(ET7&gt;0,ET7,IF(ROUND(AV7*$J7,6)&lt;ROUND($M7,6),AV7,0)))</f>
        <v/>
      </c>
      <c r="EV7" s="68">
        <f>IF(OR($U7=0,$F7&lt;&gt;2),0,IF(EU7&gt;0,EU7,IF(ROUND(AW7*$J7,6)&lt;ROUND($M7,6),AW7,0)))</f>
        <v/>
      </c>
      <c r="EW7" s="68">
        <f>IF(OR($U7=0,$F7&lt;&gt;2),0,IF(EV7&gt;0,EV7,IF(ROUND(AX7*$J7,6)&lt;ROUND($M7,6),AX7,0)))</f>
        <v/>
      </c>
      <c r="EX7" s="68">
        <f>IF(OR($U7=0,$F7&lt;&gt;2),0,IF(EW7&gt;0,EW7,IF(ROUND(AY7*$J7,6)&lt;ROUND($M7,6),AY7,0)))</f>
        <v/>
      </c>
      <c r="EY7" s="68">
        <f>IF(OR($U7=0,$F7&lt;&gt;2),0,IF(EX7&gt;0,EX7,IF(ROUND(AZ7*$J7,6)&lt;ROUND($M7,6),AZ7,0)))</f>
        <v/>
      </c>
      <c r="EZ7" s="68">
        <f>IF(OR($U7=0,$F7&lt;&gt;2),0,IF(EY7&gt;0,EY7,IF(ROUND(BA7*$J7,6)&lt;ROUND($M7,6),BA7,0)))</f>
        <v/>
      </c>
      <c r="FA7" s="68">
        <f>IF(OR($U7=0,$F7&lt;&gt;2),0,IF(EZ7&gt;0,EZ7,IF(ROUND(BB7*$J7,6)&lt;ROUND($M7,6),BB7,0)))</f>
        <v/>
      </c>
      <c r="FB7" s="68">
        <f>IF(OR($U7=0,$F7&lt;&gt;2),0,IF(FA7&gt;0,FA7,IF(ROUND(BC7*$J7,6)&lt;ROUND($M7,6),BC7,0)))</f>
        <v/>
      </c>
      <c r="FC7" s="68">
        <f>IF(OR($U7=0,$F7&lt;&gt;2),0,IF(FB7&gt;0,FB7,IF(ROUND(BD7*$J7,6)&lt;ROUND($M7,6),BD7,0)))</f>
        <v/>
      </c>
      <c r="FD7" s="68">
        <f>IF(OR($U7=0,$F7&lt;&gt;2),0,IF(FC7&gt;0,FC7,IF(ROUND(BE7*$J7,6)&lt;ROUND($M7,6),BE7,0)))</f>
        <v/>
      </c>
      <c r="FE7" s="68">
        <f>IF(OR($U7=0,$F7&lt;&gt;2),0,IF(FD7&gt;0,FD7,IF(ROUND(BF7*$J7,6)&lt;ROUND($M7,6),BF7,0)))</f>
        <v/>
      </c>
      <c r="FF7" s="68">
        <f>IF(OR($U7=0,$F7&lt;&gt;2),0,IF(FE7&gt;0,FE7,IF(ROUND(BG7*$J7,6)&lt;ROUND($M7,6),BG7,0)))</f>
        <v/>
      </c>
      <c r="FG7" s="68">
        <f>IF(OR($U7=0,$F7&lt;&gt;2),0,IF(FF7&gt;0,FF7,IF(ROUND(BH7*$J7,6)&lt;ROUND($M7,6),BH7,0)))</f>
        <v/>
      </c>
      <c r="FH7" s="68">
        <f>IF(OR($U7=0,$F7&lt;&gt;2),0,IF(FG7&gt;0,FG7,IF(ROUND(BI7*$J7,6)&lt;ROUND($M7,6),BI7,0)))</f>
        <v/>
      </c>
      <c r="FI7" s="68">
        <f>IF(OR($U7=0,$F7&lt;&gt;2),0,IF(FH7&gt;0,FH7,IF(ROUND(BJ7*$J7,6)&lt;ROUND($M7,6),BJ7,0)))</f>
        <v/>
      </c>
      <c r="FJ7" s="68">
        <f>IF(OR($U7=0,$F7&lt;&gt;2),0,IF(FI7&gt;0,FI7,IF(ROUND(BK7*$J7,6)&lt;ROUND($M7,6),BK7,0)))</f>
        <v/>
      </c>
      <c r="FK7" s="68">
        <f>IF(OR($U7=0,$F7&lt;&gt;2),0,IF(FJ7&gt;0,FJ7,IF(ROUND(BL7*$J7,6)&lt;ROUND($M7,6),BL7,0)))</f>
        <v/>
      </c>
      <c r="FL7" s="68">
        <f>IF(OR($U7=0,$F7&lt;&gt;2),0,IF(FK7&gt;0,FK7,IF(ROUND(BM7*$J7,6)&lt;ROUND($M7,6),BM7,0)))</f>
        <v/>
      </c>
      <c r="FM7" s="68">
        <f>IF(OR($U7=0,$F7&lt;&gt;2),0,IF(FL7&gt;0,FL7,IF(ROUND(BN7*$J7,6)&lt;ROUND($M7,6),BN7,0)))</f>
        <v/>
      </c>
      <c r="FN7" s="68">
        <f>IF(OR($U7=0,$F7&lt;&gt;2),0,IF(FM7&gt;0,FM7,IF(ROUND(BO7*$J7,6)&lt;ROUND($M7,6),BO7,0)))</f>
        <v/>
      </c>
      <c r="FO7" s="68">
        <f>IF(OR($U7=0,$F7&lt;&gt;2),0,IF(FN7&gt;0,FN7,IF(ROUND(BP7*$J7,6)&lt;ROUND($M7,6),BP7,0)))</f>
        <v/>
      </c>
      <c r="FP7" s="68">
        <f>IF(OR($U7=0,$F7&lt;&gt;2),0,IF(FO7&gt;0,FO7,IF(ROUND(BQ7*$J7,6)&lt;ROUND($M7,6),BQ7,0)))</f>
        <v/>
      </c>
      <c r="FQ7" s="68">
        <f>IF(OR($U7=0,$F7&lt;&gt;2),0,IF(FP7&gt;0,FP7,IF(ROUND(BR7*$J7,6)&lt;ROUND($M7,6),BR7,0)))</f>
        <v/>
      </c>
      <c r="FR7" s="68">
        <f>IF(OR($U7=0,$F7&lt;&gt;2),0,IF(FQ7&gt;0,FQ7,IF(ROUND(BS7*$J7,6)&lt;ROUND($M7,6),BS7,0)))</f>
        <v/>
      </c>
      <c r="FS7" s="68">
        <f>IF(OR($U7=0,$F7&lt;&gt;2),0,IF(FR7&gt;0,FR7,IF(ROUND(BT7*$J7,6)&lt;ROUND($M7,6),BT7,0)))</f>
        <v/>
      </c>
      <c r="FT7" s="68">
        <f>IF(OR($U7=0,$F7&lt;&gt;2),0,IF(FS7&gt;0,FS7,IF(ROUND(BU7*$J7,6)&lt;ROUND($M7,6),BU7,0)))</f>
        <v/>
      </c>
      <c r="FU7" s="68">
        <f>IF(OR($U7=0,$F7&lt;&gt;2),0,IF(FT7&gt;0,FT7,IF(ROUND(BV7*$J7,6)&lt;ROUND($M7,6),BV7,0)))</f>
        <v/>
      </c>
      <c r="FV7" s="68">
        <f>IF(OR($U7=0,$F7&lt;&gt;2),0,IF(FU7&gt;0,FU7,IF(ROUND(BW7*$J7,6)&lt;ROUND($M7,6),BW7,0)))</f>
        <v/>
      </c>
      <c r="FW7" s="68">
        <f>IF(OR($U7=0,$F7&lt;&gt;2),0,IF(FV7&gt;0,FV7,IF(ROUND(BX7*$J7,6)&lt;ROUND($M7,6),BX7,0)))</f>
        <v/>
      </c>
      <c r="FX7" s="68">
        <f>IF(OR($U7=0,$F7&lt;&gt;2),0,IF(FW7&gt;0,FW7,IF(ROUND(BY7*$J7,6)&lt;ROUND($M7,6),BY7,0)))</f>
        <v/>
      </c>
      <c r="FY7" s="68">
        <f>IF(OR($U7=0,$F7&lt;&gt;2),0,IF(FX7&gt;0,FX7,IF(ROUND(BZ7*$J7,6)&lt;ROUND($M7,6),BZ7,0)))</f>
        <v/>
      </c>
      <c r="FZ7" s="68">
        <f>IF(OR($U7=0,$F7&lt;&gt;2),0,IF(FY7&gt;0,FY7,IF(ROUND(CA7*$J7,6)&lt;ROUND($M7,6),CA7,0)))</f>
        <v/>
      </c>
      <c r="GA7" s="68">
        <f>IF(OR($U7=0,$F7&lt;&gt;2),0,IF(FZ7&gt;0,FZ7,IF(ROUND(CB7*$J7,6)&lt;ROUND($M7,6),CB7,0)))</f>
        <v/>
      </c>
      <c r="GB7" s="68">
        <f>IF(OR($U7=0,$F7&lt;&gt;2),0,IF(GA7&gt;0,GA7,IF(ROUND(CC7*$J7,6)&lt;ROUND($M7,6),CC7,0)))</f>
        <v/>
      </c>
      <c r="GC7" s="68">
        <f>IF(OR($U7=0,$F7&lt;&gt;2),0,IF(GB7&gt;0,GB7,IF(ROUND(CD7*$J7,6)&lt;ROUND($M7,6),CD7,0)))</f>
        <v/>
      </c>
      <c r="GD7" s="68">
        <f>IF(OR($U7=0,$F7&lt;&gt;2),0,IF(GC7&gt;0,GC7,IF(ROUND(CE7*$J7,6)&lt;ROUND($M7,6),CE7,0)))</f>
        <v/>
      </c>
      <c r="GE7" s="68">
        <f>IF(OR($U7=0,$F7&lt;&gt;2),0,IF(GD7&gt;0,GD7,IF(ROUND(CF7*$J7,6)&lt;ROUND($M7,6),CF7,0)))</f>
        <v/>
      </c>
      <c r="GF7" s="68">
        <f>IF(OR($U7=0,$F7&lt;&gt;2),0,IF(GE7&gt;0,GE7,IF(ROUND(CG7*$J7,6)&lt;ROUND($M7,6),CG7,0)))</f>
        <v/>
      </c>
      <c r="GG7" s="68">
        <f>IF(OR($U7=0,$F7&lt;&gt;2),0,IF(GF7&gt;0,GF7,IF(ROUND(CH7*$J7,6)&lt;ROUND($M7,6),CH7,0)))</f>
        <v/>
      </c>
      <c r="GH7" s="68">
        <f>IF(OR($U7=0,$F7&lt;&gt;2),0,IF(GG7&gt;0,GG7,IF(ROUND(CI7*$J7,6)&lt;ROUND($M7,6),CI7,0)))</f>
        <v/>
      </c>
      <c r="GI7" s="68">
        <f>IF(OR($U7=0,$F7&lt;&gt;2),0,IF(GH7&gt;0,GH7,IF(ROUND(CJ7*$J7,6)&lt;ROUND($M7,6),CJ7,0)))</f>
        <v/>
      </c>
      <c r="GJ7" s="68">
        <f>IF(OR($U7=0,$F7&lt;&gt;2),0,IF(GI7&gt;0,GI7,IF(ROUND(CK7*$J7,6)&lt;ROUND($M7,6),CK7,0)))</f>
        <v/>
      </c>
      <c r="GK7" s="68">
        <f>IF(OR($U7=0,$F7&lt;&gt;2),0,IF(GJ7&gt;0,GJ7,IF(ROUND(CL7*$J7,6)&lt;ROUND($M7,6),CL7,0)))</f>
        <v/>
      </c>
      <c r="GL7" s="68">
        <f>IF(OR($U7=0,$F7&lt;&gt;2),0,IF(GK7&gt;0,GK7,IF(ROUND(CM7*$J7,6)&lt;ROUND($M7,6),CM7,0)))</f>
        <v/>
      </c>
      <c r="GM7" s="68">
        <f>IF(OR($U7=0,$F7&lt;&gt;2),0,IF(GL7&gt;0,GL7,IF(ROUND(CN7*$J7,6)&lt;ROUND($M7,6),CN7,0)))</f>
        <v/>
      </c>
      <c r="GN7" s="68">
        <f>IF(OR($U7=0,$F7&lt;&gt;2),0,IF(GM7&gt;0,GM7,IF(ROUND(CO7*$J7,6)&lt;ROUND($M7,6),CO7,0)))</f>
        <v/>
      </c>
      <c r="GO7" s="68">
        <f>IF(OR($U7=0,$F7&lt;&gt;2),0,IF(GN7&gt;0,GN7,IF(ROUND(CP7*$J7,6)&lt;ROUND($M7,6),CP7,0)))</f>
        <v/>
      </c>
      <c r="GP7" s="68">
        <f>IF(OR($U7=0,$F7&lt;&gt;2),0,IF(GO7&gt;0,GO7,IF(ROUND(CQ7*$J7,6)&lt;ROUND($M7,6),CQ7,0)))</f>
        <v/>
      </c>
      <c r="GQ7" s="68">
        <f>IF(OR($U7=0,$F7&lt;&gt;2),0,IF(GP7&gt;0,GP7,IF(ROUND(CR7*$J7,6)&lt;ROUND($M7,6),CR7,0)))</f>
        <v/>
      </c>
      <c r="GR7" s="68">
        <f>IF(OR($U7=0,$F7&lt;&gt;2),0,IF(GQ7&gt;0,GQ7,IF(ROUND(CS7*$J7,6)&lt;ROUND($M7,6),CS7,0)))</f>
        <v/>
      </c>
      <c r="GS7" s="68">
        <f>IF(OR($U7=0,$F7&lt;&gt;2),0,IF(GR7&gt;0,GR7,IF(ROUND(CT7*$J7,6)&lt;ROUND($M7,6),CT7,0)))</f>
        <v/>
      </c>
      <c r="GT7" s="68">
        <f>IF(OR($U7=0,$F7&lt;&gt;2),0,IF(GS7&gt;0,GS7,IF(ROUND(CU7*$J7,6)&lt;ROUND($M7,6),CU7,0)))</f>
        <v/>
      </c>
      <c r="GU7" s="68">
        <f>IF(OR($U7=0,$F7&lt;&gt;2),0,IF(GT7&gt;0,GT7,IF(ROUND(CV7*$J7,6)&lt;ROUND($M7,6),CV7,0)))</f>
        <v/>
      </c>
      <c r="GV7" s="68">
        <f>IF(OR($U7=0,$F7&lt;&gt;2),0,IF(GU7&gt;0,GU7,IF(ROUND(CW7*$J7,6)&lt;ROUND($M7,6),CW7,0)))</f>
        <v/>
      </c>
      <c r="GW7" s="68">
        <f>IF(OR($U7=0,$F7&lt;&gt;2),0,IF(GV7&gt;0,GV7,IF(ROUND(CX7*$J7,6)&lt;ROUND($M7,6),CX7,0)))</f>
        <v/>
      </c>
      <c r="GX7" s="68">
        <f>IF(OR($U7=0,$F7&lt;&gt;2),0,IF(GW7&gt;0,GW7,IF(ROUND(CY7*$J7,6)&lt;ROUND($M7,6),CY7,0)))</f>
        <v/>
      </c>
      <c r="GY7" s="68">
        <f>IF(OR($U7=0,$F7&lt;&gt;2),0,IF(GX7&gt;0,GX7,IF(ROUND(CZ7*$J7,6)&lt;ROUND($M7,6),CZ7,0)))</f>
        <v/>
      </c>
      <c r="GZ7" s="68">
        <f>IF(OR($U7=0,$F7&lt;&gt;2),0,IF(GY7&gt;0,GY7,IF(ROUND(DA7*$J7,6)&lt;ROUND($M7,6),DA7,0)))</f>
        <v/>
      </c>
      <c r="HA7" s="68">
        <f>IF(OR($U7=0,$F7&lt;&gt;2),0,IF(GZ7&gt;0,GZ7,IF(ROUND(DB7*$J7,6)&lt;ROUND($M7,6),DB7,0)))</f>
        <v/>
      </c>
      <c r="HB7" s="68">
        <f>IF(OR($U7=0,$F7&lt;&gt;2),0,IF(HA7&gt;0,HA7,IF(ROUND(DC7*$J7,6)&lt;ROUND($M7,6),DC7,0)))</f>
        <v/>
      </c>
      <c r="HC7" s="68">
        <f>IF(OR($U7=0,$F7&lt;&gt;2),0,IF(HB7&gt;0,HB7,IF(ROUND(DD7*$J7,6)&lt;ROUND($M7,6),DD7,0)))</f>
        <v/>
      </c>
      <c r="HD7" s="68">
        <f>IF(OR($U7=0,$F7&lt;&gt;2),0,IF(HC7&gt;0,HC7,IF(ROUND(DE7*$J7,6)&lt;ROUND($M7,6),DE7,0)))</f>
        <v/>
      </c>
      <c r="HE7" s="68">
        <f>IF(OR($U7=0,$F7&lt;&gt;2),0,IF(HD7&gt;0,HD7,IF(ROUND(DF7*$J7,6)&lt;ROUND($M7,6),DF7,0)))</f>
        <v/>
      </c>
      <c r="HF7" s="68">
        <f>IF(OR($U7=0,$F7&lt;&gt;2),0,IF(HE7&gt;0,HE7,IF(ROUND(DG7*$J7,6)&lt;ROUND($M7,6),DG7,0)))</f>
        <v/>
      </c>
      <c r="HG7" s="68">
        <f>IF(OR($U7=0,$F7&lt;&gt;2),0,IF(HF7&gt;0,HF7,IF(ROUND(DH7*$J7,6)&lt;ROUND($M7,6),DH7,0)))</f>
        <v/>
      </c>
      <c r="HH7" s="68">
        <f>IF(OR($U7=0,$F7&lt;&gt;2),0,IF(HG7&gt;0,HG7,IF(ROUND(DI7*$J7,6)&lt;ROUND($M7,6),DI7,0)))</f>
        <v/>
      </c>
      <c r="HI7" s="68">
        <f>IF(OR($U7=0,$F7&lt;&gt;2),0,IF(HH7&gt;0,HH7,IF(ROUND(DJ7*$J7,6)&lt;ROUND($M7,6),DJ7,0)))</f>
        <v/>
      </c>
      <c r="HJ7" s="68">
        <f>IF(OR($U7=0,$F7&lt;&gt;2),0,IF(HI7&gt;0,HI7,IF(ROUND(DK7*$J7,6)&lt;ROUND($M7,6),DK7,0)))</f>
        <v/>
      </c>
      <c r="HK7" s="68">
        <f>IF(OR($U7=0,$F7&lt;&gt;2),0,IF(HJ7&gt;0,HJ7,IF(ROUND(DL7*$J7,6)&lt;ROUND($M7,6),DL7,0)))</f>
        <v/>
      </c>
      <c r="HL7" s="68">
        <f>IF(OR($U7=0,$F7&lt;&gt;2),0,IF(HK7&gt;0,HK7,IF(ROUND(DM7*$J7,6)&lt;ROUND($M7,6),DM7,0)))</f>
        <v/>
      </c>
      <c r="HM7" s="68">
        <f>IF(OR($U7=0,$F7&lt;&gt;2),0,IF(HL7&gt;0,HL7,IF(ROUND(DN7*$J7,6)&lt;ROUND($M7,6),DN7,0)))</f>
        <v/>
      </c>
      <c r="HN7" s="68">
        <f>IF(OR($U7=0,$F7&lt;&gt;2),0,IF(HM7&gt;0,HM7,IF(ROUND(DO7*$J7,6)&lt;ROUND($M7,6),DO7,0)))</f>
        <v/>
      </c>
      <c r="HO7" s="68">
        <f>IF(OR($U7=0,$F7&lt;&gt;2),0,IF(HN7&gt;0,HN7,IF(ROUND(DP7*$J7,6)&lt;ROUND($M7,6),DP7,0)))</f>
        <v/>
      </c>
      <c r="HP7" s="68">
        <f>IF(OR($U7=0,$F7&lt;&gt;2),0,IF(HO7&gt;0,HO7,IF(ROUND(DQ7*$J7,6)&lt;ROUND($M7,6),DQ7,0)))</f>
        <v/>
      </c>
      <c r="HQ7" s="68">
        <f>IF(OR($U7=0,$F7&lt;&gt;2),0,IF(HP7&gt;0,HP7,IF(ROUND(DR7*$J7,6)&lt;ROUND($M7,6),DR7,0)))</f>
        <v/>
      </c>
      <c r="HR7" s="68">
        <f>IF(OR($U7=0,$F7&lt;&gt;2),0,IF(HQ7&gt;0,HQ7,IF(ROUND(DS7*$J7,6)&lt;ROUND($M7,6),DS7,0)))</f>
        <v/>
      </c>
      <c r="HS7" s="68">
        <f>IF(OR($U7=0,$F7&lt;&gt;2),0,IF(HR7&gt;0,HR7,IF(ROUND(DT7*$J7,6)&lt;ROUND($M7,6),DT7,0)))</f>
        <v/>
      </c>
      <c r="HT7" s="68">
        <f>IF(OR($U7=0,$F7&lt;&gt;2),0,IF(HS7&gt;0,HS7,IF(ROUND(DU7*$J7,6)&lt;ROUND($M7,6),DU7,0)))</f>
        <v/>
      </c>
      <c r="HU7" s="68">
        <f>IF(OR($U7=0,$F7&lt;&gt;2),0,IF(HT7&gt;0,HT7,IF(ROUND(DV7*$J7,6)&lt;ROUND($M7,6),DV7,0)))</f>
        <v/>
      </c>
      <c r="HV7" s="68">
        <f>IF(OR($U7=0,$F7&lt;&gt;2),0,IF(HU7&gt;0,HU7,IF(ROUND(DW7*$J7,6)&lt;ROUND($M7,6),DW7,0)))</f>
        <v/>
      </c>
      <c r="HW7" s="68">
        <f>IF(OR($U7=0,$F7&lt;&gt;2),0,IF(HV7&gt;0,HV7,IF(ROUND(DX7*$J7,6)&lt;ROUND($M7,6),DX7,0)))</f>
        <v/>
      </c>
      <c r="HX7" s="68">
        <f>IF(OR($U7=0,$F7&lt;&gt;2),0,IF(HW7&gt;0,HW7,IF(ROUND(DY7*$J7,6)&lt;ROUND($M7,6),DY7,0)))</f>
        <v/>
      </c>
      <c r="HY7" s="68">
        <f>IF(OR($U7=0,$F7&lt;&gt;2),0,IF(HX7&gt;0,HX7,IF(ROUND(DZ7*$J7,6)&lt;ROUND($M7,6),DZ7,0)))</f>
        <v/>
      </c>
      <c r="HZ7" s="68">
        <f>IF(OR($U7=0,$F7&lt;&gt;2),0,IF(HY7&gt;0,HY7,IF(ROUND(EA7*$J7,6)&lt;ROUND($M7,6),EA7,0)))</f>
        <v/>
      </c>
      <c r="IA7" s="68">
        <f>IF(OR($U7=0,$F7&lt;&gt;2),0,IF(HZ7&gt;0,HZ7,IF(ROUND(EB7*$J7,6)&lt;ROUND($M7,6),EB7,0)))</f>
        <v/>
      </c>
      <c r="IB7" s="68">
        <f>IF(OR($U7=0,$F7&lt;&gt;2),0,IF(IA7&gt;0,IA7,IF(ROUND(EC7*$J7,6)&lt;ROUND($M7,6),EC7,0)))</f>
        <v/>
      </c>
      <c r="IC7" s="68">
        <f>IF(OR($U7=0,$F7&lt;&gt;2),0,IF(IB7&gt;0,IB7,IF(ROUND(ED7*$J7,6)&lt;ROUND($M7,6),ED7,0)))</f>
        <v/>
      </c>
      <c r="ID7" s="68">
        <f>IF(OR($U7=0,$F7&lt;&gt;2),0,IF(IC7&gt;0,IC7,IF(ROUND(EE7*$J7,6)&lt;ROUND($M7,6),EE7,0)))</f>
        <v/>
      </c>
      <c r="IE7" s="68">
        <f>IF(OR($U7=0,$F7&lt;&gt;2),0,IF(ID7&gt;0,ID7,IF(ROUND(EF7*$J7,6)&lt;ROUND($M7,6),EF7,0)))</f>
        <v/>
      </c>
      <c r="IF7" s="68">
        <f>IF(OR($U7=0,$F7&lt;&gt;2),0,IF(IE7&gt;0,IE7,IF(ROUND(EG7*$J7,6)&lt;ROUND($M7,6),EG7,0)))</f>
        <v/>
      </c>
      <c r="IG7" s="68">
        <f>IF(OR($U7=0,$F7&lt;&gt;2),0,IF(IF7&gt;0,IF7,IF(ROUND(EH7*$J7,6)&lt;ROUND($M7,6),EH7,0)))</f>
        <v/>
      </c>
      <c r="IH7" s="68">
        <f>IF(OR($U7=0,$F7&lt;&gt;2),0,IF(IG7&gt;0,IG7,IF(ROUND(EI7*$J7,6)&lt;ROUND($M7,6),EI7,0)))</f>
        <v/>
      </c>
      <c r="II7" s="68">
        <f>IF(OR($U7=0,$F7&lt;&gt;2),0,IF(IH7&gt;0,IH7,IF(ROUND(EJ7*$J7,6)&lt;ROUND($M7,6),EJ7,0)))</f>
        <v/>
      </c>
      <c r="IJ7" s="68">
        <f>IF(OR($U7=0,$F7&lt;&gt;2),0,IF(II7&gt;0,II7,IF(ROUND(EK7*$J7,6)&lt;ROUND($M7,6),EK7,0)))</f>
        <v/>
      </c>
      <c r="IK7" s="68">
        <f>IF(OR($U7=0,$F7&lt;&gt;2),0,IF(IJ7&gt;0,IJ7,IF(ROUND(EL7*$J7,6)&lt;ROUND($M7,6),EL7,0)))</f>
        <v/>
      </c>
      <c r="IL7" s="68">
        <f>IF(OR($U7=0,$F7&lt;&gt;2),0,IF(IK7&gt;0,IK7,IF(ROUND(EM7*$J7,6)&lt;ROUND($M7,6),EM7,0)))</f>
        <v/>
      </c>
      <c r="IM7" s="68">
        <f>IF(OR($U7=0,$F7&lt;&gt;2),0,IF(IL7&gt;0,IL7,IF(ROUND(EN7*$J7,6)&lt;ROUND($M7,6),EN7,0)))</f>
        <v/>
      </c>
      <c r="IN7" s="68">
        <f>IF(OR($U7=0,$F7&lt;&gt;2),0,IF(IM7&gt;0,IM7,IF(ROUND(EO7*$J7,6)&lt;ROUND($M7,6),EO7,0)))</f>
        <v/>
      </c>
    </row>
    <row r="8">
      <c r="A8" s="68" t="n">
        <v>3</v>
      </c>
      <c r="B8" s="68">
        <f>IF(OR(TRIM('固定資産台帳'!$B8)&lt;&gt;"",'固定資産台帳'!$E8&lt;&gt;"",'固定資産台帳'!$G8&lt;&gt;"",'固定資産台帳'!$H8&lt;&gt;""),1,0)</f>
        <v/>
      </c>
      <c r="C8" s="68">
        <f>IF(ISNUMBER('固定資産台帳'!$G8),MAX(ROUND('固定資産台帳'!$G8,0),0),0)</f>
        <v/>
      </c>
      <c r="D8" s="84">
        <f>IF(ISNUMBER('固定資産台帳'!$E8),INT('固定資産台帳'!$E8),0)</f>
        <v/>
      </c>
      <c r="E8" s="84">
        <f>IF(ISNUMBER('固定資産台帳'!$F8),INT('固定資産台帳'!$F8),$D8)</f>
        <v/>
      </c>
      <c r="F8" s="68">
        <f>IF('固定資産台帳'!$H8="定額法",1,IF(OR('固定資産台帳'!$H8="定率法",'固定資産台帳'!$H8="定率法（200%）",'固定資産台帳'!$H8="定率法（250%）"),2,IF('固定資産台帳'!$H8="一括償却（3年）",3,IF('固定資産台帳'!$H8="少額特例",4,0))))</f>
        <v/>
      </c>
      <c r="G8" s="68">
        <f>IF('固定資産台帳'!$H8="定率法（250%）",250,IF('固定資産台帳'!$H8="定率法（200%）",200,IF($D8&gt;=DATE(2012,4,1),200,250)))</f>
        <v/>
      </c>
      <c r="H8" s="68">
        <f>IF(ISNUMBER('固定資産台帳'!$I8),IF(AND('固定資産台帳'!$I8&gt;=2,'固定資産台帳'!$I8&lt;=100,'固定資産台帳'!$I8=INT('固定資産台帳'!$I8)),'固定資産台帳'!$I8,0),0)</f>
        <v/>
      </c>
      <c r="I8" s="68">
        <f>IF('固定資産台帳'!$C8="無形固定資産",0,1)</f>
        <v/>
      </c>
      <c r="J8" s="68">
        <f>IF(OR($H8=0,$F8=0,$F8&gt;2),0,IF($F8=1,INDEX('償却率表'!$B$6:$B$104,$H8-1),IF($G8=200,INDEX('償却率表'!$C$6:$C$104,$H8-1),INDEX('償却率表'!$F$6:$F$104,$H8-1))))</f>
        <v/>
      </c>
      <c r="K8" s="68">
        <f>IF(AND($F8=2,$H8&gt;0),IF($G8=200,INDEX('償却率表'!$D$6:$D$104,$H8-1),INDEX('償却率表'!$G$6:$G$104,$H8-1)),0)</f>
        <v/>
      </c>
      <c r="L8" s="68">
        <f>IF(AND($F8=2,$H8&gt;0),IF($G8=200,INDEX('償却率表'!$E$6:$E$104,$H8-1),INDEX('償却率表'!$H$6:$H$104,$H8-1)),0)</f>
        <v/>
      </c>
      <c r="M8" s="68">
        <f>$C8*$L8</f>
        <v/>
      </c>
      <c r="N8" s="68">
        <f>IF($B$1=1,1,IF('固定資産台帳'!$J8="",1,IF(ISNUMBER('固定資産台帳'!$J8),IF(AND('固定資産台帳'!$J8&gt;0,'固定資産台帳'!$J8&lt;=1),'固定資産台帳'!$J8,0),0)))</f>
        <v/>
      </c>
      <c r="O8" s="68">
        <f>IF($E8=0,0,YEAR($E8)-IF(MONTH($E8)&lt;$B$2,1,0))</f>
        <v/>
      </c>
      <c r="P8" s="68">
        <f>IF($E8=0,0,12-MOD(MONTH($E8)-$B$2,12))</f>
        <v/>
      </c>
      <c r="Q8" s="84">
        <f>IF(ISNUMBER('固定資産台帳'!$K8),INT('固定資産台帳'!$K8),0)</f>
        <v/>
      </c>
      <c r="R8" s="68">
        <f>IF(OR($Q8=0,$E8=0),999,YEAR($Q8)-IF(MONTH($Q8)&lt;$B$2,1,0)-$O8)</f>
        <v/>
      </c>
      <c r="S8" s="68">
        <f>IF($R8=999,0,MOD(MONTH($Q8)-$B$2,12)+1-IF($R8=0,12-$P8,0))</f>
        <v/>
      </c>
      <c r="T8" s="68">
        <f>IF($B8=0,0,IF($C8&lt;=0,1,IF($D8=0,2,IF($F8=0,3,IF(AND($F8&lt;=2,$H8=0),4,IF(AND($F8&lt;=2,$D8&lt;DATE(2007,4,1)),5,IF($E8&lt;$D8,6,IF(AND($Q8&gt;0,$Q8&lt;$E8),7,IF($N8=0,8,IF($B$3=0,9,0))))))))))</f>
        <v/>
      </c>
      <c r="U8" s="68">
        <f>IF(AND($B8=1,$T8=0),1,0)</f>
        <v/>
      </c>
      <c r="V8" s="68">
        <f>$B$3-$O8</f>
        <v/>
      </c>
      <c r="W8" s="68">
        <f>IF(AND($U8=1,$V8&gt;=0),1,0)</f>
        <v/>
      </c>
      <c r="X8" s="68">
        <f>IF($W8=0,0,IF($V8=0,$C8,INDEX($AS8:$EP8,MIN($V8,102))))</f>
        <v/>
      </c>
      <c r="Y8" s="68">
        <f>IF($W8=0,0,INDEX($AS8:$EP8,MIN($V8,101)+1))</f>
        <v/>
      </c>
      <c r="Z8" s="68">
        <f>$X8-$Y8</f>
        <v/>
      </c>
      <c r="AA8" s="68">
        <f>IF(AND($W8=1,$F8=2,$V8&gt;=1),INDEX($ER8:$IN8,MIN($V8,101)),0)</f>
        <v/>
      </c>
      <c r="AB8" s="68">
        <f>IF(OR($W8=0,$F8&gt;2,$Z8=0),0,IF($V8=0,IF($R8=0,$S8,$P8),IF($V8=$R8,$S8,12)))</f>
        <v/>
      </c>
      <c r="AC8" s="68">
        <f>IF($W8=0,0,INT(ROUND($Z8*$N8,6)+$B$4))</f>
        <v/>
      </c>
      <c r="AD8" s="68">
        <f>IF(AND($W8=1,$F8&lt;=2,$V8=$R8),1,0)</f>
        <v/>
      </c>
      <c r="AE8" s="68">
        <f>IF(AND($W8=1,$F8&lt;=2,$V8&gt;$R8),1,0)</f>
        <v/>
      </c>
      <c r="AF8" s="68">
        <f>IF(AND($W8=1,$AE8=0,OR($Z8&gt;0,$AD8=1)),1,0)</f>
        <v/>
      </c>
      <c r="AG8" s="68">
        <f>IF($AF8=1,SUM($AF$6:$AF8),0)</f>
        <v/>
      </c>
      <c r="AH8" s="68">
        <f>IF($T8=0,"",CHOOSE($T8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8" s="68">
        <f>IF(AND($F8=2,OR('固定資産台帳'!$C8="建物",'固定資産台帳'!$C8="無形固定資産",AND(OR('固定資産台帳'!$C8="建物附属設備",'固定資産台帳'!$C8="構築物"),$D8&gt;=DATE(2016,4,1)))),"この資産は定額法だけです（定率法は使えません）。","")&amp;IF(AND($F8=3,$C8&gt;=200000),"一括償却は20万円未満の資産だけです。","")&amp;IF(AND($F8=3,$B$1=0,$C8&lt;100000),"10万円未満は一括償却にせず、全額をその年の経費にします。","")&amp;IF(AND($F8=4,$C8&lt;100000),"10万円未満は少額特例ではなく、全額をその年の経費にします。","")&amp;IF(AND($F8=4,$D8&lt;DATE(2026,4,1),$C8&gt;=300000),"2026年3月31日までの取得で少額特例が使えるのは30万円未満です。","")&amp;IF(AND($F8=4,$D8&gt;=DATE(2026,4,1),$C8&gt;=400000),"少額特例は40万円未満の資産だけです。","")&amp;IF(AND($F8=4,OR($D8&lt;DATE(2006,4,1),$D8&gt;DATE(2029,3,31))),"少額特例は2006年4月1日〜2029年3月31日に取得した資産だけです。","")&amp;IF(AND($F8=2,$G8=250,$D8&gt;DATE(2012,12,31)),"250%定率法は2012年12月31日までの取得だけです。","")</f>
        <v/>
      </c>
      <c r="AJ8" s="68">
        <f>IF(AND($F8=2,'固定資産台帳'!$H8="定率法（200%）",$D8&lt;DATE(2012,4,1)),"2012年3月31日までの取得に200%を使うのは、経過措置の届出をした場合です。","")&amp;IF(AND($F8=2,'固定資産台帳'!$H8="定率法（250%）",$D8&gt;=DATE(2012,4,1),$D8&lt;=DATE(2012,12,31)),"2012年4〜12月の取得に250%を使うのは、経過措置を選んだ場合です。","")</f>
        <v/>
      </c>
      <c r="AK8" s="68">
        <f>IF($U8=0,"",IF($V8&lt;0,"表示している年より後に使い始める資産です。",IF($AE8=1,"売却・除却済みです。",IF($AD8=1,"この年に売却・除却。期末の帳簿価額 "&amp;TEXT($Y8,"#,##0")&amp;"円を帳簿から外します。",IF($F8=4,IF($V8=0,"少額特例：この年に全額を経費にします。","少額特例で経費にした資産です。"),IF($F8=3,IF($V8&gt;2,"一括償却は終わっています。","一括償却 "&amp;($V8+1)&amp;"年目（3年のうち）。"),IF($Z8=0,"償却済み（帳簿価額 "&amp;TEXT($Y8,"#,##0")&amp;"円）。",IF($AA8&gt;0,"改定償却率で計算（改定取得価額 "&amp;TEXT($AA8,"#,##0")&amp;"円）。",IF($V8=0,"この年に使い始め（"&amp;$AB8&amp;"か月分）。","")))))))))</f>
        <v/>
      </c>
      <c r="AL8" s="68">
        <f>IF(AND($U8=1,$F8=4,$V8=0),$C8,0)</f>
        <v/>
      </c>
      <c r="AM8" s="68">
        <f>IF($F8=2,INT(ROUND($M8,6)+$B$4),0)</f>
        <v/>
      </c>
      <c r="AN8" s="68">
        <f>IF($W8=0,0,IF($F8=2,IF($AA8&gt;0,$AA8,$X8),$C8))</f>
        <v/>
      </c>
      <c r="AO8" s="68">
        <f>IF($W8=0,"",IF($F8=3,"1/3",IF($F8=4,"―",IF($AA8&gt;0,$K8,$J8))))</f>
        <v/>
      </c>
      <c r="AP8" s="68" t="n"/>
      <c r="AQ8" s="68" t="n"/>
      <c r="AR8" s="68" t="n"/>
      <c r="AS8" s="68">
        <f>IF($U8=0,0,IF($F8=4,0,IF($F8=3,MAX($C8-INT(ROUND($C8/3,6)+$B$4),0),$C8-MIN(INT(ROUND($C8*$J8*IF($R8=0,$S8,$P8)/12,6)+$B$4),MAX($C8-$I8,0)))))</f>
        <v/>
      </c>
      <c r="AT8" s="68">
        <f>IF($U8=0,0,IF($F8=4,0,IF($F8=3,AS8-MIN(INT(ROUND($C8/3,6)+$B$4),AS8),IF(OR(1&gt;$R8,AS8&lt;=$I8),AS8,AS8-MIN(INT(ROUND(IF($F8=1,$C8*$J8,IF(ER8&gt;0,ER8*$K8,AS8*$J8))*IF(1=$R8,$S8,12)/12,6)+$B$4),AS8-$I8)))))</f>
        <v/>
      </c>
      <c r="AU8" s="68">
        <f>IF($U8=0,0,IF($F8=4,0,IF($F8=3,0,IF(OR(2&gt;$R8,AT8&lt;=$I8),AT8,AT8-MIN(INT(ROUND(IF($F8=1,$C8*$J8,IF(ES8&gt;0,ES8*$K8,AT8*$J8))*IF(2=$R8,$S8,12)/12,6)+$B$4),AT8-$I8)))))</f>
        <v/>
      </c>
      <c r="AV8" s="68">
        <f>IF($U8=0,0,IF($F8=4,0,IF($F8=3,0,IF(OR(3&gt;$R8,AU8&lt;=$I8),AU8,AU8-MIN(INT(ROUND(IF($F8=1,$C8*$J8,IF(ET8&gt;0,ET8*$K8,AU8*$J8))*IF(3=$R8,$S8,12)/12,6)+$B$4),AU8-$I8)))))</f>
        <v/>
      </c>
      <c r="AW8" s="68">
        <f>IF($U8=0,0,IF($F8=4,0,IF($F8=3,0,IF(OR(4&gt;$R8,AV8&lt;=$I8),AV8,AV8-MIN(INT(ROUND(IF($F8=1,$C8*$J8,IF(EU8&gt;0,EU8*$K8,AV8*$J8))*IF(4=$R8,$S8,12)/12,6)+$B$4),AV8-$I8)))))</f>
        <v/>
      </c>
      <c r="AX8" s="68">
        <f>IF($U8=0,0,IF($F8=4,0,IF($F8=3,0,IF(OR(5&gt;$R8,AW8&lt;=$I8),AW8,AW8-MIN(INT(ROUND(IF($F8=1,$C8*$J8,IF(EV8&gt;0,EV8*$K8,AW8*$J8))*IF(5=$R8,$S8,12)/12,6)+$B$4),AW8-$I8)))))</f>
        <v/>
      </c>
      <c r="AY8" s="68">
        <f>IF($U8=0,0,IF($F8=4,0,IF($F8=3,0,IF(OR(6&gt;$R8,AX8&lt;=$I8),AX8,AX8-MIN(INT(ROUND(IF($F8=1,$C8*$J8,IF(EW8&gt;0,EW8*$K8,AX8*$J8))*IF(6=$R8,$S8,12)/12,6)+$B$4),AX8-$I8)))))</f>
        <v/>
      </c>
      <c r="AZ8" s="68">
        <f>IF($U8=0,0,IF($F8=4,0,IF($F8=3,0,IF(OR(7&gt;$R8,AY8&lt;=$I8),AY8,AY8-MIN(INT(ROUND(IF($F8=1,$C8*$J8,IF(EX8&gt;0,EX8*$K8,AY8*$J8))*IF(7=$R8,$S8,12)/12,6)+$B$4),AY8-$I8)))))</f>
        <v/>
      </c>
      <c r="BA8" s="68">
        <f>IF($U8=0,0,IF($F8=4,0,IF($F8=3,0,IF(OR(8&gt;$R8,AZ8&lt;=$I8),AZ8,AZ8-MIN(INT(ROUND(IF($F8=1,$C8*$J8,IF(EY8&gt;0,EY8*$K8,AZ8*$J8))*IF(8=$R8,$S8,12)/12,6)+$B$4),AZ8-$I8)))))</f>
        <v/>
      </c>
      <c r="BB8" s="68">
        <f>IF($U8=0,0,IF($F8=4,0,IF($F8=3,0,IF(OR(9&gt;$R8,BA8&lt;=$I8),BA8,BA8-MIN(INT(ROUND(IF($F8=1,$C8*$J8,IF(EZ8&gt;0,EZ8*$K8,BA8*$J8))*IF(9=$R8,$S8,12)/12,6)+$B$4),BA8-$I8)))))</f>
        <v/>
      </c>
      <c r="BC8" s="68">
        <f>IF($U8=0,0,IF($F8=4,0,IF($F8=3,0,IF(OR(10&gt;$R8,BB8&lt;=$I8),BB8,BB8-MIN(INT(ROUND(IF($F8=1,$C8*$J8,IF(FA8&gt;0,FA8*$K8,BB8*$J8))*IF(10=$R8,$S8,12)/12,6)+$B$4),BB8-$I8)))))</f>
        <v/>
      </c>
      <c r="BD8" s="68">
        <f>IF($U8=0,0,IF($F8=4,0,IF($F8=3,0,IF(OR(11&gt;$R8,BC8&lt;=$I8),BC8,BC8-MIN(INT(ROUND(IF($F8=1,$C8*$J8,IF(FB8&gt;0,FB8*$K8,BC8*$J8))*IF(11=$R8,$S8,12)/12,6)+$B$4),BC8-$I8)))))</f>
        <v/>
      </c>
      <c r="BE8" s="68">
        <f>IF($U8=0,0,IF($F8=4,0,IF($F8=3,0,IF(OR(12&gt;$R8,BD8&lt;=$I8),BD8,BD8-MIN(INT(ROUND(IF($F8=1,$C8*$J8,IF(FC8&gt;0,FC8*$K8,BD8*$J8))*IF(12=$R8,$S8,12)/12,6)+$B$4),BD8-$I8)))))</f>
        <v/>
      </c>
      <c r="BF8" s="68">
        <f>IF($U8=0,0,IF($F8=4,0,IF($F8=3,0,IF(OR(13&gt;$R8,BE8&lt;=$I8),BE8,BE8-MIN(INT(ROUND(IF($F8=1,$C8*$J8,IF(FD8&gt;0,FD8*$K8,BE8*$J8))*IF(13=$R8,$S8,12)/12,6)+$B$4),BE8-$I8)))))</f>
        <v/>
      </c>
      <c r="BG8" s="68">
        <f>IF($U8=0,0,IF($F8=4,0,IF($F8=3,0,IF(OR(14&gt;$R8,BF8&lt;=$I8),BF8,BF8-MIN(INT(ROUND(IF($F8=1,$C8*$J8,IF(FE8&gt;0,FE8*$K8,BF8*$J8))*IF(14=$R8,$S8,12)/12,6)+$B$4),BF8-$I8)))))</f>
        <v/>
      </c>
      <c r="BH8" s="68">
        <f>IF($U8=0,0,IF($F8=4,0,IF($F8=3,0,IF(OR(15&gt;$R8,BG8&lt;=$I8),BG8,BG8-MIN(INT(ROUND(IF($F8=1,$C8*$J8,IF(FF8&gt;0,FF8*$K8,BG8*$J8))*IF(15=$R8,$S8,12)/12,6)+$B$4),BG8-$I8)))))</f>
        <v/>
      </c>
      <c r="BI8" s="68">
        <f>IF($U8=0,0,IF($F8=4,0,IF($F8=3,0,IF(OR(16&gt;$R8,BH8&lt;=$I8),BH8,BH8-MIN(INT(ROUND(IF($F8=1,$C8*$J8,IF(FG8&gt;0,FG8*$K8,BH8*$J8))*IF(16=$R8,$S8,12)/12,6)+$B$4),BH8-$I8)))))</f>
        <v/>
      </c>
      <c r="BJ8" s="68">
        <f>IF($U8=0,0,IF($F8=4,0,IF($F8=3,0,IF(OR(17&gt;$R8,BI8&lt;=$I8),BI8,BI8-MIN(INT(ROUND(IF($F8=1,$C8*$J8,IF(FH8&gt;0,FH8*$K8,BI8*$J8))*IF(17=$R8,$S8,12)/12,6)+$B$4),BI8-$I8)))))</f>
        <v/>
      </c>
      <c r="BK8" s="68">
        <f>IF($U8=0,0,IF($F8=4,0,IF($F8=3,0,IF(OR(18&gt;$R8,BJ8&lt;=$I8),BJ8,BJ8-MIN(INT(ROUND(IF($F8=1,$C8*$J8,IF(FI8&gt;0,FI8*$K8,BJ8*$J8))*IF(18=$R8,$S8,12)/12,6)+$B$4),BJ8-$I8)))))</f>
        <v/>
      </c>
      <c r="BL8" s="68">
        <f>IF($U8=0,0,IF($F8=4,0,IF($F8=3,0,IF(OR(19&gt;$R8,BK8&lt;=$I8),BK8,BK8-MIN(INT(ROUND(IF($F8=1,$C8*$J8,IF(FJ8&gt;0,FJ8*$K8,BK8*$J8))*IF(19=$R8,$S8,12)/12,6)+$B$4),BK8-$I8)))))</f>
        <v/>
      </c>
      <c r="BM8" s="68">
        <f>IF($U8=0,0,IF($F8=4,0,IF($F8=3,0,IF(OR(20&gt;$R8,BL8&lt;=$I8),BL8,BL8-MIN(INT(ROUND(IF($F8=1,$C8*$J8,IF(FK8&gt;0,FK8*$K8,BL8*$J8))*IF(20=$R8,$S8,12)/12,6)+$B$4),BL8-$I8)))))</f>
        <v/>
      </c>
      <c r="BN8" s="68">
        <f>IF($U8=0,0,IF($F8=4,0,IF($F8=3,0,IF(OR(21&gt;$R8,BM8&lt;=$I8),BM8,BM8-MIN(INT(ROUND(IF($F8=1,$C8*$J8,IF(FL8&gt;0,FL8*$K8,BM8*$J8))*IF(21=$R8,$S8,12)/12,6)+$B$4),BM8-$I8)))))</f>
        <v/>
      </c>
      <c r="BO8" s="68">
        <f>IF($U8=0,0,IF($F8=4,0,IF($F8=3,0,IF(OR(22&gt;$R8,BN8&lt;=$I8),BN8,BN8-MIN(INT(ROUND(IF($F8=1,$C8*$J8,IF(FM8&gt;0,FM8*$K8,BN8*$J8))*IF(22=$R8,$S8,12)/12,6)+$B$4),BN8-$I8)))))</f>
        <v/>
      </c>
      <c r="BP8" s="68">
        <f>IF($U8=0,0,IF($F8=4,0,IF($F8=3,0,IF(OR(23&gt;$R8,BO8&lt;=$I8),BO8,BO8-MIN(INT(ROUND(IF($F8=1,$C8*$J8,IF(FN8&gt;0,FN8*$K8,BO8*$J8))*IF(23=$R8,$S8,12)/12,6)+$B$4),BO8-$I8)))))</f>
        <v/>
      </c>
      <c r="BQ8" s="68">
        <f>IF($U8=0,0,IF($F8=4,0,IF($F8=3,0,IF(OR(24&gt;$R8,BP8&lt;=$I8),BP8,BP8-MIN(INT(ROUND(IF($F8=1,$C8*$J8,IF(FO8&gt;0,FO8*$K8,BP8*$J8))*IF(24=$R8,$S8,12)/12,6)+$B$4),BP8-$I8)))))</f>
        <v/>
      </c>
      <c r="BR8" s="68">
        <f>IF($U8=0,0,IF($F8=4,0,IF($F8=3,0,IF(OR(25&gt;$R8,BQ8&lt;=$I8),BQ8,BQ8-MIN(INT(ROUND(IF($F8=1,$C8*$J8,IF(FP8&gt;0,FP8*$K8,BQ8*$J8))*IF(25=$R8,$S8,12)/12,6)+$B$4),BQ8-$I8)))))</f>
        <v/>
      </c>
      <c r="BS8" s="68">
        <f>IF($U8=0,0,IF($F8=4,0,IF($F8=3,0,IF(OR(26&gt;$R8,BR8&lt;=$I8),BR8,BR8-MIN(INT(ROUND(IF($F8=1,$C8*$J8,IF(FQ8&gt;0,FQ8*$K8,BR8*$J8))*IF(26=$R8,$S8,12)/12,6)+$B$4),BR8-$I8)))))</f>
        <v/>
      </c>
      <c r="BT8" s="68">
        <f>IF($U8=0,0,IF($F8=4,0,IF($F8=3,0,IF(OR(27&gt;$R8,BS8&lt;=$I8),BS8,BS8-MIN(INT(ROUND(IF($F8=1,$C8*$J8,IF(FR8&gt;0,FR8*$K8,BS8*$J8))*IF(27=$R8,$S8,12)/12,6)+$B$4),BS8-$I8)))))</f>
        <v/>
      </c>
      <c r="BU8" s="68">
        <f>IF($U8=0,0,IF($F8=4,0,IF($F8=3,0,IF(OR(28&gt;$R8,BT8&lt;=$I8),BT8,BT8-MIN(INT(ROUND(IF($F8=1,$C8*$J8,IF(FS8&gt;0,FS8*$K8,BT8*$J8))*IF(28=$R8,$S8,12)/12,6)+$B$4),BT8-$I8)))))</f>
        <v/>
      </c>
      <c r="BV8" s="68">
        <f>IF($U8=0,0,IF($F8=4,0,IF($F8=3,0,IF(OR(29&gt;$R8,BU8&lt;=$I8),BU8,BU8-MIN(INT(ROUND(IF($F8=1,$C8*$J8,IF(FT8&gt;0,FT8*$K8,BU8*$J8))*IF(29=$R8,$S8,12)/12,6)+$B$4),BU8-$I8)))))</f>
        <v/>
      </c>
      <c r="BW8" s="68">
        <f>IF($U8=0,0,IF($F8=4,0,IF($F8=3,0,IF(OR(30&gt;$R8,BV8&lt;=$I8),BV8,BV8-MIN(INT(ROUND(IF($F8=1,$C8*$J8,IF(FU8&gt;0,FU8*$K8,BV8*$J8))*IF(30=$R8,$S8,12)/12,6)+$B$4),BV8-$I8)))))</f>
        <v/>
      </c>
      <c r="BX8" s="68">
        <f>IF($U8=0,0,IF($F8=4,0,IF($F8=3,0,IF(OR(31&gt;$R8,BW8&lt;=$I8),BW8,BW8-MIN(INT(ROUND(IF($F8=1,$C8*$J8,IF(FV8&gt;0,FV8*$K8,BW8*$J8))*IF(31=$R8,$S8,12)/12,6)+$B$4),BW8-$I8)))))</f>
        <v/>
      </c>
      <c r="BY8" s="68">
        <f>IF($U8=0,0,IF($F8=4,0,IF($F8=3,0,IF(OR(32&gt;$R8,BX8&lt;=$I8),BX8,BX8-MIN(INT(ROUND(IF($F8=1,$C8*$J8,IF(FW8&gt;0,FW8*$K8,BX8*$J8))*IF(32=$R8,$S8,12)/12,6)+$B$4),BX8-$I8)))))</f>
        <v/>
      </c>
      <c r="BZ8" s="68">
        <f>IF($U8=0,0,IF($F8=4,0,IF($F8=3,0,IF(OR(33&gt;$R8,BY8&lt;=$I8),BY8,BY8-MIN(INT(ROUND(IF($F8=1,$C8*$J8,IF(FX8&gt;0,FX8*$K8,BY8*$J8))*IF(33=$R8,$S8,12)/12,6)+$B$4),BY8-$I8)))))</f>
        <v/>
      </c>
      <c r="CA8" s="68">
        <f>IF($U8=0,0,IF($F8=4,0,IF($F8=3,0,IF(OR(34&gt;$R8,BZ8&lt;=$I8),BZ8,BZ8-MIN(INT(ROUND(IF($F8=1,$C8*$J8,IF(FY8&gt;0,FY8*$K8,BZ8*$J8))*IF(34=$R8,$S8,12)/12,6)+$B$4),BZ8-$I8)))))</f>
        <v/>
      </c>
      <c r="CB8" s="68">
        <f>IF($U8=0,0,IF($F8=4,0,IF($F8=3,0,IF(OR(35&gt;$R8,CA8&lt;=$I8),CA8,CA8-MIN(INT(ROUND(IF($F8=1,$C8*$J8,IF(FZ8&gt;0,FZ8*$K8,CA8*$J8))*IF(35=$R8,$S8,12)/12,6)+$B$4),CA8-$I8)))))</f>
        <v/>
      </c>
      <c r="CC8" s="68">
        <f>IF($U8=0,0,IF($F8=4,0,IF($F8=3,0,IF(OR(36&gt;$R8,CB8&lt;=$I8),CB8,CB8-MIN(INT(ROUND(IF($F8=1,$C8*$J8,IF(GA8&gt;0,GA8*$K8,CB8*$J8))*IF(36=$R8,$S8,12)/12,6)+$B$4),CB8-$I8)))))</f>
        <v/>
      </c>
      <c r="CD8" s="68">
        <f>IF($U8=0,0,IF($F8=4,0,IF($F8=3,0,IF(OR(37&gt;$R8,CC8&lt;=$I8),CC8,CC8-MIN(INT(ROUND(IF($F8=1,$C8*$J8,IF(GB8&gt;0,GB8*$K8,CC8*$J8))*IF(37=$R8,$S8,12)/12,6)+$B$4),CC8-$I8)))))</f>
        <v/>
      </c>
      <c r="CE8" s="68">
        <f>IF($U8=0,0,IF($F8=4,0,IF($F8=3,0,IF(OR(38&gt;$R8,CD8&lt;=$I8),CD8,CD8-MIN(INT(ROUND(IF($F8=1,$C8*$J8,IF(GC8&gt;0,GC8*$K8,CD8*$J8))*IF(38=$R8,$S8,12)/12,6)+$B$4),CD8-$I8)))))</f>
        <v/>
      </c>
      <c r="CF8" s="68">
        <f>IF($U8=0,0,IF($F8=4,0,IF($F8=3,0,IF(OR(39&gt;$R8,CE8&lt;=$I8),CE8,CE8-MIN(INT(ROUND(IF($F8=1,$C8*$J8,IF(GD8&gt;0,GD8*$K8,CE8*$J8))*IF(39=$R8,$S8,12)/12,6)+$B$4),CE8-$I8)))))</f>
        <v/>
      </c>
      <c r="CG8" s="68">
        <f>IF($U8=0,0,IF($F8=4,0,IF($F8=3,0,IF(OR(40&gt;$R8,CF8&lt;=$I8),CF8,CF8-MIN(INT(ROUND(IF($F8=1,$C8*$J8,IF(GE8&gt;0,GE8*$K8,CF8*$J8))*IF(40=$R8,$S8,12)/12,6)+$B$4),CF8-$I8)))))</f>
        <v/>
      </c>
      <c r="CH8" s="68">
        <f>IF($U8=0,0,IF($F8=4,0,IF($F8=3,0,IF(OR(41&gt;$R8,CG8&lt;=$I8),CG8,CG8-MIN(INT(ROUND(IF($F8=1,$C8*$J8,IF(GF8&gt;0,GF8*$K8,CG8*$J8))*IF(41=$R8,$S8,12)/12,6)+$B$4),CG8-$I8)))))</f>
        <v/>
      </c>
      <c r="CI8" s="68">
        <f>IF($U8=0,0,IF($F8=4,0,IF($F8=3,0,IF(OR(42&gt;$R8,CH8&lt;=$I8),CH8,CH8-MIN(INT(ROUND(IF($F8=1,$C8*$J8,IF(GG8&gt;0,GG8*$K8,CH8*$J8))*IF(42=$R8,$S8,12)/12,6)+$B$4),CH8-$I8)))))</f>
        <v/>
      </c>
      <c r="CJ8" s="68">
        <f>IF($U8=0,0,IF($F8=4,0,IF($F8=3,0,IF(OR(43&gt;$R8,CI8&lt;=$I8),CI8,CI8-MIN(INT(ROUND(IF($F8=1,$C8*$J8,IF(GH8&gt;0,GH8*$K8,CI8*$J8))*IF(43=$R8,$S8,12)/12,6)+$B$4),CI8-$I8)))))</f>
        <v/>
      </c>
      <c r="CK8" s="68">
        <f>IF($U8=0,0,IF($F8=4,0,IF($F8=3,0,IF(OR(44&gt;$R8,CJ8&lt;=$I8),CJ8,CJ8-MIN(INT(ROUND(IF($F8=1,$C8*$J8,IF(GI8&gt;0,GI8*$K8,CJ8*$J8))*IF(44=$R8,$S8,12)/12,6)+$B$4),CJ8-$I8)))))</f>
        <v/>
      </c>
      <c r="CL8" s="68">
        <f>IF($U8=0,0,IF($F8=4,0,IF($F8=3,0,IF(OR(45&gt;$R8,CK8&lt;=$I8),CK8,CK8-MIN(INT(ROUND(IF($F8=1,$C8*$J8,IF(GJ8&gt;0,GJ8*$K8,CK8*$J8))*IF(45=$R8,$S8,12)/12,6)+$B$4),CK8-$I8)))))</f>
        <v/>
      </c>
      <c r="CM8" s="68">
        <f>IF($U8=0,0,IF($F8=4,0,IF($F8=3,0,IF(OR(46&gt;$R8,CL8&lt;=$I8),CL8,CL8-MIN(INT(ROUND(IF($F8=1,$C8*$J8,IF(GK8&gt;0,GK8*$K8,CL8*$J8))*IF(46=$R8,$S8,12)/12,6)+$B$4),CL8-$I8)))))</f>
        <v/>
      </c>
      <c r="CN8" s="68">
        <f>IF($U8=0,0,IF($F8=4,0,IF($F8=3,0,IF(OR(47&gt;$R8,CM8&lt;=$I8),CM8,CM8-MIN(INT(ROUND(IF($F8=1,$C8*$J8,IF(GL8&gt;0,GL8*$K8,CM8*$J8))*IF(47=$R8,$S8,12)/12,6)+$B$4),CM8-$I8)))))</f>
        <v/>
      </c>
      <c r="CO8" s="68">
        <f>IF($U8=0,0,IF($F8=4,0,IF($F8=3,0,IF(OR(48&gt;$R8,CN8&lt;=$I8),CN8,CN8-MIN(INT(ROUND(IF($F8=1,$C8*$J8,IF(GM8&gt;0,GM8*$K8,CN8*$J8))*IF(48=$R8,$S8,12)/12,6)+$B$4),CN8-$I8)))))</f>
        <v/>
      </c>
      <c r="CP8" s="68">
        <f>IF($U8=0,0,IF($F8=4,0,IF($F8=3,0,IF(OR(49&gt;$R8,CO8&lt;=$I8),CO8,CO8-MIN(INT(ROUND(IF($F8=1,$C8*$J8,IF(GN8&gt;0,GN8*$K8,CO8*$J8))*IF(49=$R8,$S8,12)/12,6)+$B$4),CO8-$I8)))))</f>
        <v/>
      </c>
      <c r="CQ8" s="68">
        <f>IF($U8=0,0,IF($F8=4,0,IF($F8=3,0,IF(OR(50&gt;$R8,CP8&lt;=$I8),CP8,CP8-MIN(INT(ROUND(IF($F8=1,$C8*$J8,IF(GO8&gt;0,GO8*$K8,CP8*$J8))*IF(50=$R8,$S8,12)/12,6)+$B$4),CP8-$I8)))))</f>
        <v/>
      </c>
      <c r="CR8" s="68">
        <f>IF($U8=0,0,IF($F8=4,0,IF($F8=3,0,IF(OR(51&gt;$R8,CQ8&lt;=$I8),CQ8,CQ8-MIN(INT(ROUND(IF($F8=1,$C8*$J8,IF(GP8&gt;0,GP8*$K8,CQ8*$J8))*IF(51=$R8,$S8,12)/12,6)+$B$4),CQ8-$I8)))))</f>
        <v/>
      </c>
      <c r="CS8" s="68">
        <f>IF($U8=0,0,IF($F8=4,0,IF($F8=3,0,IF(OR(52&gt;$R8,CR8&lt;=$I8),CR8,CR8-MIN(INT(ROUND(IF($F8=1,$C8*$J8,IF(GQ8&gt;0,GQ8*$K8,CR8*$J8))*IF(52=$R8,$S8,12)/12,6)+$B$4),CR8-$I8)))))</f>
        <v/>
      </c>
      <c r="CT8" s="68">
        <f>IF($U8=0,0,IF($F8=4,0,IF($F8=3,0,IF(OR(53&gt;$R8,CS8&lt;=$I8),CS8,CS8-MIN(INT(ROUND(IF($F8=1,$C8*$J8,IF(GR8&gt;0,GR8*$K8,CS8*$J8))*IF(53=$R8,$S8,12)/12,6)+$B$4),CS8-$I8)))))</f>
        <v/>
      </c>
      <c r="CU8" s="68">
        <f>IF($U8=0,0,IF($F8=4,0,IF($F8=3,0,IF(OR(54&gt;$R8,CT8&lt;=$I8),CT8,CT8-MIN(INT(ROUND(IF($F8=1,$C8*$J8,IF(GS8&gt;0,GS8*$K8,CT8*$J8))*IF(54=$R8,$S8,12)/12,6)+$B$4),CT8-$I8)))))</f>
        <v/>
      </c>
      <c r="CV8" s="68">
        <f>IF($U8=0,0,IF($F8=4,0,IF($F8=3,0,IF(OR(55&gt;$R8,CU8&lt;=$I8),CU8,CU8-MIN(INT(ROUND(IF($F8=1,$C8*$J8,IF(GT8&gt;0,GT8*$K8,CU8*$J8))*IF(55=$R8,$S8,12)/12,6)+$B$4),CU8-$I8)))))</f>
        <v/>
      </c>
      <c r="CW8" s="68">
        <f>IF($U8=0,0,IF($F8=4,0,IF($F8=3,0,IF(OR(56&gt;$R8,CV8&lt;=$I8),CV8,CV8-MIN(INT(ROUND(IF($F8=1,$C8*$J8,IF(GU8&gt;0,GU8*$K8,CV8*$J8))*IF(56=$R8,$S8,12)/12,6)+$B$4),CV8-$I8)))))</f>
        <v/>
      </c>
      <c r="CX8" s="68">
        <f>IF($U8=0,0,IF($F8=4,0,IF($F8=3,0,IF(OR(57&gt;$R8,CW8&lt;=$I8),CW8,CW8-MIN(INT(ROUND(IF($F8=1,$C8*$J8,IF(GV8&gt;0,GV8*$K8,CW8*$J8))*IF(57=$R8,$S8,12)/12,6)+$B$4),CW8-$I8)))))</f>
        <v/>
      </c>
      <c r="CY8" s="68">
        <f>IF($U8=0,0,IF($F8=4,0,IF($F8=3,0,IF(OR(58&gt;$R8,CX8&lt;=$I8),CX8,CX8-MIN(INT(ROUND(IF($F8=1,$C8*$J8,IF(GW8&gt;0,GW8*$K8,CX8*$J8))*IF(58=$R8,$S8,12)/12,6)+$B$4),CX8-$I8)))))</f>
        <v/>
      </c>
      <c r="CZ8" s="68">
        <f>IF($U8=0,0,IF($F8=4,0,IF($F8=3,0,IF(OR(59&gt;$R8,CY8&lt;=$I8),CY8,CY8-MIN(INT(ROUND(IF($F8=1,$C8*$J8,IF(GX8&gt;0,GX8*$K8,CY8*$J8))*IF(59=$R8,$S8,12)/12,6)+$B$4),CY8-$I8)))))</f>
        <v/>
      </c>
      <c r="DA8" s="68">
        <f>IF($U8=0,0,IF($F8=4,0,IF($F8=3,0,IF(OR(60&gt;$R8,CZ8&lt;=$I8),CZ8,CZ8-MIN(INT(ROUND(IF($F8=1,$C8*$J8,IF(GY8&gt;0,GY8*$K8,CZ8*$J8))*IF(60=$R8,$S8,12)/12,6)+$B$4),CZ8-$I8)))))</f>
        <v/>
      </c>
      <c r="DB8" s="68">
        <f>IF($U8=0,0,IF($F8=4,0,IF($F8=3,0,IF(OR(61&gt;$R8,DA8&lt;=$I8),DA8,DA8-MIN(INT(ROUND(IF($F8=1,$C8*$J8,IF(GZ8&gt;0,GZ8*$K8,DA8*$J8))*IF(61=$R8,$S8,12)/12,6)+$B$4),DA8-$I8)))))</f>
        <v/>
      </c>
      <c r="DC8" s="68">
        <f>IF($U8=0,0,IF($F8=4,0,IF($F8=3,0,IF(OR(62&gt;$R8,DB8&lt;=$I8),DB8,DB8-MIN(INT(ROUND(IF($F8=1,$C8*$J8,IF(HA8&gt;0,HA8*$K8,DB8*$J8))*IF(62=$R8,$S8,12)/12,6)+$B$4),DB8-$I8)))))</f>
        <v/>
      </c>
      <c r="DD8" s="68">
        <f>IF($U8=0,0,IF($F8=4,0,IF($F8=3,0,IF(OR(63&gt;$R8,DC8&lt;=$I8),DC8,DC8-MIN(INT(ROUND(IF($F8=1,$C8*$J8,IF(HB8&gt;0,HB8*$K8,DC8*$J8))*IF(63=$R8,$S8,12)/12,6)+$B$4),DC8-$I8)))))</f>
        <v/>
      </c>
      <c r="DE8" s="68">
        <f>IF($U8=0,0,IF($F8=4,0,IF($F8=3,0,IF(OR(64&gt;$R8,DD8&lt;=$I8),DD8,DD8-MIN(INT(ROUND(IF($F8=1,$C8*$J8,IF(HC8&gt;0,HC8*$K8,DD8*$J8))*IF(64=$R8,$S8,12)/12,6)+$B$4),DD8-$I8)))))</f>
        <v/>
      </c>
      <c r="DF8" s="68">
        <f>IF($U8=0,0,IF($F8=4,0,IF($F8=3,0,IF(OR(65&gt;$R8,DE8&lt;=$I8),DE8,DE8-MIN(INT(ROUND(IF($F8=1,$C8*$J8,IF(HD8&gt;0,HD8*$K8,DE8*$J8))*IF(65=$R8,$S8,12)/12,6)+$B$4),DE8-$I8)))))</f>
        <v/>
      </c>
      <c r="DG8" s="68">
        <f>IF($U8=0,0,IF($F8=4,0,IF($F8=3,0,IF(OR(66&gt;$R8,DF8&lt;=$I8),DF8,DF8-MIN(INT(ROUND(IF($F8=1,$C8*$J8,IF(HE8&gt;0,HE8*$K8,DF8*$J8))*IF(66=$R8,$S8,12)/12,6)+$B$4),DF8-$I8)))))</f>
        <v/>
      </c>
      <c r="DH8" s="68">
        <f>IF($U8=0,0,IF($F8=4,0,IF($F8=3,0,IF(OR(67&gt;$R8,DG8&lt;=$I8),DG8,DG8-MIN(INT(ROUND(IF($F8=1,$C8*$J8,IF(HF8&gt;0,HF8*$K8,DG8*$J8))*IF(67=$R8,$S8,12)/12,6)+$B$4),DG8-$I8)))))</f>
        <v/>
      </c>
      <c r="DI8" s="68">
        <f>IF($U8=0,0,IF($F8=4,0,IF($F8=3,0,IF(OR(68&gt;$R8,DH8&lt;=$I8),DH8,DH8-MIN(INT(ROUND(IF($F8=1,$C8*$J8,IF(HG8&gt;0,HG8*$K8,DH8*$J8))*IF(68=$R8,$S8,12)/12,6)+$B$4),DH8-$I8)))))</f>
        <v/>
      </c>
      <c r="DJ8" s="68">
        <f>IF($U8=0,0,IF($F8=4,0,IF($F8=3,0,IF(OR(69&gt;$R8,DI8&lt;=$I8),DI8,DI8-MIN(INT(ROUND(IF($F8=1,$C8*$J8,IF(HH8&gt;0,HH8*$K8,DI8*$J8))*IF(69=$R8,$S8,12)/12,6)+$B$4),DI8-$I8)))))</f>
        <v/>
      </c>
      <c r="DK8" s="68">
        <f>IF($U8=0,0,IF($F8=4,0,IF($F8=3,0,IF(OR(70&gt;$R8,DJ8&lt;=$I8),DJ8,DJ8-MIN(INT(ROUND(IF($F8=1,$C8*$J8,IF(HI8&gt;0,HI8*$K8,DJ8*$J8))*IF(70=$R8,$S8,12)/12,6)+$B$4),DJ8-$I8)))))</f>
        <v/>
      </c>
      <c r="DL8" s="68">
        <f>IF($U8=0,0,IF($F8=4,0,IF($F8=3,0,IF(OR(71&gt;$R8,DK8&lt;=$I8),DK8,DK8-MIN(INT(ROUND(IF($F8=1,$C8*$J8,IF(HJ8&gt;0,HJ8*$K8,DK8*$J8))*IF(71=$R8,$S8,12)/12,6)+$B$4),DK8-$I8)))))</f>
        <v/>
      </c>
      <c r="DM8" s="68">
        <f>IF($U8=0,0,IF($F8=4,0,IF($F8=3,0,IF(OR(72&gt;$R8,DL8&lt;=$I8),DL8,DL8-MIN(INT(ROUND(IF($F8=1,$C8*$J8,IF(HK8&gt;0,HK8*$K8,DL8*$J8))*IF(72=$R8,$S8,12)/12,6)+$B$4),DL8-$I8)))))</f>
        <v/>
      </c>
      <c r="DN8" s="68">
        <f>IF($U8=0,0,IF($F8=4,0,IF($F8=3,0,IF(OR(73&gt;$R8,DM8&lt;=$I8),DM8,DM8-MIN(INT(ROUND(IF($F8=1,$C8*$J8,IF(HL8&gt;0,HL8*$K8,DM8*$J8))*IF(73=$R8,$S8,12)/12,6)+$B$4),DM8-$I8)))))</f>
        <v/>
      </c>
      <c r="DO8" s="68">
        <f>IF($U8=0,0,IF($F8=4,0,IF($F8=3,0,IF(OR(74&gt;$R8,DN8&lt;=$I8),DN8,DN8-MIN(INT(ROUND(IF($F8=1,$C8*$J8,IF(HM8&gt;0,HM8*$K8,DN8*$J8))*IF(74=$R8,$S8,12)/12,6)+$B$4),DN8-$I8)))))</f>
        <v/>
      </c>
      <c r="DP8" s="68">
        <f>IF($U8=0,0,IF($F8=4,0,IF($F8=3,0,IF(OR(75&gt;$R8,DO8&lt;=$I8),DO8,DO8-MIN(INT(ROUND(IF($F8=1,$C8*$J8,IF(HN8&gt;0,HN8*$K8,DO8*$J8))*IF(75=$R8,$S8,12)/12,6)+$B$4),DO8-$I8)))))</f>
        <v/>
      </c>
      <c r="DQ8" s="68">
        <f>IF($U8=0,0,IF($F8=4,0,IF($F8=3,0,IF(OR(76&gt;$R8,DP8&lt;=$I8),DP8,DP8-MIN(INT(ROUND(IF($F8=1,$C8*$J8,IF(HO8&gt;0,HO8*$K8,DP8*$J8))*IF(76=$R8,$S8,12)/12,6)+$B$4),DP8-$I8)))))</f>
        <v/>
      </c>
      <c r="DR8" s="68">
        <f>IF($U8=0,0,IF($F8=4,0,IF($F8=3,0,IF(OR(77&gt;$R8,DQ8&lt;=$I8),DQ8,DQ8-MIN(INT(ROUND(IF($F8=1,$C8*$J8,IF(HP8&gt;0,HP8*$K8,DQ8*$J8))*IF(77=$R8,$S8,12)/12,6)+$B$4),DQ8-$I8)))))</f>
        <v/>
      </c>
      <c r="DS8" s="68">
        <f>IF($U8=0,0,IF($F8=4,0,IF($F8=3,0,IF(OR(78&gt;$R8,DR8&lt;=$I8),DR8,DR8-MIN(INT(ROUND(IF($F8=1,$C8*$J8,IF(HQ8&gt;0,HQ8*$K8,DR8*$J8))*IF(78=$R8,$S8,12)/12,6)+$B$4),DR8-$I8)))))</f>
        <v/>
      </c>
      <c r="DT8" s="68">
        <f>IF($U8=0,0,IF($F8=4,0,IF($F8=3,0,IF(OR(79&gt;$R8,DS8&lt;=$I8),DS8,DS8-MIN(INT(ROUND(IF($F8=1,$C8*$J8,IF(HR8&gt;0,HR8*$K8,DS8*$J8))*IF(79=$R8,$S8,12)/12,6)+$B$4),DS8-$I8)))))</f>
        <v/>
      </c>
      <c r="DU8" s="68">
        <f>IF($U8=0,0,IF($F8=4,0,IF($F8=3,0,IF(OR(80&gt;$R8,DT8&lt;=$I8),DT8,DT8-MIN(INT(ROUND(IF($F8=1,$C8*$J8,IF(HS8&gt;0,HS8*$K8,DT8*$J8))*IF(80=$R8,$S8,12)/12,6)+$B$4),DT8-$I8)))))</f>
        <v/>
      </c>
      <c r="DV8" s="68">
        <f>IF($U8=0,0,IF($F8=4,0,IF($F8=3,0,IF(OR(81&gt;$R8,DU8&lt;=$I8),DU8,DU8-MIN(INT(ROUND(IF($F8=1,$C8*$J8,IF(HT8&gt;0,HT8*$K8,DU8*$J8))*IF(81=$R8,$S8,12)/12,6)+$B$4),DU8-$I8)))))</f>
        <v/>
      </c>
      <c r="DW8" s="68">
        <f>IF($U8=0,0,IF($F8=4,0,IF($F8=3,0,IF(OR(82&gt;$R8,DV8&lt;=$I8),DV8,DV8-MIN(INT(ROUND(IF($F8=1,$C8*$J8,IF(HU8&gt;0,HU8*$K8,DV8*$J8))*IF(82=$R8,$S8,12)/12,6)+$B$4),DV8-$I8)))))</f>
        <v/>
      </c>
      <c r="DX8" s="68">
        <f>IF($U8=0,0,IF($F8=4,0,IF($F8=3,0,IF(OR(83&gt;$R8,DW8&lt;=$I8),DW8,DW8-MIN(INT(ROUND(IF($F8=1,$C8*$J8,IF(HV8&gt;0,HV8*$K8,DW8*$J8))*IF(83=$R8,$S8,12)/12,6)+$B$4),DW8-$I8)))))</f>
        <v/>
      </c>
      <c r="DY8" s="68">
        <f>IF($U8=0,0,IF($F8=4,0,IF($F8=3,0,IF(OR(84&gt;$R8,DX8&lt;=$I8),DX8,DX8-MIN(INT(ROUND(IF($F8=1,$C8*$J8,IF(HW8&gt;0,HW8*$K8,DX8*$J8))*IF(84=$R8,$S8,12)/12,6)+$B$4),DX8-$I8)))))</f>
        <v/>
      </c>
      <c r="DZ8" s="68">
        <f>IF($U8=0,0,IF($F8=4,0,IF($F8=3,0,IF(OR(85&gt;$R8,DY8&lt;=$I8),DY8,DY8-MIN(INT(ROUND(IF($F8=1,$C8*$J8,IF(HX8&gt;0,HX8*$K8,DY8*$J8))*IF(85=$R8,$S8,12)/12,6)+$B$4),DY8-$I8)))))</f>
        <v/>
      </c>
      <c r="EA8" s="68">
        <f>IF($U8=0,0,IF($F8=4,0,IF($F8=3,0,IF(OR(86&gt;$R8,DZ8&lt;=$I8),DZ8,DZ8-MIN(INT(ROUND(IF($F8=1,$C8*$J8,IF(HY8&gt;0,HY8*$K8,DZ8*$J8))*IF(86=$R8,$S8,12)/12,6)+$B$4),DZ8-$I8)))))</f>
        <v/>
      </c>
      <c r="EB8" s="68">
        <f>IF($U8=0,0,IF($F8=4,0,IF($F8=3,0,IF(OR(87&gt;$R8,EA8&lt;=$I8),EA8,EA8-MIN(INT(ROUND(IF($F8=1,$C8*$J8,IF(HZ8&gt;0,HZ8*$K8,EA8*$J8))*IF(87=$R8,$S8,12)/12,6)+$B$4),EA8-$I8)))))</f>
        <v/>
      </c>
      <c r="EC8" s="68">
        <f>IF($U8=0,0,IF($F8=4,0,IF($F8=3,0,IF(OR(88&gt;$R8,EB8&lt;=$I8),EB8,EB8-MIN(INT(ROUND(IF($F8=1,$C8*$J8,IF(IA8&gt;0,IA8*$K8,EB8*$J8))*IF(88=$R8,$S8,12)/12,6)+$B$4),EB8-$I8)))))</f>
        <v/>
      </c>
      <c r="ED8" s="68">
        <f>IF($U8=0,0,IF($F8=4,0,IF($F8=3,0,IF(OR(89&gt;$R8,EC8&lt;=$I8),EC8,EC8-MIN(INT(ROUND(IF($F8=1,$C8*$J8,IF(IB8&gt;0,IB8*$K8,EC8*$J8))*IF(89=$R8,$S8,12)/12,6)+$B$4),EC8-$I8)))))</f>
        <v/>
      </c>
      <c r="EE8" s="68">
        <f>IF($U8=0,0,IF($F8=4,0,IF($F8=3,0,IF(OR(90&gt;$R8,ED8&lt;=$I8),ED8,ED8-MIN(INT(ROUND(IF($F8=1,$C8*$J8,IF(IC8&gt;0,IC8*$K8,ED8*$J8))*IF(90=$R8,$S8,12)/12,6)+$B$4),ED8-$I8)))))</f>
        <v/>
      </c>
      <c r="EF8" s="68">
        <f>IF($U8=0,0,IF($F8=4,0,IF($F8=3,0,IF(OR(91&gt;$R8,EE8&lt;=$I8),EE8,EE8-MIN(INT(ROUND(IF($F8=1,$C8*$J8,IF(ID8&gt;0,ID8*$K8,EE8*$J8))*IF(91=$R8,$S8,12)/12,6)+$B$4),EE8-$I8)))))</f>
        <v/>
      </c>
      <c r="EG8" s="68">
        <f>IF($U8=0,0,IF($F8=4,0,IF($F8=3,0,IF(OR(92&gt;$R8,EF8&lt;=$I8),EF8,EF8-MIN(INT(ROUND(IF($F8=1,$C8*$J8,IF(IE8&gt;0,IE8*$K8,EF8*$J8))*IF(92=$R8,$S8,12)/12,6)+$B$4),EF8-$I8)))))</f>
        <v/>
      </c>
      <c r="EH8" s="68">
        <f>IF($U8=0,0,IF($F8=4,0,IF($F8=3,0,IF(OR(93&gt;$R8,EG8&lt;=$I8),EG8,EG8-MIN(INT(ROUND(IF($F8=1,$C8*$J8,IF(IF8&gt;0,IF8*$K8,EG8*$J8))*IF(93=$R8,$S8,12)/12,6)+$B$4),EG8-$I8)))))</f>
        <v/>
      </c>
      <c r="EI8" s="68">
        <f>IF($U8=0,0,IF($F8=4,0,IF($F8=3,0,IF(OR(94&gt;$R8,EH8&lt;=$I8),EH8,EH8-MIN(INT(ROUND(IF($F8=1,$C8*$J8,IF(IG8&gt;0,IG8*$K8,EH8*$J8))*IF(94=$R8,$S8,12)/12,6)+$B$4),EH8-$I8)))))</f>
        <v/>
      </c>
      <c r="EJ8" s="68">
        <f>IF($U8=0,0,IF($F8=4,0,IF($F8=3,0,IF(OR(95&gt;$R8,EI8&lt;=$I8),EI8,EI8-MIN(INT(ROUND(IF($F8=1,$C8*$J8,IF(IH8&gt;0,IH8*$K8,EI8*$J8))*IF(95=$R8,$S8,12)/12,6)+$B$4),EI8-$I8)))))</f>
        <v/>
      </c>
      <c r="EK8" s="68">
        <f>IF($U8=0,0,IF($F8=4,0,IF($F8=3,0,IF(OR(96&gt;$R8,EJ8&lt;=$I8),EJ8,EJ8-MIN(INT(ROUND(IF($F8=1,$C8*$J8,IF(II8&gt;0,II8*$K8,EJ8*$J8))*IF(96=$R8,$S8,12)/12,6)+$B$4),EJ8-$I8)))))</f>
        <v/>
      </c>
      <c r="EL8" s="68">
        <f>IF($U8=0,0,IF($F8=4,0,IF($F8=3,0,IF(OR(97&gt;$R8,EK8&lt;=$I8),EK8,EK8-MIN(INT(ROUND(IF($F8=1,$C8*$J8,IF(IJ8&gt;0,IJ8*$K8,EK8*$J8))*IF(97=$R8,$S8,12)/12,6)+$B$4),EK8-$I8)))))</f>
        <v/>
      </c>
      <c r="EM8" s="68">
        <f>IF($U8=0,0,IF($F8=4,0,IF($F8=3,0,IF(OR(98&gt;$R8,EL8&lt;=$I8),EL8,EL8-MIN(INT(ROUND(IF($F8=1,$C8*$J8,IF(IK8&gt;0,IK8*$K8,EL8*$J8))*IF(98=$R8,$S8,12)/12,6)+$B$4),EL8-$I8)))))</f>
        <v/>
      </c>
      <c r="EN8" s="68">
        <f>IF($U8=0,0,IF($F8=4,0,IF($F8=3,0,IF(OR(99&gt;$R8,EM8&lt;=$I8),EM8,EM8-MIN(INT(ROUND(IF($F8=1,$C8*$J8,IF(IL8&gt;0,IL8*$K8,EM8*$J8))*IF(99=$R8,$S8,12)/12,6)+$B$4),EM8-$I8)))))</f>
        <v/>
      </c>
      <c r="EO8" s="68">
        <f>IF($U8=0,0,IF($F8=4,0,IF($F8=3,0,IF(OR(100&gt;$R8,EN8&lt;=$I8),EN8,EN8-MIN(INT(ROUND(IF($F8=1,$C8*$J8,IF(IM8&gt;0,IM8*$K8,EN8*$J8))*IF(100=$R8,$S8,12)/12,6)+$B$4),EN8-$I8)))))</f>
        <v/>
      </c>
      <c r="EP8" s="68">
        <f>IF($U8=0,0,IF($F8=4,0,IF($F8=3,0,IF(OR(101&gt;$R8,EO8&lt;=$I8),EO8,EO8-MIN(INT(ROUND(IF($F8=1,$C8*$J8,IF(IN8&gt;0,IN8*$K8,EO8*$J8))*IF(101=$R8,$S8,12)/12,6)+$B$4),EO8-$I8)))))</f>
        <v/>
      </c>
      <c r="EQ8" s="68" t="n"/>
      <c r="ER8" s="68">
        <f>IF(OR($U8=0,$F8&lt;&gt;2),0,IF(ROUND(AS8*$J8,6)&lt;ROUND($M8,6),AS8,0))</f>
        <v/>
      </c>
      <c r="ES8" s="68">
        <f>IF(OR($U8=0,$F8&lt;&gt;2),0,IF(ER8&gt;0,ER8,IF(ROUND(AT8*$J8,6)&lt;ROUND($M8,6),AT8,0)))</f>
        <v/>
      </c>
      <c r="ET8" s="68">
        <f>IF(OR($U8=0,$F8&lt;&gt;2),0,IF(ES8&gt;0,ES8,IF(ROUND(AU8*$J8,6)&lt;ROUND($M8,6),AU8,0)))</f>
        <v/>
      </c>
      <c r="EU8" s="68">
        <f>IF(OR($U8=0,$F8&lt;&gt;2),0,IF(ET8&gt;0,ET8,IF(ROUND(AV8*$J8,6)&lt;ROUND($M8,6),AV8,0)))</f>
        <v/>
      </c>
      <c r="EV8" s="68">
        <f>IF(OR($U8=0,$F8&lt;&gt;2),0,IF(EU8&gt;0,EU8,IF(ROUND(AW8*$J8,6)&lt;ROUND($M8,6),AW8,0)))</f>
        <v/>
      </c>
      <c r="EW8" s="68">
        <f>IF(OR($U8=0,$F8&lt;&gt;2),0,IF(EV8&gt;0,EV8,IF(ROUND(AX8*$J8,6)&lt;ROUND($M8,6),AX8,0)))</f>
        <v/>
      </c>
      <c r="EX8" s="68">
        <f>IF(OR($U8=0,$F8&lt;&gt;2),0,IF(EW8&gt;0,EW8,IF(ROUND(AY8*$J8,6)&lt;ROUND($M8,6),AY8,0)))</f>
        <v/>
      </c>
      <c r="EY8" s="68">
        <f>IF(OR($U8=0,$F8&lt;&gt;2),0,IF(EX8&gt;0,EX8,IF(ROUND(AZ8*$J8,6)&lt;ROUND($M8,6),AZ8,0)))</f>
        <v/>
      </c>
      <c r="EZ8" s="68">
        <f>IF(OR($U8=0,$F8&lt;&gt;2),0,IF(EY8&gt;0,EY8,IF(ROUND(BA8*$J8,6)&lt;ROUND($M8,6),BA8,0)))</f>
        <v/>
      </c>
      <c r="FA8" s="68">
        <f>IF(OR($U8=0,$F8&lt;&gt;2),0,IF(EZ8&gt;0,EZ8,IF(ROUND(BB8*$J8,6)&lt;ROUND($M8,6),BB8,0)))</f>
        <v/>
      </c>
      <c r="FB8" s="68">
        <f>IF(OR($U8=0,$F8&lt;&gt;2),0,IF(FA8&gt;0,FA8,IF(ROUND(BC8*$J8,6)&lt;ROUND($M8,6),BC8,0)))</f>
        <v/>
      </c>
      <c r="FC8" s="68">
        <f>IF(OR($U8=0,$F8&lt;&gt;2),0,IF(FB8&gt;0,FB8,IF(ROUND(BD8*$J8,6)&lt;ROUND($M8,6),BD8,0)))</f>
        <v/>
      </c>
      <c r="FD8" s="68">
        <f>IF(OR($U8=0,$F8&lt;&gt;2),0,IF(FC8&gt;0,FC8,IF(ROUND(BE8*$J8,6)&lt;ROUND($M8,6),BE8,0)))</f>
        <v/>
      </c>
      <c r="FE8" s="68">
        <f>IF(OR($U8=0,$F8&lt;&gt;2),0,IF(FD8&gt;0,FD8,IF(ROUND(BF8*$J8,6)&lt;ROUND($M8,6),BF8,0)))</f>
        <v/>
      </c>
      <c r="FF8" s="68">
        <f>IF(OR($U8=0,$F8&lt;&gt;2),0,IF(FE8&gt;0,FE8,IF(ROUND(BG8*$J8,6)&lt;ROUND($M8,6),BG8,0)))</f>
        <v/>
      </c>
      <c r="FG8" s="68">
        <f>IF(OR($U8=0,$F8&lt;&gt;2),0,IF(FF8&gt;0,FF8,IF(ROUND(BH8*$J8,6)&lt;ROUND($M8,6),BH8,0)))</f>
        <v/>
      </c>
      <c r="FH8" s="68">
        <f>IF(OR($U8=0,$F8&lt;&gt;2),0,IF(FG8&gt;0,FG8,IF(ROUND(BI8*$J8,6)&lt;ROUND($M8,6),BI8,0)))</f>
        <v/>
      </c>
      <c r="FI8" s="68">
        <f>IF(OR($U8=0,$F8&lt;&gt;2),0,IF(FH8&gt;0,FH8,IF(ROUND(BJ8*$J8,6)&lt;ROUND($M8,6),BJ8,0)))</f>
        <v/>
      </c>
      <c r="FJ8" s="68">
        <f>IF(OR($U8=0,$F8&lt;&gt;2),0,IF(FI8&gt;0,FI8,IF(ROUND(BK8*$J8,6)&lt;ROUND($M8,6),BK8,0)))</f>
        <v/>
      </c>
      <c r="FK8" s="68">
        <f>IF(OR($U8=0,$F8&lt;&gt;2),0,IF(FJ8&gt;0,FJ8,IF(ROUND(BL8*$J8,6)&lt;ROUND($M8,6),BL8,0)))</f>
        <v/>
      </c>
      <c r="FL8" s="68">
        <f>IF(OR($U8=0,$F8&lt;&gt;2),0,IF(FK8&gt;0,FK8,IF(ROUND(BM8*$J8,6)&lt;ROUND($M8,6),BM8,0)))</f>
        <v/>
      </c>
      <c r="FM8" s="68">
        <f>IF(OR($U8=0,$F8&lt;&gt;2),0,IF(FL8&gt;0,FL8,IF(ROUND(BN8*$J8,6)&lt;ROUND($M8,6),BN8,0)))</f>
        <v/>
      </c>
      <c r="FN8" s="68">
        <f>IF(OR($U8=0,$F8&lt;&gt;2),0,IF(FM8&gt;0,FM8,IF(ROUND(BO8*$J8,6)&lt;ROUND($M8,6),BO8,0)))</f>
        <v/>
      </c>
      <c r="FO8" s="68">
        <f>IF(OR($U8=0,$F8&lt;&gt;2),0,IF(FN8&gt;0,FN8,IF(ROUND(BP8*$J8,6)&lt;ROUND($M8,6),BP8,0)))</f>
        <v/>
      </c>
      <c r="FP8" s="68">
        <f>IF(OR($U8=0,$F8&lt;&gt;2),0,IF(FO8&gt;0,FO8,IF(ROUND(BQ8*$J8,6)&lt;ROUND($M8,6),BQ8,0)))</f>
        <v/>
      </c>
      <c r="FQ8" s="68">
        <f>IF(OR($U8=0,$F8&lt;&gt;2),0,IF(FP8&gt;0,FP8,IF(ROUND(BR8*$J8,6)&lt;ROUND($M8,6),BR8,0)))</f>
        <v/>
      </c>
      <c r="FR8" s="68">
        <f>IF(OR($U8=0,$F8&lt;&gt;2),0,IF(FQ8&gt;0,FQ8,IF(ROUND(BS8*$J8,6)&lt;ROUND($M8,6),BS8,0)))</f>
        <v/>
      </c>
      <c r="FS8" s="68">
        <f>IF(OR($U8=0,$F8&lt;&gt;2),0,IF(FR8&gt;0,FR8,IF(ROUND(BT8*$J8,6)&lt;ROUND($M8,6),BT8,0)))</f>
        <v/>
      </c>
      <c r="FT8" s="68">
        <f>IF(OR($U8=0,$F8&lt;&gt;2),0,IF(FS8&gt;0,FS8,IF(ROUND(BU8*$J8,6)&lt;ROUND($M8,6),BU8,0)))</f>
        <v/>
      </c>
      <c r="FU8" s="68">
        <f>IF(OR($U8=0,$F8&lt;&gt;2),0,IF(FT8&gt;0,FT8,IF(ROUND(BV8*$J8,6)&lt;ROUND($M8,6),BV8,0)))</f>
        <v/>
      </c>
      <c r="FV8" s="68">
        <f>IF(OR($U8=0,$F8&lt;&gt;2),0,IF(FU8&gt;0,FU8,IF(ROUND(BW8*$J8,6)&lt;ROUND($M8,6),BW8,0)))</f>
        <v/>
      </c>
      <c r="FW8" s="68">
        <f>IF(OR($U8=0,$F8&lt;&gt;2),0,IF(FV8&gt;0,FV8,IF(ROUND(BX8*$J8,6)&lt;ROUND($M8,6),BX8,0)))</f>
        <v/>
      </c>
      <c r="FX8" s="68">
        <f>IF(OR($U8=0,$F8&lt;&gt;2),0,IF(FW8&gt;0,FW8,IF(ROUND(BY8*$J8,6)&lt;ROUND($M8,6),BY8,0)))</f>
        <v/>
      </c>
      <c r="FY8" s="68">
        <f>IF(OR($U8=0,$F8&lt;&gt;2),0,IF(FX8&gt;0,FX8,IF(ROUND(BZ8*$J8,6)&lt;ROUND($M8,6),BZ8,0)))</f>
        <v/>
      </c>
      <c r="FZ8" s="68">
        <f>IF(OR($U8=0,$F8&lt;&gt;2),0,IF(FY8&gt;0,FY8,IF(ROUND(CA8*$J8,6)&lt;ROUND($M8,6),CA8,0)))</f>
        <v/>
      </c>
      <c r="GA8" s="68">
        <f>IF(OR($U8=0,$F8&lt;&gt;2),0,IF(FZ8&gt;0,FZ8,IF(ROUND(CB8*$J8,6)&lt;ROUND($M8,6),CB8,0)))</f>
        <v/>
      </c>
      <c r="GB8" s="68">
        <f>IF(OR($U8=0,$F8&lt;&gt;2),0,IF(GA8&gt;0,GA8,IF(ROUND(CC8*$J8,6)&lt;ROUND($M8,6),CC8,0)))</f>
        <v/>
      </c>
      <c r="GC8" s="68">
        <f>IF(OR($U8=0,$F8&lt;&gt;2),0,IF(GB8&gt;0,GB8,IF(ROUND(CD8*$J8,6)&lt;ROUND($M8,6),CD8,0)))</f>
        <v/>
      </c>
      <c r="GD8" s="68">
        <f>IF(OR($U8=0,$F8&lt;&gt;2),0,IF(GC8&gt;0,GC8,IF(ROUND(CE8*$J8,6)&lt;ROUND($M8,6),CE8,0)))</f>
        <v/>
      </c>
      <c r="GE8" s="68">
        <f>IF(OR($U8=0,$F8&lt;&gt;2),0,IF(GD8&gt;0,GD8,IF(ROUND(CF8*$J8,6)&lt;ROUND($M8,6),CF8,0)))</f>
        <v/>
      </c>
      <c r="GF8" s="68">
        <f>IF(OR($U8=0,$F8&lt;&gt;2),0,IF(GE8&gt;0,GE8,IF(ROUND(CG8*$J8,6)&lt;ROUND($M8,6),CG8,0)))</f>
        <v/>
      </c>
      <c r="GG8" s="68">
        <f>IF(OR($U8=0,$F8&lt;&gt;2),0,IF(GF8&gt;0,GF8,IF(ROUND(CH8*$J8,6)&lt;ROUND($M8,6),CH8,0)))</f>
        <v/>
      </c>
      <c r="GH8" s="68">
        <f>IF(OR($U8=0,$F8&lt;&gt;2),0,IF(GG8&gt;0,GG8,IF(ROUND(CI8*$J8,6)&lt;ROUND($M8,6),CI8,0)))</f>
        <v/>
      </c>
      <c r="GI8" s="68">
        <f>IF(OR($U8=0,$F8&lt;&gt;2),0,IF(GH8&gt;0,GH8,IF(ROUND(CJ8*$J8,6)&lt;ROUND($M8,6),CJ8,0)))</f>
        <v/>
      </c>
      <c r="GJ8" s="68">
        <f>IF(OR($U8=0,$F8&lt;&gt;2),0,IF(GI8&gt;0,GI8,IF(ROUND(CK8*$J8,6)&lt;ROUND($M8,6),CK8,0)))</f>
        <v/>
      </c>
      <c r="GK8" s="68">
        <f>IF(OR($U8=0,$F8&lt;&gt;2),0,IF(GJ8&gt;0,GJ8,IF(ROUND(CL8*$J8,6)&lt;ROUND($M8,6),CL8,0)))</f>
        <v/>
      </c>
      <c r="GL8" s="68">
        <f>IF(OR($U8=0,$F8&lt;&gt;2),0,IF(GK8&gt;0,GK8,IF(ROUND(CM8*$J8,6)&lt;ROUND($M8,6),CM8,0)))</f>
        <v/>
      </c>
      <c r="GM8" s="68">
        <f>IF(OR($U8=0,$F8&lt;&gt;2),0,IF(GL8&gt;0,GL8,IF(ROUND(CN8*$J8,6)&lt;ROUND($M8,6),CN8,0)))</f>
        <v/>
      </c>
      <c r="GN8" s="68">
        <f>IF(OR($U8=0,$F8&lt;&gt;2),0,IF(GM8&gt;0,GM8,IF(ROUND(CO8*$J8,6)&lt;ROUND($M8,6),CO8,0)))</f>
        <v/>
      </c>
      <c r="GO8" s="68">
        <f>IF(OR($U8=0,$F8&lt;&gt;2),0,IF(GN8&gt;0,GN8,IF(ROUND(CP8*$J8,6)&lt;ROUND($M8,6),CP8,0)))</f>
        <v/>
      </c>
      <c r="GP8" s="68">
        <f>IF(OR($U8=0,$F8&lt;&gt;2),0,IF(GO8&gt;0,GO8,IF(ROUND(CQ8*$J8,6)&lt;ROUND($M8,6),CQ8,0)))</f>
        <v/>
      </c>
      <c r="GQ8" s="68">
        <f>IF(OR($U8=0,$F8&lt;&gt;2),0,IF(GP8&gt;0,GP8,IF(ROUND(CR8*$J8,6)&lt;ROUND($M8,6),CR8,0)))</f>
        <v/>
      </c>
      <c r="GR8" s="68">
        <f>IF(OR($U8=0,$F8&lt;&gt;2),0,IF(GQ8&gt;0,GQ8,IF(ROUND(CS8*$J8,6)&lt;ROUND($M8,6),CS8,0)))</f>
        <v/>
      </c>
      <c r="GS8" s="68">
        <f>IF(OR($U8=0,$F8&lt;&gt;2),0,IF(GR8&gt;0,GR8,IF(ROUND(CT8*$J8,6)&lt;ROUND($M8,6),CT8,0)))</f>
        <v/>
      </c>
      <c r="GT8" s="68">
        <f>IF(OR($U8=0,$F8&lt;&gt;2),0,IF(GS8&gt;0,GS8,IF(ROUND(CU8*$J8,6)&lt;ROUND($M8,6),CU8,0)))</f>
        <v/>
      </c>
      <c r="GU8" s="68">
        <f>IF(OR($U8=0,$F8&lt;&gt;2),0,IF(GT8&gt;0,GT8,IF(ROUND(CV8*$J8,6)&lt;ROUND($M8,6),CV8,0)))</f>
        <v/>
      </c>
      <c r="GV8" s="68">
        <f>IF(OR($U8=0,$F8&lt;&gt;2),0,IF(GU8&gt;0,GU8,IF(ROUND(CW8*$J8,6)&lt;ROUND($M8,6),CW8,0)))</f>
        <v/>
      </c>
      <c r="GW8" s="68">
        <f>IF(OR($U8=0,$F8&lt;&gt;2),0,IF(GV8&gt;0,GV8,IF(ROUND(CX8*$J8,6)&lt;ROUND($M8,6),CX8,0)))</f>
        <v/>
      </c>
      <c r="GX8" s="68">
        <f>IF(OR($U8=0,$F8&lt;&gt;2),0,IF(GW8&gt;0,GW8,IF(ROUND(CY8*$J8,6)&lt;ROUND($M8,6),CY8,0)))</f>
        <v/>
      </c>
      <c r="GY8" s="68">
        <f>IF(OR($U8=0,$F8&lt;&gt;2),0,IF(GX8&gt;0,GX8,IF(ROUND(CZ8*$J8,6)&lt;ROUND($M8,6),CZ8,0)))</f>
        <v/>
      </c>
      <c r="GZ8" s="68">
        <f>IF(OR($U8=0,$F8&lt;&gt;2),0,IF(GY8&gt;0,GY8,IF(ROUND(DA8*$J8,6)&lt;ROUND($M8,6),DA8,0)))</f>
        <v/>
      </c>
      <c r="HA8" s="68">
        <f>IF(OR($U8=0,$F8&lt;&gt;2),0,IF(GZ8&gt;0,GZ8,IF(ROUND(DB8*$J8,6)&lt;ROUND($M8,6),DB8,0)))</f>
        <v/>
      </c>
      <c r="HB8" s="68">
        <f>IF(OR($U8=0,$F8&lt;&gt;2),0,IF(HA8&gt;0,HA8,IF(ROUND(DC8*$J8,6)&lt;ROUND($M8,6),DC8,0)))</f>
        <v/>
      </c>
      <c r="HC8" s="68">
        <f>IF(OR($U8=0,$F8&lt;&gt;2),0,IF(HB8&gt;0,HB8,IF(ROUND(DD8*$J8,6)&lt;ROUND($M8,6),DD8,0)))</f>
        <v/>
      </c>
      <c r="HD8" s="68">
        <f>IF(OR($U8=0,$F8&lt;&gt;2),0,IF(HC8&gt;0,HC8,IF(ROUND(DE8*$J8,6)&lt;ROUND($M8,6),DE8,0)))</f>
        <v/>
      </c>
      <c r="HE8" s="68">
        <f>IF(OR($U8=0,$F8&lt;&gt;2),0,IF(HD8&gt;0,HD8,IF(ROUND(DF8*$J8,6)&lt;ROUND($M8,6),DF8,0)))</f>
        <v/>
      </c>
      <c r="HF8" s="68">
        <f>IF(OR($U8=0,$F8&lt;&gt;2),0,IF(HE8&gt;0,HE8,IF(ROUND(DG8*$J8,6)&lt;ROUND($M8,6),DG8,0)))</f>
        <v/>
      </c>
      <c r="HG8" s="68">
        <f>IF(OR($U8=0,$F8&lt;&gt;2),0,IF(HF8&gt;0,HF8,IF(ROUND(DH8*$J8,6)&lt;ROUND($M8,6),DH8,0)))</f>
        <v/>
      </c>
      <c r="HH8" s="68">
        <f>IF(OR($U8=0,$F8&lt;&gt;2),0,IF(HG8&gt;0,HG8,IF(ROUND(DI8*$J8,6)&lt;ROUND($M8,6),DI8,0)))</f>
        <v/>
      </c>
      <c r="HI8" s="68">
        <f>IF(OR($U8=0,$F8&lt;&gt;2),0,IF(HH8&gt;0,HH8,IF(ROUND(DJ8*$J8,6)&lt;ROUND($M8,6),DJ8,0)))</f>
        <v/>
      </c>
      <c r="HJ8" s="68">
        <f>IF(OR($U8=0,$F8&lt;&gt;2),0,IF(HI8&gt;0,HI8,IF(ROUND(DK8*$J8,6)&lt;ROUND($M8,6),DK8,0)))</f>
        <v/>
      </c>
      <c r="HK8" s="68">
        <f>IF(OR($U8=0,$F8&lt;&gt;2),0,IF(HJ8&gt;0,HJ8,IF(ROUND(DL8*$J8,6)&lt;ROUND($M8,6),DL8,0)))</f>
        <v/>
      </c>
      <c r="HL8" s="68">
        <f>IF(OR($U8=0,$F8&lt;&gt;2),0,IF(HK8&gt;0,HK8,IF(ROUND(DM8*$J8,6)&lt;ROUND($M8,6),DM8,0)))</f>
        <v/>
      </c>
      <c r="HM8" s="68">
        <f>IF(OR($U8=0,$F8&lt;&gt;2),0,IF(HL8&gt;0,HL8,IF(ROUND(DN8*$J8,6)&lt;ROUND($M8,6),DN8,0)))</f>
        <v/>
      </c>
      <c r="HN8" s="68">
        <f>IF(OR($U8=0,$F8&lt;&gt;2),0,IF(HM8&gt;0,HM8,IF(ROUND(DO8*$J8,6)&lt;ROUND($M8,6),DO8,0)))</f>
        <v/>
      </c>
      <c r="HO8" s="68">
        <f>IF(OR($U8=0,$F8&lt;&gt;2),0,IF(HN8&gt;0,HN8,IF(ROUND(DP8*$J8,6)&lt;ROUND($M8,6),DP8,0)))</f>
        <v/>
      </c>
      <c r="HP8" s="68">
        <f>IF(OR($U8=0,$F8&lt;&gt;2),0,IF(HO8&gt;0,HO8,IF(ROUND(DQ8*$J8,6)&lt;ROUND($M8,6),DQ8,0)))</f>
        <v/>
      </c>
      <c r="HQ8" s="68">
        <f>IF(OR($U8=0,$F8&lt;&gt;2),0,IF(HP8&gt;0,HP8,IF(ROUND(DR8*$J8,6)&lt;ROUND($M8,6),DR8,0)))</f>
        <v/>
      </c>
      <c r="HR8" s="68">
        <f>IF(OR($U8=0,$F8&lt;&gt;2),0,IF(HQ8&gt;0,HQ8,IF(ROUND(DS8*$J8,6)&lt;ROUND($M8,6),DS8,0)))</f>
        <v/>
      </c>
      <c r="HS8" s="68">
        <f>IF(OR($U8=0,$F8&lt;&gt;2),0,IF(HR8&gt;0,HR8,IF(ROUND(DT8*$J8,6)&lt;ROUND($M8,6),DT8,0)))</f>
        <v/>
      </c>
      <c r="HT8" s="68">
        <f>IF(OR($U8=0,$F8&lt;&gt;2),0,IF(HS8&gt;0,HS8,IF(ROUND(DU8*$J8,6)&lt;ROUND($M8,6),DU8,0)))</f>
        <v/>
      </c>
      <c r="HU8" s="68">
        <f>IF(OR($U8=0,$F8&lt;&gt;2),0,IF(HT8&gt;0,HT8,IF(ROUND(DV8*$J8,6)&lt;ROUND($M8,6),DV8,0)))</f>
        <v/>
      </c>
      <c r="HV8" s="68">
        <f>IF(OR($U8=0,$F8&lt;&gt;2),0,IF(HU8&gt;0,HU8,IF(ROUND(DW8*$J8,6)&lt;ROUND($M8,6),DW8,0)))</f>
        <v/>
      </c>
      <c r="HW8" s="68">
        <f>IF(OR($U8=0,$F8&lt;&gt;2),0,IF(HV8&gt;0,HV8,IF(ROUND(DX8*$J8,6)&lt;ROUND($M8,6),DX8,0)))</f>
        <v/>
      </c>
      <c r="HX8" s="68">
        <f>IF(OR($U8=0,$F8&lt;&gt;2),0,IF(HW8&gt;0,HW8,IF(ROUND(DY8*$J8,6)&lt;ROUND($M8,6),DY8,0)))</f>
        <v/>
      </c>
      <c r="HY8" s="68">
        <f>IF(OR($U8=0,$F8&lt;&gt;2),0,IF(HX8&gt;0,HX8,IF(ROUND(DZ8*$J8,6)&lt;ROUND($M8,6),DZ8,0)))</f>
        <v/>
      </c>
      <c r="HZ8" s="68">
        <f>IF(OR($U8=0,$F8&lt;&gt;2),0,IF(HY8&gt;0,HY8,IF(ROUND(EA8*$J8,6)&lt;ROUND($M8,6),EA8,0)))</f>
        <v/>
      </c>
      <c r="IA8" s="68">
        <f>IF(OR($U8=0,$F8&lt;&gt;2),0,IF(HZ8&gt;0,HZ8,IF(ROUND(EB8*$J8,6)&lt;ROUND($M8,6),EB8,0)))</f>
        <v/>
      </c>
      <c r="IB8" s="68">
        <f>IF(OR($U8=0,$F8&lt;&gt;2),0,IF(IA8&gt;0,IA8,IF(ROUND(EC8*$J8,6)&lt;ROUND($M8,6),EC8,0)))</f>
        <v/>
      </c>
      <c r="IC8" s="68">
        <f>IF(OR($U8=0,$F8&lt;&gt;2),0,IF(IB8&gt;0,IB8,IF(ROUND(ED8*$J8,6)&lt;ROUND($M8,6),ED8,0)))</f>
        <v/>
      </c>
      <c r="ID8" s="68">
        <f>IF(OR($U8=0,$F8&lt;&gt;2),0,IF(IC8&gt;0,IC8,IF(ROUND(EE8*$J8,6)&lt;ROUND($M8,6),EE8,0)))</f>
        <v/>
      </c>
      <c r="IE8" s="68">
        <f>IF(OR($U8=0,$F8&lt;&gt;2),0,IF(ID8&gt;0,ID8,IF(ROUND(EF8*$J8,6)&lt;ROUND($M8,6),EF8,0)))</f>
        <v/>
      </c>
      <c r="IF8" s="68">
        <f>IF(OR($U8=0,$F8&lt;&gt;2),0,IF(IE8&gt;0,IE8,IF(ROUND(EG8*$J8,6)&lt;ROUND($M8,6),EG8,0)))</f>
        <v/>
      </c>
      <c r="IG8" s="68">
        <f>IF(OR($U8=0,$F8&lt;&gt;2),0,IF(IF8&gt;0,IF8,IF(ROUND(EH8*$J8,6)&lt;ROUND($M8,6),EH8,0)))</f>
        <v/>
      </c>
      <c r="IH8" s="68">
        <f>IF(OR($U8=0,$F8&lt;&gt;2),0,IF(IG8&gt;0,IG8,IF(ROUND(EI8*$J8,6)&lt;ROUND($M8,6),EI8,0)))</f>
        <v/>
      </c>
      <c r="II8" s="68">
        <f>IF(OR($U8=0,$F8&lt;&gt;2),0,IF(IH8&gt;0,IH8,IF(ROUND(EJ8*$J8,6)&lt;ROUND($M8,6),EJ8,0)))</f>
        <v/>
      </c>
      <c r="IJ8" s="68">
        <f>IF(OR($U8=0,$F8&lt;&gt;2),0,IF(II8&gt;0,II8,IF(ROUND(EK8*$J8,6)&lt;ROUND($M8,6),EK8,0)))</f>
        <v/>
      </c>
      <c r="IK8" s="68">
        <f>IF(OR($U8=0,$F8&lt;&gt;2),0,IF(IJ8&gt;0,IJ8,IF(ROUND(EL8*$J8,6)&lt;ROUND($M8,6),EL8,0)))</f>
        <v/>
      </c>
      <c r="IL8" s="68">
        <f>IF(OR($U8=0,$F8&lt;&gt;2),0,IF(IK8&gt;0,IK8,IF(ROUND(EM8*$J8,6)&lt;ROUND($M8,6),EM8,0)))</f>
        <v/>
      </c>
      <c r="IM8" s="68">
        <f>IF(OR($U8=0,$F8&lt;&gt;2),0,IF(IL8&gt;0,IL8,IF(ROUND(EN8*$J8,6)&lt;ROUND($M8,6),EN8,0)))</f>
        <v/>
      </c>
      <c r="IN8" s="68">
        <f>IF(OR($U8=0,$F8&lt;&gt;2),0,IF(IM8&gt;0,IM8,IF(ROUND(EO8*$J8,6)&lt;ROUND($M8,6),EO8,0)))</f>
        <v/>
      </c>
    </row>
    <row r="9">
      <c r="A9" s="68" t="n">
        <v>4</v>
      </c>
      <c r="B9" s="68">
        <f>IF(OR(TRIM('固定資産台帳'!$B9)&lt;&gt;"",'固定資産台帳'!$E9&lt;&gt;"",'固定資産台帳'!$G9&lt;&gt;"",'固定資産台帳'!$H9&lt;&gt;""),1,0)</f>
        <v/>
      </c>
      <c r="C9" s="68">
        <f>IF(ISNUMBER('固定資産台帳'!$G9),MAX(ROUND('固定資産台帳'!$G9,0),0),0)</f>
        <v/>
      </c>
      <c r="D9" s="84">
        <f>IF(ISNUMBER('固定資産台帳'!$E9),INT('固定資産台帳'!$E9),0)</f>
        <v/>
      </c>
      <c r="E9" s="84">
        <f>IF(ISNUMBER('固定資産台帳'!$F9),INT('固定資産台帳'!$F9),$D9)</f>
        <v/>
      </c>
      <c r="F9" s="68">
        <f>IF('固定資産台帳'!$H9="定額法",1,IF(OR('固定資産台帳'!$H9="定率法",'固定資産台帳'!$H9="定率法（200%）",'固定資産台帳'!$H9="定率法（250%）"),2,IF('固定資産台帳'!$H9="一括償却（3年）",3,IF('固定資産台帳'!$H9="少額特例",4,0))))</f>
        <v/>
      </c>
      <c r="G9" s="68">
        <f>IF('固定資産台帳'!$H9="定率法（250%）",250,IF('固定資産台帳'!$H9="定率法（200%）",200,IF($D9&gt;=DATE(2012,4,1),200,250)))</f>
        <v/>
      </c>
      <c r="H9" s="68">
        <f>IF(ISNUMBER('固定資産台帳'!$I9),IF(AND('固定資産台帳'!$I9&gt;=2,'固定資産台帳'!$I9&lt;=100,'固定資産台帳'!$I9=INT('固定資産台帳'!$I9)),'固定資産台帳'!$I9,0),0)</f>
        <v/>
      </c>
      <c r="I9" s="68">
        <f>IF('固定資産台帳'!$C9="無形固定資産",0,1)</f>
        <v/>
      </c>
      <c r="J9" s="68">
        <f>IF(OR($H9=0,$F9=0,$F9&gt;2),0,IF($F9=1,INDEX('償却率表'!$B$6:$B$104,$H9-1),IF($G9=200,INDEX('償却率表'!$C$6:$C$104,$H9-1),INDEX('償却率表'!$F$6:$F$104,$H9-1))))</f>
        <v/>
      </c>
      <c r="K9" s="68">
        <f>IF(AND($F9=2,$H9&gt;0),IF($G9=200,INDEX('償却率表'!$D$6:$D$104,$H9-1),INDEX('償却率表'!$G$6:$G$104,$H9-1)),0)</f>
        <v/>
      </c>
      <c r="L9" s="68">
        <f>IF(AND($F9=2,$H9&gt;0),IF($G9=200,INDEX('償却率表'!$E$6:$E$104,$H9-1),INDEX('償却率表'!$H$6:$H$104,$H9-1)),0)</f>
        <v/>
      </c>
      <c r="M9" s="68">
        <f>$C9*$L9</f>
        <v/>
      </c>
      <c r="N9" s="68">
        <f>IF($B$1=1,1,IF('固定資産台帳'!$J9="",1,IF(ISNUMBER('固定資産台帳'!$J9),IF(AND('固定資産台帳'!$J9&gt;0,'固定資産台帳'!$J9&lt;=1),'固定資産台帳'!$J9,0),0)))</f>
        <v/>
      </c>
      <c r="O9" s="68">
        <f>IF($E9=0,0,YEAR($E9)-IF(MONTH($E9)&lt;$B$2,1,0))</f>
        <v/>
      </c>
      <c r="P9" s="68">
        <f>IF($E9=0,0,12-MOD(MONTH($E9)-$B$2,12))</f>
        <v/>
      </c>
      <c r="Q9" s="84">
        <f>IF(ISNUMBER('固定資産台帳'!$K9),INT('固定資産台帳'!$K9),0)</f>
        <v/>
      </c>
      <c r="R9" s="68">
        <f>IF(OR($Q9=0,$E9=0),999,YEAR($Q9)-IF(MONTH($Q9)&lt;$B$2,1,0)-$O9)</f>
        <v/>
      </c>
      <c r="S9" s="68">
        <f>IF($R9=999,0,MOD(MONTH($Q9)-$B$2,12)+1-IF($R9=0,12-$P9,0))</f>
        <v/>
      </c>
      <c r="T9" s="68">
        <f>IF($B9=0,0,IF($C9&lt;=0,1,IF($D9=0,2,IF($F9=0,3,IF(AND($F9&lt;=2,$H9=0),4,IF(AND($F9&lt;=2,$D9&lt;DATE(2007,4,1)),5,IF($E9&lt;$D9,6,IF(AND($Q9&gt;0,$Q9&lt;$E9),7,IF($N9=0,8,IF($B$3=0,9,0))))))))))</f>
        <v/>
      </c>
      <c r="U9" s="68">
        <f>IF(AND($B9=1,$T9=0),1,0)</f>
        <v/>
      </c>
      <c r="V9" s="68">
        <f>$B$3-$O9</f>
        <v/>
      </c>
      <c r="W9" s="68">
        <f>IF(AND($U9=1,$V9&gt;=0),1,0)</f>
        <v/>
      </c>
      <c r="X9" s="68">
        <f>IF($W9=0,0,IF($V9=0,$C9,INDEX($AS9:$EP9,MIN($V9,102))))</f>
        <v/>
      </c>
      <c r="Y9" s="68">
        <f>IF($W9=0,0,INDEX($AS9:$EP9,MIN($V9,101)+1))</f>
        <v/>
      </c>
      <c r="Z9" s="68">
        <f>$X9-$Y9</f>
        <v/>
      </c>
      <c r="AA9" s="68">
        <f>IF(AND($W9=1,$F9=2,$V9&gt;=1),INDEX($ER9:$IN9,MIN($V9,101)),0)</f>
        <v/>
      </c>
      <c r="AB9" s="68">
        <f>IF(OR($W9=0,$F9&gt;2,$Z9=0),0,IF($V9=0,IF($R9=0,$S9,$P9),IF($V9=$R9,$S9,12)))</f>
        <v/>
      </c>
      <c r="AC9" s="68">
        <f>IF($W9=0,0,INT(ROUND($Z9*$N9,6)+$B$4))</f>
        <v/>
      </c>
      <c r="AD9" s="68">
        <f>IF(AND($W9=1,$F9&lt;=2,$V9=$R9),1,0)</f>
        <v/>
      </c>
      <c r="AE9" s="68">
        <f>IF(AND($W9=1,$F9&lt;=2,$V9&gt;$R9),1,0)</f>
        <v/>
      </c>
      <c r="AF9" s="68">
        <f>IF(AND($W9=1,$AE9=0,OR($Z9&gt;0,$AD9=1)),1,0)</f>
        <v/>
      </c>
      <c r="AG9" s="68">
        <f>IF($AF9=1,SUM($AF$6:$AF9),0)</f>
        <v/>
      </c>
      <c r="AH9" s="68">
        <f>IF($T9=0,"",CHOOSE($T9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9" s="68">
        <f>IF(AND($F9=2,OR('固定資産台帳'!$C9="建物",'固定資産台帳'!$C9="無形固定資産",AND(OR('固定資産台帳'!$C9="建物附属設備",'固定資産台帳'!$C9="構築物"),$D9&gt;=DATE(2016,4,1)))),"この資産は定額法だけです（定率法は使えません）。","")&amp;IF(AND($F9=3,$C9&gt;=200000),"一括償却は20万円未満の資産だけです。","")&amp;IF(AND($F9=3,$B$1=0,$C9&lt;100000),"10万円未満は一括償却にせず、全額をその年の経費にします。","")&amp;IF(AND($F9=4,$C9&lt;100000),"10万円未満は少額特例ではなく、全額をその年の経費にします。","")&amp;IF(AND($F9=4,$D9&lt;DATE(2026,4,1),$C9&gt;=300000),"2026年3月31日までの取得で少額特例が使えるのは30万円未満です。","")&amp;IF(AND($F9=4,$D9&gt;=DATE(2026,4,1),$C9&gt;=400000),"少額特例は40万円未満の資産だけです。","")&amp;IF(AND($F9=4,OR($D9&lt;DATE(2006,4,1),$D9&gt;DATE(2029,3,31))),"少額特例は2006年4月1日〜2029年3月31日に取得した資産だけです。","")&amp;IF(AND($F9=2,$G9=250,$D9&gt;DATE(2012,12,31)),"250%定率法は2012年12月31日までの取得だけです。","")</f>
        <v/>
      </c>
      <c r="AJ9" s="68">
        <f>IF(AND($F9=2,'固定資産台帳'!$H9="定率法（200%）",$D9&lt;DATE(2012,4,1)),"2012年3月31日までの取得に200%を使うのは、経過措置の届出をした場合です。","")&amp;IF(AND($F9=2,'固定資産台帳'!$H9="定率法（250%）",$D9&gt;=DATE(2012,4,1),$D9&lt;=DATE(2012,12,31)),"2012年4〜12月の取得に250%を使うのは、経過措置を選んだ場合です。","")</f>
        <v/>
      </c>
      <c r="AK9" s="68">
        <f>IF($U9=0,"",IF($V9&lt;0,"表示している年より後に使い始める資産です。",IF($AE9=1,"売却・除却済みです。",IF($AD9=1,"この年に売却・除却。期末の帳簿価額 "&amp;TEXT($Y9,"#,##0")&amp;"円を帳簿から外します。",IF($F9=4,IF($V9=0,"少額特例：この年に全額を経費にします。","少額特例で経費にした資産です。"),IF($F9=3,IF($V9&gt;2,"一括償却は終わっています。","一括償却 "&amp;($V9+1)&amp;"年目（3年のうち）。"),IF($Z9=0,"償却済み（帳簿価額 "&amp;TEXT($Y9,"#,##0")&amp;"円）。",IF($AA9&gt;0,"改定償却率で計算（改定取得価額 "&amp;TEXT($AA9,"#,##0")&amp;"円）。",IF($V9=0,"この年に使い始め（"&amp;$AB9&amp;"か月分）。","")))))))))</f>
        <v/>
      </c>
      <c r="AL9" s="68">
        <f>IF(AND($U9=1,$F9=4,$V9=0),$C9,0)</f>
        <v/>
      </c>
      <c r="AM9" s="68">
        <f>IF($F9=2,INT(ROUND($M9,6)+$B$4),0)</f>
        <v/>
      </c>
      <c r="AN9" s="68">
        <f>IF($W9=0,0,IF($F9=2,IF($AA9&gt;0,$AA9,$X9),$C9))</f>
        <v/>
      </c>
      <c r="AO9" s="68">
        <f>IF($W9=0,"",IF($F9=3,"1/3",IF($F9=4,"―",IF($AA9&gt;0,$K9,$J9))))</f>
        <v/>
      </c>
      <c r="AP9" s="68" t="n"/>
      <c r="AQ9" s="68" t="n"/>
      <c r="AR9" s="68" t="n"/>
      <c r="AS9" s="68">
        <f>IF($U9=0,0,IF($F9=4,0,IF($F9=3,MAX($C9-INT(ROUND($C9/3,6)+$B$4),0),$C9-MIN(INT(ROUND($C9*$J9*IF($R9=0,$S9,$P9)/12,6)+$B$4),MAX($C9-$I9,0)))))</f>
        <v/>
      </c>
      <c r="AT9" s="68">
        <f>IF($U9=0,0,IF($F9=4,0,IF($F9=3,AS9-MIN(INT(ROUND($C9/3,6)+$B$4),AS9),IF(OR(1&gt;$R9,AS9&lt;=$I9),AS9,AS9-MIN(INT(ROUND(IF($F9=1,$C9*$J9,IF(ER9&gt;0,ER9*$K9,AS9*$J9))*IF(1=$R9,$S9,12)/12,6)+$B$4),AS9-$I9)))))</f>
        <v/>
      </c>
      <c r="AU9" s="68">
        <f>IF($U9=0,0,IF($F9=4,0,IF($F9=3,0,IF(OR(2&gt;$R9,AT9&lt;=$I9),AT9,AT9-MIN(INT(ROUND(IF($F9=1,$C9*$J9,IF(ES9&gt;0,ES9*$K9,AT9*$J9))*IF(2=$R9,$S9,12)/12,6)+$B$4),AT9-$I9)))))</f>
        <v/>
      </c>
      <c r="AV9" s="68">
        <f>IF($U9=0,0,IF($F9=4,0,IF($F9=3,0,IF(OR(3&gt;$R9,AU9&lt;=$I9),AU9,AU9-MIN(INT(ROUND(IF($F9=1,$C9*$J9,IF(ET9&gt;0,ET9*$K9,AU9*$J9))*IF(3=$R9,$S9,12)/12,6)+$B$4),AU9-$I9)))))</f>
        <v/>
      </c>
      <c r="AW9" s="68">
        <f>IF($U9=0,0,IF($F9=4,0,IF($F9=3,0,IF(OR(4&gt;$R9,AV9&lt;=$I9),AV9,AV9-MIN(INT(ROUND(IF($F9=1,$C9*$J9,IF(EU9&gt;0,EU9*$K9,AV9*$J9))*IF(4=$R9,$S9,12)/12,6)+$B$4),AV9-$I9)))))</f>
        <v/>
      </c>
      <c r="AX9" s="68">
        <f>IF($U9=0,0,IF($F9=4,0,IF($F9=3,0,IF(OR(5&gt;$R9,AW9&lt;=$I9),AW9,AW9-MIN(INT(ROUND(IF($F9=1,$C9*$J9,IF(EV9&gt;0,EV9*$K9,AW9*$J9))*IF(5=$R9,$S9,12)/12,6)+$B$4),AW9-$I9)))))</f>
        <v/>
      </c>
      <c r="AY9" s="68">
        <f>IF($U9=0,0,IF($F9=4,0,IF($F9=3,0,IF(OR(6&gt;$R9,AX9&lt;=$I9),AX9,AX9-MIN(INT(ROUND(IF($F9=1,$C9*$J9,IF(EW9&gt;0,EW9*$K9,AX9*$J9))*IF(6=$R9,$S9,12)/12,6)+$B$4),AX9-$I9)))))</f>
        <v/>
      </c>
      <c r="AZ9" s="68">
        <f>IF($U9=0,0,IF($F9=4,0,IF($F9=3,0,IF(OR(7&gt;$R9,AY9&lt;=$I9),AY9,AY9-MIN(INT(ROUND(IF($F9=1,$C9*$J9,IF(EX9&gt;0,EX9*$K9,AY9*$J9))*IF(7=$R9,$S9,12)/12,6)+$B$4),AY9-$I9)))))</f>
        <v/>
      </c>
      <c r="BA9" s="68">
        <f>IF($U9=0,0,IF($F9=4,0,IF($F9=3,0,IF(OR(8&gt;$R9,AZ9&lt;=$I9),AZ9,AZ9-MIN(INT(ROUND(IF($F9=1,$C9*$J9,IF(EY9&gt;0,EY9*$K9,AZ9*$J9))*IF(8=$R9,$S9,12)/12,6)+$B$4),AZ9-$I9)))))</f>
        <v/>
      </c>
      <c r="BB9" s="68">
        <f>IF($U9=0,0,IF($F9=4,0,IF($F9=3,0,IF(OR(9&gt;$R9,BA9&lt;=$I9),BA9,BA9-MIN(INT(ROUND(IF($F9=1,$C9*$J9,IF(EZ9&gt;0,EZ9*$K9,BA9*$J9))*IF(9=$R9,$S9,12)/12,6)+$B$4),BA9-$I9)))))</f>
        <v/>
      </c>
      <c r="BC9" s="68">
        <f>IF($U9=0,0,IF($F9=4,0,IF($F9=3,0,IF(OR(10&gt;$R9,BB9&lt;=$I9),BB9,BB9-MIN(INT(ROUND(IF($F9=1,$C9*$J9,IF(FA9&gt;0,FA9*$K9,BB9*$J9))*IF(10=$R9,$S9,12)/12,6)+$B$4),BB9-$I9)))))</f>
        <v/>
      </c>
      <c r="BD9" s="68">
        <f>IF($U9=0,0,IF($F9=4,0,IF($F9=3,0,IF(OR(11&gt;$R9,BC9&lt;=$I9),BC9,BC9-MIN(INT(ROUND(IF($F9=1,$C9*$J9,IF(FB9&gt;0,FB9*$K9,BC9*$J9))*IF(11=$R9,$S9,12)/12,6)+$B$4),BC9-$I9)))))</f>
        <v/>
      </c>
      <c r="BE9" s="68">
        <f>IF($U9=0,0,IF($F9=4,0,IF($F9=3,0,IF(OR(12&gt;$R9,BD9&lt;=$I9),BD9,BD9-MIN(INT(ROUND(IF($F9=1,$C9*$J9,IF(FC9&gt;0,FC9*$K9,BD9*$J9))*IF(12=$R9,$S9,12)/12,6)+$B$4),BD9-$I9)))))</f>
        <v/>
      </c>
      <c r="BF9" s="68">
        <f>IF($U9=0,0,IF($F9=4,0,IF($F9=3,0,IF(OR(13&gt;$R9,BE9&lt;=$I9),BE9,BE9-MIN(INT(ROUND(IF($F9=1,$C9*$J9,IF(FD9&gt;0,FD9*$K9,BE9*$J9))*IF(13=$R9,$S9,12)/12,6)+$B$4),BE9-$I9)))))</f>
        <v/>
      </c>
      <c r="BG9" s="68">
        <f>IF($U9=0,0,IF($F9=4,0,IF($F9=3,0,IF(OR(14&gt;$R9,BF9&lt;=$I9),BF9,BF9-MIN(INT(ROUND(IF($F9=1,$C9*$J9,IF(FE9&gt;0,FE9*$K9,BF9*$J9))*IF(14=$R9,$S9,12)/12,6)+$B$4),BF9-$I9)))))</f>
        <v/>
      </c>
      <c r="BH9" s="68">
        <f>IF($U9=0,0,IF($F9=4,0,IF($F9=3,0,IF(OR(15&gt;$R9,BG9&lt;=$I9),BG9,BG9-MIN(INT(ROUND(IF($F9=1,$C9*$J9,IF(FF9&gt;0,FF9*$K9,BG9*$J9))*IF(15=$R9,$S9,12)/12,6)+$B$4),BG9-$I9)))))</f>
        <v/>
      </c>
      <c r="BI9" s="68">
        <f>IF($U9=0,0,IF($F9=4,0,IF($F9=3,0,IF(OR(16&gt;$R9,BH9&lt;=$I9),BH9,BH9-MIN(INT(ROUND(IF($F9=1,$C9*$J9,IF(FG9&gt;0,FG9*$K9,BH9*$J9))*IF(16=$R9,$S9,12)/12,6)+$B$4),BH9-$I9)))))</f>
        <v/>
      </c>
      <c r="BJ9" s="68">
        <f>IF($U9=0,0,IF($F9=4,0,IF($F9=3,0,IF(OR(17&gt;$R9,BI9&lt;=$I9),BI9,BI9-MIN(INT(ROUND(IF($F9=1,$C9*$J9,IF(FH9&gt;0,FH9*$K9,BI9*$J9))*IF(17=$R9,$S9,12)/12,6)+$B$4),BI9-$I9)))))</f>
        <v/>
      </c>
      <c r="BK9" s="68">
        <f>IF($U9=0,0,IF($F9=4,0,IF($F9=3,0,IF(OR(18&gt;$R9,BJ9&lt;=$I9),BJ9,BJ9-MIN(INT(ROUND(IF($F9=1,$C9*$J9,IF(FI9&gt;0,FI9*$K9,BJ9*$J9))*IF(18=$R9,$S9,12)/12,6)+$B$4),BJ9-$I9)))))</f>
        <v/>
      </c>
      <c r="BL9" s="68">
        <f>IF($U9=0,0,IF($F9=4,0,IF($F9=3,0,IF(OR(19&gt;$R9,BK9&lt;=$I9),BK9,BK9-MIN(INT(ROUND(IF($F9=1,$C9*$J9,IF(FJ9&gt;0,FJ9*$K9,BK9*$J9))*IF(19=$R9,$S9,12)/12,6)+$B$4),BK9-$I9)))))</f>
        <v/>
      </c>
      <c r="BM9" s="68">
        <f>IF($U9=0,0,IF($F9=4,0,IF($F9=3,0,IF(OR(20&gt;$R9,BL9&lt;=$I9),BL9,BL9-MIN(INT(ROUND(IF($F9=1,$C9*$J9,IF(FK9&gt;0,FK9*$K9,BL9*$J9))*IF(20=$R9,$S9,12)/12,6)+$B$4),BL9-$I9)))))</f>
        <v/>
      </c>
      <c r="BN9" s="68">
        <f>IF($U9=0,0,IF($F9=4,0,IF($F9=3,0,IF(OR(21&gt;$R9,BM9&lt;=$I9),BM9,BM9-MIN(INT(ROUND(IF($F9=1,$C9*$J9,IF(FL9&gt;0,FL9*$K9,BM9*$J9))*IF(21=$R9,$S9,12)/12,6)+$B$4),BM9-$I9)))))</f>
        <v/>
      </c>
      <c r="BO9" s="68">
        <f>IF($U9=0,0,IF($F9=4,0,IF($F9=3,0,IF(OR(22&gt;$R9,BN9&lt;=$I9),BN9,BN9-MIN(INT(ROUND(IF($F9=1,$C9*$J9,IF(FM9&gt;0,FM9*$K9,BN9*$J9))*IF(22=$R9,$S9,12)/12,6)+$B$4),BN9-$I9)))))</f>
        <v/>
      </c>
      <c r="BP9" s="68">
        <f>IF($U9=0,0,IF($F9=4,0,IF($F9=3,0,IF(OR(23&gt;$R9,BO9&lt;=$I9),BO9,BO9-MIN(INT(ROUND(IF($F9=1,$C9*$J9,IF(FN9&gt;0,FN9*$K9,BO9*$J9))*IF(23=$R9,$S9,12)/12,6)+$B$4),BO9-$I9)))))</f>
        <v/>
      </c>
      <c r="BQ9" s="68">
        <f>IF($U9=0,0,IF($F9=4,0,IF($F9=3,0,IF(OR(24&gt;$R9,BP9&lt;=$I9),BP9,BP9-MIN(INT(ROUND(IF($F9=1,$C9*$J9,IF(FO9&gt;0,FO9*$K9,BP9*$J9))*IF(24=$R9,$S9,12)/12,6)+$B$4),BP9-$I9)))))</f>
        <v/>
      </c>
      <c r="BR9" s="68">
        <f>IF($U9=0,0,IF($F9=4,0,IF($F9=3,0,IF(OR(25&gt;$R9,BQ9&lt;=$I9),BQ9,BQ9-MIN(INT(ROUND(IF($F9=1,$C9*$J9,IF(FP9&gt;0,FP9*$K9,BQ9*$J9))*IF(25=$R9,$S9,12)/12,6)+$B$4),BQ9-$I9)))))</f>
        <v/>
      </c>
      <c r="BS9" s="68">
        <f>IF($U9=0,0,IF($F9=4,0,IF($F9=3,0,IF(OR(26&gt;$R9,BR9&lt;=$I9),BR9,BR9-MIN(INT(ROUND(IF($F9=1,$C9*$J9,IF(FQ9&gt;0,FQ9*$K9,BR9*$J9))*IF(26=$R9,$S9,12)/12,6)+$B$4),BR9-$I9)))))</f>
        <v/>
      </c>
      <c r="BT9" s="68">
        <f>IF($U9=0,0,IF($F9=4,0,IF($F9=3,0,IF(OR(27&gt;$R9,BS9&lt;=$I9),BS9,BS9-MIN(INT(ROUND(IF($F9=1,$C9*$J9,IF(FR9&gt;0,FR9*$K9,BS9*$J9))*IF(27=$R9,$S9,12)/12,6)+$B$4),BS9-$I9)))))</f>
        <v/>
      </c>
      <c r="BU9" s="68">
        <f>IF($U9=0,0,IF($F9=4,0,IF($F9=3,0,IF(OR(28&gt;$R9,BT9&lt;=$I9),BT9,BT9-MIN(INT(ROUND(IF($F9=1,$C9*$J9,IF(FS9&gt;0,FS9*$K9,BT9*$J9))*IF(28=$R9,$S9,12)/12,6)+$B$4),BT9-$I9)))))</f>
        <v/>
      </c>
      <c r="BV9" s="68">
        <f>IF($U9=0,0,IF($F9=4,0,IF($F9=3,0,IF(OR(29&gt;$R9,BU9&lt;=$I9),BU9,BU9-MIN(INT(ROUND(IF($F9=1,$C9*$J9,IF(FT9&gt;0,FT9*$K9,BU9*$J9))*IF(29=$R9,$S9,12)/12,6)+$B$4),BU9-$I9)))))</f>
        <v/>
      </c>
      <c r="BW9" s="68">
        <f>IF($U9=0,0,IF($F9=4,0,IF($F9=3,0,IF(OR(30&gt;$R9,BV9&lt;=$I9),BV9,BV9-MIN(INT(ROUND(IF($F9=1,$C9*$J9,IF(FU9&gt;0,FU9*$K9,BV9*$J9))*IF(30=$R9,$S9,12)/12,6)+$B$4),BV9-$I9)))))</f>
        <v/>
      </c>
      <c r="BX9" s="68">
        <f>IF($U9=0,0,IF($F9=4,0,IF($F9=3,0,IF(OR(31&gt;$R9,BW9&lt;=$I9),BW9,BW9-MIN(INT(ROUND(IF($F9=1,$C9*$J9,IF(FV9&gt;0,FV9*$K9,BW9*$J9))*IF(31=$R9,$S9,12)/12,6)+$B$4),BW9-$I9)))))</f>
        <v/>
      </c>
      <c r="BY9" s="68">
        <f>IF($U9=0,0,IF($F9=4,0,IF($F9=3,0,IF(OR(32&gt;$R9,BX9&lt;=$I9),BX9,BX9-MIN(INT(ROUND(IF($F9=1,$C9*$J9,IF(FW9&gt;0,FW9*$K9,BX9*$J9))*IF(32=$R9,$S9,12)/12,6)+$B$4),BX9-$I9)))))</f>
        <v/>
      </c>
      <c r="BZ9" s="68">
        <f>IF($U9=0,0,IF($F9=4,0,IF($F9=3,0,IF(OR(33&gt;$R9,BY9&lt;=$I9),BY9,BY9-MIN(INT(ROUND(IF($F9=1,$C9*$J9,IF(FX9&gt;0,FX9*$K9,BY9*$J9))*IF(33=$R9,$S9,12)/12,6)+$B$4),BY9-$I9)))))</f>
        <v/>
      </c>
      <c r="CA9" s="68">
        <f>IF($U9=0,0,IF($F9=4,0,IF($F9=3,0,IF(OR(34&gt;$R9,BZ9&lt;=$I9),BZ9,BZ9-MIN(INT(ROUND(IF($F9=1,$C9*$J9,IF(FY9&gt;0,FY9*$K9,BZ9*$J9))*IF(34=$R9,$S9,12)/12,6)+$B$4),BZ9-$I9)))))</f>
        <v/>
      </c>
      <c r="CB9" s="68">
        <f>IF($U9=0,0,IF($F9=4,0,IF($F9=3,0,IF(OR(35&gt;$R9,CA9&lt;=$I9),CA9,CA9-MIN(INT(ROUND(IF($F9=1,$C9*$J9,IF(FZ9&gt;0,FZ9*$K9,CA9*$J9))*IF(35=$R9,$S9,12)/12,6)+$B$4),CA9-$I9)))))</f>
        <v/>
      </c>
      <c r="CC9" s="68">
        <f>IF($U9=0,0,IF($F9=4,0,IF($F9=3,0,IF(OR(36&gt;$R9,CB9&lt;=$I9),CB9,CB9-MIN(INT(ROUND(IF($F9=1,$C9*$J9,IF(GA9&gt;0,GA9*$K9,CB9*$J9))*IF(36=$R9,$S9,12)/12,6)+$B$4),CB9-$I9)))))</f>
        <v/>
      </c>
      <c r="CD9" s="68">
        <f>IF($U9=0,0,IF($F9=4,0,IF($F9=3,0,IF(OR(37&gt;$R9,CC9&lt;=$I9),CC9,CC9-MIN(INT(ROUND(IF($F9=1,$C9*$J9,IF(GB9&gt;0,GB9*$K9,CC9*$J9))*IF(37=$R9,$S9,12)/12,6)+$B$4),CC9-$I9)))))</f>
        <v/>
      </c>
      <c r="CE9" s="68">
        <f>IF($U9=0,0,IF($F9=4,0,IF($F9=3,0,IF(OR(38&gt;$R9,CD9&lt;=$I9),CD9,CD9-MIN(INT(ROUND(IF($F9=1,$C9*$J9,IF(GC9&gt;0,GC9*$K9,CD9*$J9))*IF(38=$R9,$S9,12)/12,6)+$B$4),CD9-$I9)))))</f>
        <v/>
      </c>
      <c r="CF9" s="68">
        <f>IF($U9=0,0,IF($F9=4,0,IF($F9=3,0,IF(OR(39&gt;$R9,CE9&lt;=$I9),CE9,CE9-MIN(INT(ROUND(IF($F9=1,$C9*$J9,IF(GD9&gt;0,GD9*$K9,CE9*$J9))*IF(39=$R9,$S9,12)/12,6)+$B$4),CE9-$I9)))))</f>
        <v/>
      </c>
      <c r="CG9" s="68">
        <f>IF($U9=0,0,IF($F9=4,0,IF($F9=3,0,IF(OR(40&gt;$R9,CF9&lt;=$I9),CF9,CF9-MIN(INT(ROUND(IF($F9=1,$C9*$J9,IF(GE9&gt;0,GE9*$K9,CF9*$J9))*IF(40=$R9,$S9,12)/12,6)+$B$4),CF9-$I9)))))</f>
        <v/>
      </c>
      <c r="CH9" s="68">
        <f>IF($U9=0,0,IF($F9=4,0,IF($F9=3,0,IF(OR(41&gt;$R9,CG9&lt;=$I9),CG9,CG9-MIN(INT(ROUND(IF($F9=1,$C9*$J9,IF(GF9&gt;0,GF9*$K9,CG9*$J9))*IF(41=$R9,$S9,12)/12,6)+$B$4),CG9-$I9)))))</f>
        <v/>
      </c>
      <c r="CI9" s="68">
        <f>IF($U9=0,0,IF($F9=4,0,IF($F9=3,0,IF(OR(42&gt;$R9,CH9&lt;=$I9),CH9,CH9-MIN(INT(ROUND(IF($F9=1,$C9*$J9,IF(GG9&gt;0,GG9*$K9,CH9*$J9))*IF(42=$R9,$S9,12)/12,6)+$B$4),CH9-$I9)))))</f>
        <v/>
      </c>
      <c r="CJ9" s="68">
        <f>IF($U9=0,0,IF($F9=4,0,IF($F9=3,0,IF(OR(43&gt;$R9,CI9&lt;=$I9),CI9,CI9-MIN(INT(ROUND(IF($F9=1,$C9*$J9,IF(GH9&gt;0,GH9*$K9,CI9*$J9))*IF(43=$R9,$S9,12)/12,6)+$B$4),CI9-$I9)))))</f>
        <v/>
      </c>
      <c r="CK9" s="68">
        <f>IF($U9=0,0,IF($F9=4,0,IF($F9=3,0,IF(OR(44&gt;$R9,CJ9&lt;=$I9),CJ9,CJ9-MIN(INT(ROUND(IF($F9=1,$C9*$J9,IF(GI9&gt;0,GI9*$K9,CJ9*$J9))*IF(44=$R9,$S9,12)/12,6)+$B$4),CJ9-$I9)))))</f>
        <v/>
      </c>
      <c r="CL9" s="68">
        <f>IF($U9=0,0,IF($F9=4,0,IF($F9=3,0,IF(OR(45&gt;$R9,CK9&lt;=$I9),CK9,CK9-MIN(INT(ROUND(IF($F9=1,$C9*$J9,IF(GJ9&gt;0,GJ9*$K9,CK9*$J9))*IF(45=$R9,$S9,12)/12,6)+$B$4),CK9-$I9)))))</f>
        <v/>
      </c>
      <c r="CM9" s="68">
        <f>IF($U9=0,0,IF($F9=4,0,IF($F9=3,0,IF(OR(46&gt;$R9,CL9&lt;=$I9),CL9,CL9-MIN(INT(ROUND(IF($F9=1,$C9*$J9,IF(GK9&gt;0,GK9*$K9,CL9*$J9))*IF(46=$R9,$S9,12)/12,6)+$B$4),CL9-$I9)))))</f>
        <v/>
      </c>
      <c r="CN9" s="68">
        <f>IF($U9=0,0,IF($F9=4,0,IF($F9=3,0,IF(OR(47&gt;$R9,CM9&lt;=$I9),CM9,CM9-MIN(INT(ROUND(IF($F9=1,$C9*$J9,IF(GL9&gt;0,GL9*$K9,CM9*$J9))*IF(47=$R9,$S9,12)/12,6)+$B$4),CM9-$I9)))))</f>
        <v/>
      </c>
      <c r="CO9" s="68">
        <f>IF($U9=0,0,IF($F9=4,0,IF($F9=3,0,IF(OR(48&gt;$R9,CN9&lt;=$I9),CN9,CN9-MIN(INT(ROUND(IF($F9=1,$C9*$J9,IF(GM9&gt;0,GM9*$K9,CN9*$J9))*IF(48=$R9,$S9,12)/12,6)+$B$4),CN9-$I9)))))</f>
        <v/>
      </c>
      <c r="CP9" s="68">
        <f>IF($U9=0,0,IF($F9=4,0,IF($F9=3,0,IF(OR(49&gt;$R9,CO9&lt;=$I9),CO9,CO9-MIN(INT(ROUND(IF($F9=1,$C9*$J9,IF(GN9&gt;0,GN9*$K9,CO9*$J9))*IF(49=$R9,$S9,12)/12,6)+$B$4),CO9-$I9)))))</f>
        <v/>
      </c>
      <c r="CQ9" s="68">
        <f>IF($U9=0,0,IF($F9=4,0,IF($F9=3,0,IF(OR(50&gt;$R9,CP9&lt;=$I9),CP9,CP9-MIN(INT(ROUND(IF($F9=1,$C9*$J9,IF(GO9&gt;0,GO9*$K9,CP9*$J9))*IF(50=$R9,$S9,12)/12,6)+$B$4),CP9-$I9)))))</f>
        <v/>
      </c>
      <c r="CR9" s="68">
        <f>IF($U9=0,0,IF($F9=4,0,IF($F9=3,0,IF(OR(51&gt;$R9,CQ9&lt;=$I9),CQ9,CQ9-MIN(INT(ROUND(IF($F9=1,$C9*$J9,IF(GP9&gt;0,GP9*$K9,CQ9*$J9))*IF(51=$R9,$S9,12)/12,6)+$B$4),CQ9-$I9)))))</f>
        <v/>
      </c>
      <c r="CS9" s="68">
        <f>IF($U9=0,0,IF($F9=4,0,IF($F9=3,0,IF(OR(52&gt;$R9,CR9&lt;=$I9),CR9,CR9-MIN(INT(ROUND(IF($F9=1,$C9*$J9,IF(GQ9&gt;0,GQ9*$K9,CR9*$J9))*IF(52=$R9,$S9,12)/12,6)+$B$4),CR9-$I9)))))</f>
        <v/>
      </c>
      <c r="CT9" s="68">
        <f>IF($U9=0,0,IF($F9=4,0,IF($F9=3,0,IF(OR(53&gt;$R9,CS9&lt;=$I9),CS9,CS9-MIN(INT(ROUND(IF($F9=1,$C9*$J9,IF(GR9&gt;0,GR9*$K9,CS9*$J9))*IF(53=$R9,$S9,12)/12,6)+$B$4),CS9-$I9)))))</f>
        <v/>
      </c>
      <c r="CU9" s="68">
        <f>IF($U9=0,0,IF($F9=4,0,IF($F9=3,0,IF(OR(54&gt;$R9,CT9&lt;=$I9),CT9,CT9-MIN(INT(ROUND(IF($F9=1,$C9*$J9,IF(GS9&gt;0,GS9*$K9,CT9*$J9))*IF(54=$R9,$S9,12)/12,6)+$B$4),CT9-$I9)))))</f>
        <v/>
      </c>
      <c r="CV9" s="68">
        <f>IF($U9=0,0,IF($F9=4,0,IF($F9=3,0,IF(OR(55&gt;$R9,CU9&lt;=$I9),CU9,CU9-MIN(INT(ROUND(IF($F9=1,$C9*$J9,IF(GT9&gt;0,GT9*$K9,CU9*$J9))*IF(55=$R9,$S9,12)/12,6)+$B$4),CU9-$I9)))))</f>
        <v/>
      </c>
      <c r="CW9" s="68">
        <f>IF($U9=0,0,IF($F9=4,0,IF($F9=3,0,IF(OR(56&gt;$R9,CV9&lt;=$I9),CV9,CV9-MIN(INT(ROUND(IF($F9=1,$C9*$J9,IF(GU9&gt;0,GU9*$K9,CV9*$J9))*IF(56=$R9,$S9,12)/12,6)+$B$4),CV9-$I9)))))</f>
        <v/>
      </c>
      <c r="CX9" s="68">
        <f>IF($U9=0,0,IF($F9=4,0,IF($F9=3,0,IF(OR(57&gt;$R9,CW9&lt;=$I9),CW9,CW9-MIN(INT(ROUND(IF($F9=1,$C9*$J9,IF(GV9&gt;0,GV9*$K9,CW9*$J9))*IF(57=$R9,$S9,12)/12,6)+$B$4),CW9-$I9)))))</f>
        <v/>
      </c>
      <c r="CY9" s="68">
        <f>IF($U9=0,0,IF($F9=4,0,IF($F9=3,0,IF(OR(58&gt;$R9,CX9&lt;=$I9),CX9,CX9-MIN(INT(ROUND(IF($F9=1,$C9*$J9,IF(GW9&gt;0,GW9*$K9,CX9*$J9))*IF(58=$R9,$S9,12)/12,6)+$B$4),CX9-$I9)))))</f>
        <v/>
      </c>
      <c r="CZ9" s="68">
        <f>IF($U9=0,0,IF($F9=4,0,IF($F9=3,0,IF(OR(59&gt;$R9,CY9&lt;=$I9),CY9,CY9-MIN(INT(ROUND(IF($F9=1,$C9*$J9,IF(GX9&gt;0,GX9*$K9,CY9*$J9))*IF(59=$R9,$S9,12)/12,6)+$B$4),CY9-$I9)))))</f>
        <v/>
      </c>
      <c r="DA9" s="68">
        <f>IF($U9=0,0,IF($F9=4,0,IF($F9=3,0,IF(OR(60&gt;$R9,CZ9&lt;=$I9),CZ9,CZ9-MIN(INT(ROUND(IF($F9=1,$C9*$J9,IF(GY9&gt;0,GY9*$K9,CZ9*$J9))*IF(60=$R9,$S9,12)/12,6)+$B$4),CZ9-$I9)))))</f>
        <v/>
      </c>
      <c r="DB9" s="68">
        <f>IF($U9=0,0,IF($F9=4,0,IF($F9=3,0,IF(OR(61&gt;$R9,DA9&lt;=$I9),DA9,DA9-MIN(INT(ROUND(IF($F9=1,$C9*$J9,IF(GZ9&gt;0,GZ9*$K9,DA9*$J9))*IF(61=$R9,$S9,12)/12,6)+$B$4),DA9-$I9)))))</f>
        <v/>
      </c>
      <c r="DC9" s="68">
        <f>IF($U9=0,0,IF($F9=4,0,IF($F9=3,0,IF(OR(62&gt;$R9,DB9&lt;=$I9),DB9,DB9-MIN(INT(ROUND(IF($F9=1,$C9*$J9,IF(HA9&gt;0,HA9*$K9,DB9*$J9))*IF(62=$R9,$S9,12)/12,6)+$B$4),DB9-$I9)))))</f>
        <v/>
      </c>
      <c r="DD9" s="68">
        <f>IF($U9=0,0,IF($F9=4,0,IF($F9=3,0,IF(OR(63&gt;$R9,DC9&lt;=$I9),DC9,DC9-MIN(INT(ROUND(IF($F9=1,$C9*$J9,IF(HB9&gt;0,HB9*$K9,DC9*$J9))*IF(63=$R9,$S9,12)/12,6)+$B$4),DC9-$I9)))))</f>
        <v/>
      </c>
      <c r="DE9" s="68">
        <f>IF($U9=0,0,IF($F9=4,0,IF($F9=3,0,IF(OR(64&gt;$R9,DD9&lt;=$I9),DD9,DD9-MIN(INT(ROUND(IF($F9=1,$C9*$J9,IF(HC9&gt;0,HC9*$K9,DD9*$J9))*IF(64=$R9,$S9,12)/12,6)+$B$4),DD9-$I9)))))</f>
        <v/>
      </c>
      <c r="DF9" s="68">
        <f>IF($U9=0,0,IF($F9=4,0,IF($F9=3,0,IF(OR(65&gt;$R9,DE9&lt;=$I9),DE9,DE9-MIN(INT(ROUND(IF($F9=1,$C9*$J9,IF(HD9&gt;0,HD9*$K9,DE9*$J9))*IF(65=$R9,$S9,12)/12,6)+$B$4),DE9-$I9)))))</f>
        <v/>
      </c>
      <c r="DG9" s="68">
        <f>IF($U9=0,0,IF($F9=4,0,IF($F9=3,0,IF(OR(66&gt;$R9,DF9&lt;=$I9),DF9,DF9-MIN(INT(ROUND(IF($F9=1,$C9*$J9,IF(HE9&gt;0,HE9*$K9,DF9*$J9))*IF(66=$R9,$S9,12)/12,6)+$B$4),DF9-$I9)))))</f>
        <v/>
      </c>
      <c r="DH9" s="68">
        <f>IF($U9=0,0,IF($F9=4,0,IF($F9=3,0,IF(OR(67&gt;$R9,DG9&lt;=$I9),DG9,DG9-MIN(INT(ROUND(IF($F9=1,$C9*$J9,IF(HF9&gt;0,HF9*$K9,DG9*$J9))*IF(67=$R9,$S9,12)/12,6)+$B$4),DG9-$I9)))))</f>
        <v/>
      </c>
      <c r="DI9" s="68">
        <f>IF($U9=0,0,IF($F9=4,0,IF($F9=3,0,IF(OR(68&gt;$R9,DH9&lt;=$I9),DH9,DH9-MIN(INT(ROUND(IF($F9=1,$C9*$J9,IF(HG9&gt;0,HG9*$K9,DH9*$J9))*IF(68=$R9,$S9,12)/12,6)+$B$4),DH9-$I9)))))</f>
        <v/>
      </c>
      <c r="DJ9" s="68">
        <f>IF($U9=0,0,IF($F9=4,0,IF($F9=3,0,IF(OR(69&gt;$R9,DI9&lt;=$I9),DI9,DI9-MIN(INT(ROUND(IF($F9=1,$C9*$J9,IF(HH9&gt;0,HH9*$K9,DI9*$J9))*IF(69=$R9,$S9,12)/12,6)+$B$4),DI9-$I9)))))</f>
        <v/>
      </c>
      <c r="DK9" s="68">
        <f>IF($U9=0,0,IF($F9=4,0,IF($F9=3,0,IF(OR(70&gt;$R9,DJ9&lt;=$I9),DJ9,DJ9-MIN(INT(ROUND(IF($F9=1,$C9*$J9,IF(HI9&gt;0,HI9*$K9,DJ9*$J9))*IF(70=$R9,$S9,12)/12,6)+$B$4),DJ9-$I9)))))</f>
        <v/>
      </c>
      <c r="DL9" s="68">
        <f>IF($U9=0,0,IF($F9=4,0,IF($F9=3,0,IF(OR(71&gt;$R9,DK9&lt;=$I9),DK9,DK9-MIN(INT(ROUND(IF($F9=1,$C9*$J9,IF(HJ9&gt;0,HJ9*$K9,DK9*$J9))*IF(71=$R9,$S9,12)/12,6)+$B$4),DK9-$I9)))))</f>
        <v/>
      </c>
      <c r="DM9" s="68">
        <f>IF($U9=0,0,IF($F9=4,0,IF($F9=3,0,IF(OR(72&gt;$R9,DL9&lt;=$I9),DL9,DL9-MIN(INT(ROUND(IF($F9=1,$C9*$J9,IF(HK9&gt;0,HK9*$K9,DL9*$J9))*IF(72=$R9,$S9,12)/12,6)+$B$4),DL9-$I9)))))</f>
        <v/>
      </c>
      <c r="DN9" s="68">
        <f>IF($U9=0,0,IF($F9=4,0,IF($F9=3,0,IF(OR(73&gt;$R9,DM9&lt;=$I9),DM9,DM9-MIN(INT(ROUND(IF($F9=1,$C9*$J9,IF(HL9&gt;0,HL9*$K9,DM9*$J9))*IF(73=$R9,$S9,12)/12,6)+$B$4),DM9-$I9)))))</f>
        <v/>
      </c>
      <c r="DO9" s="68">
        <f>IF($U9=0,0,IF($F9=4,0,IF($F9=3,0,IF(OR(74&gt;$R9,DN9&lt;=$I9),DN9,DN9-MIN(INT(ROUND(IF($F9=1,$C9*$J9,IF(HM9&gt;0,HM9*$K9,DN9*$J9))*IF(74=$R9,$S9,12)/12,6)+$B$4),DN9-$I9)))))</f>
        <v/>
      </c>
      <c r="DP9" s="68">
        <f>IF($U9=0,0,IF($F9=4,0,IF($F9=3,0,IF(OR(75&gt;$R9,DO9&lt;=$I9),DO9,DO9-MIN(INT(ROUND(IF($F9=1,$C9*$J9,IF(HN9&gt;0,HN9*$K9,DO9*$J9))*IF(75=$R9,$S9,12)/12,6)+$B$4),DO9-$I9)))))</f>
        <v/>
      </c>
      <c r="DQ9" s="68">
        <f>IF($U9=0,0,IF($F9=4,0,IF($F9=3,0,IF(OR(76&gt;$R9,DP9&lt;=$I9),DP9,DP9-MIN(INT(ROUND(IF($F9=1,$C9*$J9,IF(HO9&gt;0,HO9*$K9,DP9*$J9))*IF(76=$R9,$S9,12)/12,6)+$B$4),DP9-$I9)))))</f>
        <v/>
      </c>
      <c r="DR9" s="68">
        <f>IF($U9=0,0,IF($F9=4,0,IF($F9=3,0,IF(OR(77&gt;$R9,DQ9&lt;=$I9),DQ9,DQ9-MIN(INT(ROUND(IF($F9=1,$C9*$J9,IF(HP9&gt;0,HP9*$K9,DQ9*$J9))*IF(77=$R9,$S9,12)/12,6)+$B$4),DQ9-$I9)))))</f>
        <v/>
      </c>
      <c r="DS9" s="68">
        <f>IF($U9=0,0,IF($F9=4,0,IF($F9=3,0,IF(OR(78&gt;$R9,DR9&lt;=$I9),DR9,DR9-MIN(INT(ROUND(IF($F9=1,$C9*$J9,IF(HQ9&gt;0,HQ9*$K9,DR9*$J9))*IF(78=$R9,$S9,12)/12,6)+$B$4),DR9-$I9)))))</f>
        <v/>
      </c>
      <c r="DT9" s="68">
        <f>IF($U9=0,0,IF($F9=4,0,IF($F9=3,0,IF(OR(79&gt;$R9,DS9&lt;=$I9),DS9,DS9-MIN(INT(ROUND(IF($F9=1,$C9*$J9,IF(HR9&gt;0,HR9*$K9,DS9*$J9))*IF(79=$R9,$S9,12)/12,6)+$B$4),DS9-$I9)))))</f>
        <v/>
      </c>
      <c r="DU9" s="68">
        <f>IF($U9=0,0,IF($F9=4,0,IF($F9=3,0,IF(OR(80&gt;$R9,DT9&lt;=$I9),DT9,DT9-MIN(INT(ROUND(IF($F9=1,$C9*$J9,IF(HS9&gt;0,HS9*$K9,DT9*$J9))*IF(80=$R9,$S9,12)/12,6)+$B$4),DT9-$I9)))))</f>
        <v/>
      </c>
      <c r="DV9" s="68">
        <f>IF($U9=0,0,IF($F9=4,0,IF($F9=3,0,IF(OR(81&gt;$R9,DU9&lt;=$I9),DU9,DU9-MIN(INT(ROUND(IF($F9=1,$C9*$J9,IF(HT9&gt;0,HT9*$K9,DU9*$J9))*IF(81=$R9,$S9,12)/12,6)+$B$4),DU9-$I9)))))</f>
        <v/>
      </c>
      <c r="DW9" s="68">
        <f>IF($U9=0,0,IF($F9=4,0,IF($F9=3,0,IF(OR(82&gt;$R9,DV9&lt;=$I9),DV9,DV9-MIN(INT(ROUND(IF($F9=1,$C9*$J9,IF(HU9&gt;0,HU9*$K9,DV9*$J9))*IF(82=$R9,$S9,12)/12,6)+$B$4),DV9-$I9)))))</f>
        <v/>
      </c>
      <c r="DX9" s="68">
        <f>IF($U9=0,0,IF($F9=4,0,IF($F9=3,0,IF(OR(83&gt;$R9,DW9&lt;=$I9),DW9,DW9-MIN(INT(ROUND(IF($F9=1,$C9*$J9,IF(HV9&gt;0,HV9*$K9,DW9*$J9))*IF(83=$R9,$S9,12)/12,6)+$B$4),DW9-$I9)))))</f>
        <v/>
      </c>
      <c r="DY9" s="68">
        <f>IF($U9=0,0,IF($F9=4,0,IF($F9=3,0,IF(OR(84&gt;$R9,DX9&lt;=$I9),DX9,DX9-MIN(INT(ROUND(IF($F9=1,$C9*$J9,IF(HW9&gt;0,HW9*$K9,DX9*$J9))*IF(84=$R9,$S9,12)/12,6)+$B$4),DX9-$I9)))))</f>
        <v/>
      </c>
      <c r="DZ9" s="68">
        <f>IF($U9=0,0,IF($F9=4,0,IF($F9=3,0,IF(OR(85&gt;$R9,DY9&lt;=$I9),DY9,DY9-MIN(INT(ROUND(IF($F9=1,$C9*$J9,IF(HX9&gt;0,HX9*$K9,DY9*$J9))*IF(85=$R9,$S9,12)/12,6)+$B$4),DY9-$I9)))))</f>
        <v/>
      </c>
      <c r="EA9" s="68">
        <f>IF($U9=0,0,IF($F9=4,0,IF($F9=3,0,IF(OR(86&gt;$R9,DZ9&lt;=$I9),DZ9,DZ9-MIN(INT(ROUND(IF($F9=1,$C9*$J9,IF(HY9&gt;0,HY9*$K9,DZ9*$J9))*IF(86=$R9,$S9,12)/12,6)+$B$4),DZ9-$I9)))))</f>
        <v/>
      </c>
      <c r="EB9" s="68">
        <f>IF($U9=0,0,IF($F9=4,0,IF($F9=3,0,IF(OR(87&gt;$R9,EA9&lt;=$I9),EA9,EA9-MIN(INT(ROUND(IF($F9=1,$C9*$J9,IF(HZ9&gt;0,HZ9*$K9,EA9*$J9))*IF(87=$R9,$S9,12)/12,6)+$B$4),EA9-$I9)))))</f>
        <v/>
      </c>
      <c r="EC9" s="68">
        <f>IF($U9=0,0,IF($F9=4,0,IF($F9=3,0,IF(OR(88&gt;$R9,EB9&lt;=$I9),EB9,EB9-MIN(INT(ROUND(IF($F9=1,$C9*$J9,IF(IA9&gt;0,IA9*$K9,EB9*$J9))*IF(88=$R9,$S9,12)/12,6)+$B$4),EB9-$I9)))))</f>
        <v/>
      </c>
      <c r="ED9" s="68">
        <f>IF($U9=0,0,IF($F9=4,0,IF($F9=3,0,IF(OR(89&gt;$R9,EC9&lt;=$I9),EC9,EC9-MIN(INT(ROUND(IF($F9=1,$C9*$J9,IF(IB9&gt;0,IB9*$K9,EC9*$J9))*IF(89=$R9,$S9,12)/12,6)+$B$4),EC9-$I9)))))</f>
        <v/>
      </c>
      <c r="EE9" s="68">
        <f>IF($U9=0,0,IF($F9=4,0,IF($F9=3,0,IF(OR(90&gt;$R9,ED9&lt;=$I9),ED9,ED9-MIN(INT(ROUND(IF($F9=1,$C9*$J9,IF(IC9&gt;0,IC9*$K9,ED9*$J9))*IF(90=$R9,$S9,12)/12,6)+$B$4),ED9-$I9)))))</f>
        <v/>
      </c>
      <c r="EF9" s="68">
        <f>IF($U9=0,0,IF($F9=4,0,IF($F9=3,0,IF(OR(91&gt;$R9,EE9&lt;=$I9),EE9,EE9-MIN(INT(ROUND(IF($F9=1,$C9*$J9,IF(ID9&gt;0,ID9*$K9,EE9*$J9))*IF(91=$R9,$S9,12)/12,6)+$B$4),EE9-$I9)))))</f>
        <v/>
      </c>
      <c r="EG9" s="68">
        <f>IF($U9=0,0,IF($F9=4,0,IF($F9=3,0,IF(OR(92&gt;$R9,EF9&lt;=$I9),EF9,EF9-MIN(INT(ROUND(IF($F9=1,$C9*$J9,IF(IE9&gt;0,IE9*$K9,EF9*$J9))*IF(92=$R9,$S9,12)/12,6)+$B$4),EF9-$I9)))))</f>
        <v/>
      </c>
      <c r="EH9" s="68">
        <f>IF($U9=0,0,IF($F9=4,0,IF($F9=3,0,IF(OR(93&gt;$R9,EG9&lt;=$I9),EG9,EG9-MIN(INT(ROUND(IF($F9=1,$C9*$J9,IF(IF9&gt;0,IF9*$K9,EG9*$J9))*IF(93=$R9,$S9,12)/12,6)+$B$4),EG9-$I9)))))</f>
        <v/>
      </c>
      <c r="EI9" s="68">
        <f>IF($U9=0,0,IF($F9=4,0,IF($F9=3,0,IF(OR(94&gt;$R9,EH9&lt;=$I9),EH9,EH9-MIN(INT(ROUND(IF($F9=1,$C9*$J9,IF(IG9&gt;0,IG9*$K9,EH9*$J9))*IF(94=$R9,$S9,12)/12,6)+$B$4),EH9-$I9)))))</f>
        <v/>
      </c>
      <c r="EJ9" s="68">
        <f>IF($U9=0,0,IF($F9=4,0,IF($F9=3,0,IF(OR(95&gt;$R9,EI9&lt;=$I9),EI9,EI9-MIN(INT(ROUND(IF($F9=1,$C9*$J9,IF(IH9&gt;0,IH9*$K9,EI9*$J9))*IF(95=$R9,$S9,12)/12,6)+$B$4),EI9-$I9)))))</f>
        <v/>
      </c>
      <c r="EK9" s="68">
        <f>IF($U9=0,0,IF($F9=4,0,IF($F9=3,0,IF(OR(96&gt;$R9,EJ9&lt;=$I9),EJ9,EJ9-MIN(INT(ROUND(IF($F9=1,$C9*$J9,IF(II9&gt;0,II9*$K9,EJ9*$J9))*IF(96=$R9,$S9,12)/12,6)+$B$4),EJ9-$I9)))))</f>
        <v/>
      </c>
      <c r="EL9" s="68">
        <f>IF($U9=0,0,IF($F9=4,0,IF($F9=3,0,IF(OR(97&gt;$R9,EK9&lt;=$I9),EK9,EK9-MIN(INT(ROUND(IF($F9=1,$C9*$J9,IF(IJ9&gt;0,IJ9*$K9,EK9*$J9))*IF(97=$R9,$S9,12)/12,6)+$B$4),EK9-$I9)))))</f>
        <v/>
      </c>
      <c r="EM9" s="68">
        <f>IF($U9=0,0,IF($F9=4,0,IF($F9=3,0,IF(OR(98&gt;$R9,EL9&lt;=$I9),EL9,EL9-MIN(INT(ROUND(IF($F9=1,$C9*$J9,IF(IK9&gt;0,IK9*$K9,EL9*$J9))*IF(98=$R9,$S9,12)/12,6)+$B$4),EL9-$I9)))))</f>
        <v/>
      </c>
      <c r="EN9" s="68">
        <f>IF($U9=0,0,IF($F9=4,0,IF($F9=3,0,IF(OR(99&gt;$R9,EM9&lt;=$I9),EM9,EM9-MIN(INT(ROUND(IF($F9=1,$C9*$J9,IF(IL9&gt;0,IL9*$K9,EM9*$J9))*IF(99=$R9,$S9,12)/12,6)+$B$4),EM9-$I9)))))</f>
        <v/>
      </c>
      <c r="EO9" s="68">
        <f>IF($U9=0,0,IF($F9=4,0,IF($F9=3,0,IF(OR(100&gt;$R9,EN9&lt;=$I9),EN9,EN9-MIN(INT(ROUND(IF($F9=1,$C9*$J9,IF(IM9&gt;0,IM9*$K9,EN9*$J9))*IF(100=$R9,$S9,12)/12,6)+$B$4),EN9-$I9)))))</f>
        <v/>
      </c>
      <c r="EP9" s="68">
        <f>IF($U9=0,0,IF($F9=4,0,IF($F9=3,0,IF(OR(101&gt;$R9,EO9&lt;=$I9),EO9,EO9-MIN(INT(ROUND(IF($F9=1,$C9*$J9,IF(IN9&gt;0,IN9*$K9,EO9*$J9))*IF(101=$R9,$S9,12)/12,6)+$B$4),EO9-$I9)))))</f>
        <v/>
      </c>
      <c r="EQ9" s="68" t="n"/>
      <c r="ER9" s="68">
        <f>IF(OR($U9=0,$F9&lt;&gt;2),0,IF(ROUND(AS9*$J9,6)&lt;ROUND($M9,6),AS9,0))</f>
        <v/>
      </c>
      <c r="ES9" s="68">
        <f>IF(OR($U9=0,$F9&lt;&gt;2),0,IF(ER9&gt;0,ER9,IF(ROUND(AT9*$J9,6)&lt;ROUND($M9,6),AT9,0)))</f>
        <v/>
      </c>
      <c r="ET9" s="68">
        <f>IF(OR($U9=0,$F9&lt;&gt;2),0,IF(ES9&gt;0,ES9,IF(ROUND(AU9*$J9,6)&lt;ROUND($M9,6),AU9,0)))</f>
        <v/>
      </c>
      <c r="EU9" s="68">
        <f>IF(OR($U9=0,$F9&lt;&gt;2),0,IF(ET9&gt;0,ET9,IF(ROUND(AV9*$J9,6)&lt;ROUND($M9,6),AV9,0)))</f>
        <v/>
      </c>
      <c r="EV9" s="68">
        <f>IF(OR($U9=0,$F9&lt;&gt;2),0,IF(EU9&gt;0,EU9,IF(ROUND(AW9*$J9,6)&lt;ROUND($M9,6),AW9,0)))</f>
        <v/>
      </c>
      <c r="EW9" s="68">
        <f>IF(OR($U9=0,$F9&lt;&gt;2),0,IF(EV9&gt;0,EV9,IF(ROUND(AX9*$J9,6)&lt;ROUND($M9,6),AX9,0)))</f>
        <v/>
      </c>
      <c r="EX9" s="68">
        <f>IF(OR($U9=0,$F9&lt;&gt;2),0,IF(EW9&gt;0,EW9,IF(ROUND(AY9*$J9,6)&lt;ROUND($M9,6),AY9,0)))</f>
        <v/>
      </c>
      <c r="EY9" s="68">
        <f>IF(OR($U9=0,$F9&lt;&gt;2),0,IF(EX9&gt;0,EX9,IF(ROUND(AZ9*$J9,6)&lt;ROUND($M9,6),AZ9,0)))</f>
        <v/>
      </c>
      <c r="EZ9" s="68">
        <f>IF(OR($U9=0,$F9&lt;&gt;2),0,IF(EY9&gt;0,EY9,IF(ROUND(BA9*$J9,6)&lt;ROUND($M9,6),BA9,0)))</f>
        <v/>
      </c>
      <c r="FA9" s="68">
        <f>IF(OR($U9=0,$F9&lt;&gt;2),0,IF(EZ9&gt;0,EZ9,IF(ROUND(BB9*$J9,6)&lt;ROUND($M9,6),BB9,0)))</f>
        <v/>
      </c>
      <c r="FB9" s="68">
        <f>IF(OR($U9=0,$F9&lt;&gt;2),0,IF(FA9&gt;0,FA9,IF(ROUND(BC9*$J9,6)&lt;ROUND($M9,6),BC9,0)))</f>
        <v/>
      </c>
      <c r="FC9" s="68">
        <f>IF(OR($U9=0,$F9&lt;&gt;2),0,IF(FB9&gt;0,FB9,IF(ROUND(BD9*$J9,6)&lt;ROUND($M9,6),BD9,0)))</f>
        <v/>
      </c>
      <c r="FD9" s="68">
        <f>IF(OR($U9=0,$F9&lt;&gt;2),0,IF(FC9&gt;0,FC9,IF(ROUND(BE9*$J9,6)&lt;ROUND($M9,6),BE9,0)))</f>
        <v/>
      </c>
      <c r="FE9" s="68">
        <f>IF(OR($U9=0,$F9&lt;&gt;2),0,IF(FD9&gt;0,FD9,IF(ROUND(BF9*$J9,6)&lt;ROUND($M9,6),BF9,0)))</f>
        <v/>
      </c>
      <c r="FF9" s="68">
        <f>IF(OR($U9=0,$F9&lt;&gt;2),0,IF(FE9&gt;0,FE9,IF(ROUND(BG9*$J9,6)&lt;ROUND($M9,6),BG9,0)))</f>
        <v/>
      </c>
      <c r="FG9" s="68">
        <f>IF(OR($U9=0,$F9&lt;&gt;2),0,IF(FF9&gt;0,FF9,IF(ROUND(BH9*$J9,6)&lt;ROUND($M9,6),BH9,0)))</f>
        <v/>
      </c>
      <c r="FH9" s="68">
        <f>IF(OR($U9=0,$F9&lt;&gt;2),0,IF(FG9&gt;0,FG9,IF(ROUND(BI9*$J9,6)&lt;ROUND($M9,6),BI9,0)))</f>
        <v/>
      </c>
      <c r="FI9" s="68">
        <f>IF(OR($U9=0,$F9&lt;&gt;2),0,IF(FH9&gt;0,FH9,IF(ROUND(BJ9*$J9,6)&lt;ROUND($M9,6),BJ9,0)))</f>
        <v/>
      </c>
      <c r="FJ9" s="68">
        <f>IF(OR($U9=0,$F9&lt;&gt;2),0,IF(FI9&gt;0,FI9,IF(ROUND(BK9*$J9,6)&lt;ROUND($M9,6),BK9,0)))</f>
        <v/>
      </c>
      <c r="FK9" s="68">
        <f>IF(OR($U9=0,$F9&lt;&gt;2),0,IF(FJ9&gt;0,FJ9,IF(ROUND(BL9*$J9,6)&lt;ROUND($M9,6),BL9,0)))</f>
        <v/>
      </c>
      <c r="FL9" s="68">
        <f>IF(OR($U9=0,$F9&lt;&gt;2),0,IF(FK9&gt;0,FK9,IF(ROUND(BM9*$J9,6)&lt;ROUND($M9,6),BM9,0)))</f>
        <v/>
      </c>
      <c r="FM9" s="68">
        <f>IF(OR($U9=0,$F9&lt;&gt;2),0,IF(FL9&gt;0,FL9,IF(ROUND(BN9*$J9,6)&lt;ROUND($M9,6),BN9,0)))</f>
        <v/>
      </c>
      <c r="FN9" s="68">
        <f>IF(OR($U9=0,$F9&lt;&gt;2),0,IF(FM9&gt;0,FM9,IF(ROUND(BO9*$J9,6)&lt;ROUND($M9,6),BO9,0)))</f>
        <v/>
      </c>
      <c r="FO9" s="68">
        <f>IF(OR($U9=0,$F9&lt;&gt;2),0,IF(FN9&gt;0,FN9,IF(ROUND(BP9*$J9,6)&lt;ROUND($M9,6),BP9,0)))</f>
        <v/>
      </c>
      <c r="FP9" s="68">
        <f>IF(OR($U9=0,$F9&lt;&gt;2),0,IF(FO9&gt;0,FO9,IF(ROUND(BQ9*$J9,6)&lt;ROUND($M9,6),BQ9,0)))</f>
        <v/>
      </c>
      <c r="FQ9" s="68">
        <f>IF(OR($U9=0,$F9&lt;&gt;2),0,IF(FP9&gt;0,FP9,IF(ROUND(BR9*$J9,6)&lt;ROUND($M9,6),BR9,0)))</f>
        <v/>
      </c>
      <c r="FR9" s="68">
        <f>IF(OR($U9=0,$F9&lt;&gt;2),0,IF(FQ9&gt;0,FQ9,IF(ROUND(BS9*$J9,6)&lt;ROUND($M9,6),BS9,0)))</f>
        <v/>
      </c>
      <c r="FS9" s="68">
        <f>IF(OR($U9=0,$F9&lt;&gt;2),0,IF(FR9&gt;0,FR9,IF(ROUND(BT9*$J9,6)&lt;ROUND($M9,6),BT9,0)))</f>
        <v/>
      </c>
      <c r="FT9" s="68">
        <f>IF(OR($U9=0,$F9&lt;&gt;2),0,IF(FS9&gt;0,FS9,IF(ROUND(BU9*$J9,6)&lt;ROUND($M9,6),BU9,0)))</f>
        <v/>
      </c>
      <c r="FU9" s="68">
        <f>IF(OR($U9=0,$F9&lt;&gt;2),0,IF(FT9&gt;0,FT9,IF(ROUND(BV9*$J9,6)&lt;ROUND($M9,6),BV9,0)))</f>
        <v/>
      </c>
      <c r="FV9" s="68">
        <f>IF(OR($U9=0,$F9&lt;&gt;2),0,IF(FU9&gt;0,FU9,IF(ROUND(BW9*$J9,6)&lt;ROUND($M9,6),BW9,0)))</f>
        <v/>
      </c>
      <c r="FW9" s="68">
        <f>IF(OR($U9=0,$F9&lt;&gt;2),0,IF(FV9&gt;0,FV9,IF(ROUND(BX9*$J9,6)&lt;ROUND($M9,6),BX9,0)))</f>
        <v/>
      </c>
      <c r="FX9" s="68">
        <f>IF(OR($U9=0,$F9&lt;&gt;2),0,IF(FW9&gt;0,FW9,IF(ROUND(BY9*$J9,6)&lt;ROUND($M9,6),BY9,0)))</f>
        <v/>
      </c>
      <c r="FY9" s="68">
        <f>IF(OR($U9=0,$F9&lt;&gt;2),0,IF(FX9&gt;0,FX9,IF(ROUND(BZ9*$J9,6)&lt;ROUND($M9,6),BZ9,0)))</f>
        <v/>
      </c>
      <c r="FZ9" s="68">
        <f>IF(OR($U9=0,$F9&lt;&gt;2),0,IF(FY9&gt;0,FY9,IF(ROUND(CA9*$J9,6)&lt;ROUND($M9,6),CA9,0)))</f>
        <v/>
      </c>
      <c r="GA9" s="68">
        <f>IF(OR($U9=0,$F9&lt;&gt;2),0,IF(FZ9&gt;0,FZ9,IF(ROUND(CB9*$J9,6)&lt;ROUND($M9,6),CB9,0)))</f>
        <v/>
      </c>
      <c r="GB9" s="68">
        <f>IF(OR($U9=0,$F9&lt;&gt;2),0,IF(GA9&gt;0,GA9,IF(ROUND(CC9*$J9,6)&lt;ROUND($M9,6),CC9,0)))</f>
        <v/>
      </c>
      <c r="GC9" s="68">
        <f>IF(OR($U9=0,$F9&lt;&gt;2),0,IF(GB9&gt;0,GB9,IF(ROUND(CD9*$J9,6)&lt;ROUND($M9,6),CD9,0)))</f>
        <v/>
      </c>
      <c r="GD9" s="68">
        <f>IF(OR($U9=0,$F9&lt;&gt;2),0,IF(GC9&gt;0,GC9,IF(ROUND(CE9*$J9,6)&lt;ROUND($M9,6),CE9,0)))</f>
        <v/>
      </c>
      <c r="GE9" s="68">
        <f>IF(OR($U9=0,$F9&lt;&gt;2),0,IF(GD9&gt;0,GD9,IF(ROUND(CF9*$J9,6)&lt;ROUND($M9,6),CF9,0)))</f>
        <v/>
      </c>
      <c r="GF9" s="68">
        <f>IF(OR($U9=0,$F9&lt;&gt;2),0,IF(GE9&gt;0,GE9,IF(ROUND(CG9*$J9,6)&lt;ROUND($M9,6),CG9,0)))</f>
        <v/>
      </c>
      <c r="GG9" s="68">
        <f>IF(OR($U9=0,$F9&lt;&gt;2),0,IF(GF9&gt;0,GF9,IF(ROUND(CH9*$J9,6)&lt;ROUND($M9,6),CH9,0)))</f>
        <v/>
      </c>
      <c r="GH9" s="68">
        <f>IF(OR($U9=0,$F9&lt;&gt;2),0,IF(GG9&gt;0,GG9,IF(ROUND(CI9*$J9,6)&lt;ROUND($M9,6),CI9,0)))</f>
        <v/>
      </c>
      <c r="GI9" s="68">
        <f>IF(OR($U9=0,$F9&lt;&gt;2),0,IF(GH9&gt;0,GH9,IF(ROUND(CJ9*$J9,6)&lt;ROUND($M9,6),CJ9,0)))</f>
        <v/>
      </c>
      <c r="GJ9" s="68">
        <f>IF(OR($U9=0,$F9&lt;&gt;2),0,IF(GI9&gt;0,GI9,IF(ROUND(CK9*$J9,6)&lt;ROUND($M9,6),CK9,0)))</f>
        <v/>
      </c>
      <c r="GK9" s="68">
        <f>IF(OR($U9=0,$F9&lt;&gt;2),0,IF(GJ9&gt;0,GJ9,IF(ROUND(CL9*$J9,6)&lt;ROUND($M9,6),CL9,0)))</f>
        <v/>
      </c>
      <c r="GL9" s="68">
        <f>IF(OR($U9=0,$F9&lt;&gt;2),0,IF(GK9&gt;0,GK9,IF(ROUND(CM9*$J9,6)&lt;ROUND($M9,6),CM9,0)))</f>
        <v/>
      </c>
      <c r="GM9" s="68">
        <f>IF(OR($U9=0,$F9&lt;&gt;2),0,IF(GL9&gt;0,GL9,IF(ROUND(CN9*$J9,6)&lt;ROUND($M9,6),CN9,0)))</f>
        <v/>
      </c>
      <c r="GN9" s="68">
        <f>IF(OR($U9=0,$F9&lt;&gt;2),0,IF(GM9&gt;0,GM9,IF(ROUND(CO9*$J9,6)&lt;ROUND($M9,6),CO9,0)))</f>
        <v/>
      </c>
      <c r="GO9" s="68">
        <f>IF(OR($U9=0,$F9&lt;&gt;2),0,IF(GN9&gt;0,GN9,IF(ROUND(CP9*$J9,6)&lt;ROUND($M9,6),CP9,0)))</f>
        <v/>
      </c>
      <c r="GP9" s="68">
        <f>IF(OR($U9=0,$F9&lt;&gt;2),0,IF(GO9&gt;0,GO9,IF(ROUND(CQ9*$J9,6)&lt;ROUND($M9,6),CQ9,0)))</f>
        <v/>
      </c>
      <c r="GQ9" s="68">
        <f>IF(OR($U9=0,$F9&lt;&gt;2),0,IF(GP9&gt;0,GP9,IF(ROUND(CR9*$J9,6)&lt;ROUND($M9,6),CR9,0)))</f>
        <v/>
      </c>
      <c r="GR9" s="68">
        <f>IF(OR($U9=0,$F9&lt;&gt;2),0,IF(GQ9&gt;0,GQ9,IF(ROUND(CS9*$J9,6)&lt;ROUND($M9,6),CS9,0)))</f>
        <v/>
      </c>
      <c r="GS9" s="68">
        <f>IF(OR($U9=0,$F9&lt;&gt;2),0,IF(GR9&gt;0,GR9,IF(ROUND(CT9*$J9,6)&lt;ROUND($M9,6),CT9,0)))</f>
        <v/>
      </c>
      <c r="GT9" s="68">
        <f>IF(OR($U9=0,$F9&lt;&gt;2),0,IF(GS9&gt;0,GS9,IF(ROUND(CU9*$J9,6)&lt;ROUND($M9,6),CU9,0)))</f>
        <v/>
      </c>
      <c r="GU9" s="68">
        <f>IF(OR($U9=0,$F9&lt;&gt;2),0,IF(GT9&gt;0,GT9,IF(ROUND(CV9*$J9,6)&lt;ROUND($M9,6),CV9,0)))</f>
        <v/>
      </c>
      <c r="GV9" s="68">
        <f>IF(OR($U9=0,$F9&lt;&gt;2),0,IF(GU9&gt;0,GU9,IF(ROUND(CW9*$J9,6)&lt;ROUND($M9,6),CW9,0)))</f>
        <v/>
      </c>
      <c r="GW9" s="68">
        <f>IF(OR($U9=0,$F9&lt;&gt;2),0,IF(GV9&gt;0,GV9,IF(ROUND(CX9*$J9,6)&lt;ROUND($M9,6),CX9,0)))</f>
        <v/>
      </c>
      <c r="GX9" s="68">
        <f>IF(OR($U9=0,$F9&lt;&gt;2),0,IF(GW9&gt;0,GW9,IF(ROUND(CY9*$J9,6)&lt;ROUND($M9,6),CY9,0)))</f>
        <v/>
      </c>
      <c r="GY9" s="68">
        <f>IF(OR($U9=0,$F9&lt;&gt;2),0,IF(GX9&gt;0,GX9,IF(ROUND(CZ9*$J9,6)&lt;ROUND($M9,6),CZ9,0)))</f>
        <v/>
      </c>
      <c r="GZ9" s="68">
        <f>IF(OR($U9=0,$F9&lt;&gt;2),0,IF(GY9&gt;0,GY9,IF(ROUND(DA9*$J9,6)&lt;ROUND($M9,6),DA9,0)))</f>
        <v/>
      </c>
      <c r="HA9" s="68">
        <f>IF(OR($U9=0,$F9&lt;&gt;2),0,IF(GZ9&gt;0,GZ9,IF(ROUND(DB9*$J9,6)&lt;ROUND($M9,6),DB9,0)))</f>
        <v/>
      </c>
      <c r="HB9" s="68">
        <f>IF(OR($U9=0,$F9&lt;&gt;2),0,IF(HA9&gt;0,HA9,IF(ROUND(DC9*$J9,6)&lt;ROUND($M9,6),DC9,0)))</f>
        <v/>
      </c>
      <c r="HC9" s="68">
        <f>IF(OR($U9=0,$F9&lt;&gt;2),0,IF(HB9&gt;0,HB9,IF(ROUND(DD9*$J9,6)&lt;ROUND($M9,6),DD9,0)))</f>
        <v/>
      </c>
      <c r="HD9" s="68">
        <f>IF(OR($U9=0,$F9&lt;&gt;2),0,IF(HC9&gt;0,HC9,IF(ROUND(DE9*$J9,6)&lt;ROUND($M9,6),DE9,0)))</f>
        <v/>
      </c>
      <c r="HE9" s="68">
        <f>IF(OR($U9=0,$F9&lt;&gt;2),0,IF(HD9&gt;0,HD9,IF(ROUND(DF9*$J9,6)&lt;ROUND($M9,6),DF9,0)))</f>
        <v/>
      </c>
      <c r="HF9" s="68">
        <f>IF(OR($U9=0,$F9&lt;&gt;2),0,IF(HE9&gt;0,HE9,IF(ROUND(DG9*$J9,6)&lt;ROUND($M9,6),DG9,0)))</f>
        <v/>
      </c>
      <c r="HG9" s="68">
        <f>IF(OR($U9=0,$F9&lt;&gt;2),0,IF(HF9&gt;0,HF9,IF(ROUND(DH9*$J9,6)&lt;ROUND($M9,6),DH9,0)))</f>
        <v/>
      </c>
      <c r="HH9" s="68">
        <f>IF(OR($U9=0,$F9&lt;&gt;2),0,IF(HG9&gt;0,HG9,IF(ROUND(DI9*$J9,6)&lt;ROUND($M9,6),DI9,0)))</f>
        <v/>
      </c>
      <c r="HI9" s="68">
        <f>IF(OR($U9=0,$F9&lt;&gt;2),0,IF(HH9&gt;0,HH9,IF(ROUND(DJ9*$J9,6)&lt;ROUND($M9,6),DJ9,0)))</f>
        <v/>
      </c>
      <c r="HJ9" s="68">
        <f>IF(OR($U9=0,$F9&lt;&gt;2),0,IF(HI9&gt;0,HI9,IF(ROUND(DK9*$J9,6)&lt;ROUND($M9,6),DK9,0)))</f>
        <v/>
      </c>
      <c r="HK9" s="68">
        <f>IF(OR($U9=0,$F9&lt;&gt;2),0,IF(HJ9&gt;0,HJ9,IF(ROUND(DL9*$J9,6)&lt;ROUND($M9,6),DL9,0)))</f>
        <v/>
      </c>
      <c r="HL9" s="68">
        <f>IF(OR($U9=0,$F9&lt;&gt;2),0,IF(HK9&gt;0,HK9,IF(ROUND(DM9*$J9,6)&lt;ROUND($M9,6),DM9,0)))</f>
        <v/>
      </c>
      <c r="HM9" s="68">
        <f>IF(OR($U9=0,$F9&lt;&gt;2),0,IF(HL9&gt;0,HL9,IF(ROUND(DN9*$J9,6)&lt;ROUND($M9,6),DN9,0)))</f>
        <v/>
      </c>
      <c r="HN9" s="68">
        <f>IF(OR($U9=0,$F9&lt;&gt;2),0,IF(HM9&gt;0,HM9,IF(ROUND(DO9*$J9,6)&lt;ROUND($M9,6),DO9,0)))</f>
        <v/>
      </c>
      <c r="HO9" s="68">
        <f>IF(OR($U9=0,$F9&lt;&gt;2),0,IF(HN9&gt;0,HN9,IF(ROUND(DP9*$J9,6)&lt;ROUND($M9,6),DP9,0)))</f>
        <v/>
      </c>
      <c r="HP9" s="68">
        <f>IF(OR($U9=0,$F9&lt;&gt;2),0,IF(HO9&gt;0,HO9,IF(ROUND(DQ9*$J9,6)&lt;ROUND($M9,6),DQ9,0)))</f>
        <v/>
      </c>
      <c r="HQ9" s="68">
        <f>IF(OR($U9=0,$F9&lt;&gt;2),0,IF(HP9&gt;0,HP9,IF(ROUND(DR9*$J9,6)&lt;ROUND($M9,6),DR9,0)))</f>
        <v/>
      </c>
      <c r="HR9" s="68">
        <f>IF(OR($U9=0,$F9&lt;&gt;2),0,IF(HQ9&gt;0,HQ9,IF(ROUND(DS9*$J9,6)&lt;ROUND($M9,6),DS9,0)))</f>
        <v/>
      </c>
      <c r="HS9" s="68">
        <f>IF(OR($U9=0,$F9&lt;&gt;2),0,IF(HR9&gt;0,HR9,IF(ROUND(DT9*$J9,6)&lt;ROUND($M9,6),DT9,0)))</f>
        <v/>
      </c>
      <c r="HT9" s="68">
        <f>IF(OR($U9=0,$F9&lt;&gt;2),0,IF(HS9&gt;0,HS9,IF(ROUND(DU9*$J9,6)&lt;ROUND($M9,6),DU9,0)))</f>
        <v/>
      </c>
      <c r="HU9" s="68">
        <f>IF(OR($U9=0,$F9&lt;&gt;2),0,IF(HT9&gt;0,HT9,IF(ROUND(DV9*$J9,6)&lt;ROUND($M9,6),DV9,0)))</f>
        <v/>
      </c>
      <c r="HV9" s="68">
        <f>IF(OR($U9=0,$F9&lt;&gt;2),0,IF(HU9&gt;0,HU9,IF(ROUND(DW9*$J9,6)&lt;ROUND($M9,6),DW9,0)))</f>
        <v/>
      </c>
      <c r="HW9" s="68">
        <f>IF(OR($U9=0,$F9&lt;&gt;2),0,IF(HV9&gt;0,HV9,IF(ROUND(DX9*$J9,6)&lt;ROUND($M9,6),DX9,0)))</f>
        <v/>
      </c>
      <c r="HX9" s="68">
        <f>IF(OR($U9=0,$F9&lt;&gt;2),0,IF(HW9&gt;0,HW9,IF(ROUND(DY9*$J9,6)&lt;ROUND($M9,6),DY9,0)))</f>
        <v/>
      </c>
      <c r="HY9" s="68">
        <f>IF(OR($U9=0,$F9&lt;&gt;2),0,IF(HX9&gt;0,HX9,IF(ROUND(DZ9*$J9,6)&lt;ROUND($M9,6),DZ9,0)))</f>
        <v/>
      </c>
      <c r="HZ9" s="68">
        <f>IF(OR($U9=0,$F9&lt;&gt;2),0,IF(HY9&gt;0,HY9,IF(ROUND(EA9*$J9,6)&lt;ROUND($M9,6),EA9,0)))</f>
        <v/>
      </c>
      <c r="IA9" s="68">
        <f>IF(OR($U9=0,$F9&lt;&gt;2),0,IF(HZ9&gt;0,HZ9,IF(ROUND(EB9*$J9,6)&lt;ROUND($M9,6),EB9,0)))</f>
        <v/>
      </c>
      <c r="IB9" s="68">
        <f>IF(OR($U9=0,$F9&lt;&gt;2),0,IF(IA9&gt;0,IA9,IF(ROUND(EC9*$J9,6)&lt;ROUND($M9,6),EC9,0)))</f>
        <v/>
      </c>
      <c r="IC9" s="68">
        <f>IF(OR($U9=0,$F9&lt;&gt;2),0,IF(IB9&gt;0,IB9,IF(ROUND(ED9*$J9,6)&lt;ROUND($M9,6),ED9,0)))</f>
        <v/>
      </c>
      <c r="ID9" s="68">
        <f>IF(OR($U9=0,$F9&lt;&gt;2),0,IF(IC9&gt;0,IC9,IF(ROUND(EE9*$J9,6)&lt;ROUND($M9,6),EE9,0)))</f>
        <v/>
      </c>
      <c r="IE9" s="68">
        <f>IF(OR($U9=0,$F9&lt;&gt;2),0,IF(ID9&gt;0,ID9,IF(ROUND(EF9*$J9,6)&lt;ROUND($M9,6),EF9,0)))</f>
        <v/>
      </c>
      <c r="IF9" s="68">
        <f>IF(OR($U9=0,$F9&lt;&gt;2),0,IF(IE9&gt;0,IE9,IF(ROUND(EG9*$J9,6)&lt;ROUND($M9,6),EG9,0)))</f>
        <v/>
      </c>
      <c r="IG9" s="68">
        <f>IF(OR($U9=0,$F9&lt;&gt;2),0,IF(IF9&gt;0,IF9,IF(ROUND(EH9*$J9,6)&lt;ROUND($M9,6),EH9,0)))</f>
        <v/>
      </c>
      <c r="IH9" s="68">
        <f>IF(OR($U9=0,$F9&lt;&gt;2),0,IF(IG9&gt;0,IG9,IF(ROUND(EI9*$J9,6)&lt;ROUND($M9,6),EI9,0)))</f>
        <v/>
      </c>
      <c r="II9" s="68">
        <f>IF(OR($U9=0,$F9&lt;&gt;2),0,IF(IH9&gt;0,IH9,IF(ROUND(EJ9*$J9,6)&lt;ROUND($M9,6),EJ9,0)))</f>
        <v/>
      </c>
      <c r="IJ9" s="68">
        <f>IF(OR($U9=0,$F9&lt;&gt;2),0,IF(II9&gt;0,II9,IF(ROUND(EK9*$J9,6)&lt;ROUND($M9,6),EK9,0)))</f>
        <v/>
      </c>
      <c r="IK9" s="68">
        <f>IF(OR($U9=0,$F9&lt;&gt;2),0,IF(IJ9&gt;0,IJ9,IF(ROUND(EL9*$J9,6)&lt;ROUND($M9,6),EL9,0)))</f>
        <v/>
      </c>
      <c r="IL9" s="68">
        <f>IF(OR($U9=0,$F9&lt;&gt;2),0,IF(IK9&gt;0,IK9,IF(ROUND(EM9*$J9,6)&lt;ROUND($M9,6),EM9,0)))</f>
        <v/>
      </c>
      <c r="IM9" s="68">
        <f>IF(OR($U9=0,$F9&lt;&gt;2),0,IF(IL9&gt;0,IL9,IF(ROUND(EN9*$J9,6)&lt;ROUND($M9,6),EN9,0)))</f>
        <v/>
      </c>
      <c r="IN9" s="68">
        <f>IF(OR($U9=0,$F9&lt;&gt;2),0,IF(IM9&gt;0,IM9,IF(ROUND(EO9*$J9,6)&lt;ROUND($M9,6),EO9,0)))</f>
        <v/>
      </c>
    </row>
    <row r="10">
      <c r="A10" s="68" t="n">
        <v>5</v>
      </c>
      <c r="B10" s="68">
        <f>IF(OR(TRIM('固定資産台帳'!$B10)&lt;&gt;"",'固定資産台帳'!$E10&lt;&gt;"",'固定資産台帳'!$G10&lt;&gt;"",'固定資産台帳'!$H10&lt;&gt;""),1,0)</f>
        <v/>
      </c>
      <c r="C10" s="68">
        <f>IF(ISNUMBER('固定資産台帳'!$G10),MAX(ROUND('固定資産台帳'!$G10,0),0),0)</f>
        <v/>
      </c>
      <c r="D10" s="84">
        <f>IF(ISNUMBER('固定資産台帳'!$E10),INT('固定資産台帳'!$E10),0)</f>
        <v/>
      </c>
      <c r="E10" s="84">
        <f>IF(ISNUMBER('固定資産台帳'!$F10),INT('固定資産台帳'!$F10),$D10)</f>
        <v/>
      </c>
      <c r="F10" s="68">
        <f>IF('固定資産台帳'!$H10="定額法",1,IF(OR('固定資産台帳'!$H10="定率法",'固定資産台帳'!$H10="定率法（200%）",'固定資産台帳'!$H10="定率法（250%）"),2,IF('固定資産台帳'!$H10="一括償却（3年）",3,IF('固定資産台帳'!$H10="少額特例",4,0))))</f>
        <v/>
      </c>
      <c r="G10" s="68">
        <f>IF('固定資産台帳'!$H10="定率法（250%）",250,IF('固定資産台帳'!$H10="定率法（200%）",200,IF($D10&gt;=DATE(2012,4,1),200,250)))</f>
        <v/>
      </c>
      <c r="H10" s="68">
        <f>IF(ISNUMBER('固定資産台帳'!$I10),IF(AND('固定資産台帳'!$I10&gt;=2,'固定資産台帳'!$I10&lt;=100,'固定資産台帳'!$I10=INT('固定資産台帳'!$I10)),'固定資産台帳'!$I10,0),0)</f>
        <v/>
      </c>
      <c r="I10" s="68">
        <f>IF('固定資産台帳'!$C10="無形固定資産",0,1)</f>
        <v/>
      </c>
      <c r="J10" s="68">
        <f>IF(OR($H10=0,$F10=0,$F10&gt;2),0,IF($F10=1,INDEX('償却率表'!$B$6:$B$104,$H10-1),IF($G10=200,INDEX('償却率表'!$C$6:$C$104,$H10-1),INDEX('償却率表'!$F$6:$F$104,$H10-1))))</f>
        <v/>
      </c>
      <c r="K10" s="68">
        <f>IF(AND($F10=2,$H10&gt;0),IF($G10=200,INDEX('償却率表'!$D$6:$D$104,$H10-1),INDEX('償却率表'!$G$6:$G$104,$H10-1)),0)</f>
        <v/>
      </c>
      <c r="L10" s="68">
        <f>IF(AND($F10=2,$H10&gt;0),IF($G10=200,INDEX('償却率表'!$E$6:$E$104,$H10-1),INDEX('償却率表'!$H$6:$H$104,$H10-1)),0)</f>
        <v/>
      </c>
      <c r="M10" s="68">
        <f>$C10*$L10</f>
        <v/>
      </c>
      <c r="N10" s="68">
        <f>IF($B$1=1,1,IF('固定資産台帳'!$J10="",1,IF(ISNUMBER('固定資産台帳'!$J10),IF(AND('固定資産台帳'!$J10&gt;0,'固定資産台帳'!$J10&lt;=1),'固定資産台帳'!$J10,0),0)))</f>
        <v/>
      </c>
      <c r="O10" s="68">
        <f>IF($E10=0,0,YEAR($E10)-IF(MONTH($E10)&lt;$B$2,1,0))</f>
        <v/>
      </c>
      <c r="P10" s="68">
        <f>IF($E10=0,0,12-MOD(MONTH($E10)-$B$2,12))</f>
        <v/>
      </c>
      <c r="Q10" s="84">
        <f>IF(ISNUMBER('固定資産台帳'!$K10),INT('固定資産台帳'!$K10),0)</f>
        <v/>
      </c>
      <c r="R10" s="68">
        <f>IF(OR($Q10=0,$E10=0),999,YEAR($Q10)-IF(MONTH($Q10)&lt;$B$2,1,0)-$O10)</f>
        <v/>
      </c>
      <c r="S10" s="68">
        <f>IF($R10=999,0,MOD(MONTH($Q10)-$B$2,12)+1-IF($R10=0,12-$P10,0))</f>
        <v/>
      </c>
      <c r="T10" s="68">
        <f>IF($B10=0,0,IF($C10&lt;=0,1,IF($D10=0,2,IF($F10=0,3,IF(AND($F10&lt;=2,$H10=0),4,IF(AND($F10&lt;=2,$D10&lt;DATE(2007,4,1)),5,IF($E10&lt;$D10,6,IF(AND($Q10&gt;0,$Q10&lt;$E10),7,IF($N10=0,8,IF($B$3=0,9,0))))))))))</f>
        <v/>
      </c>
      <c r="U10" s="68">
        <f>IF(AND($B10=1,$T10=0),1,0)</f>
        <v/>
      </c>
      <c r="V10" s="68">
        <f>$B$3-$O10</f>
        <v/>
      </c>
      <c r="W10" s="68">
        <f>IF(AND($U10=1,$V10&gt;=0),1,0)</f>
        <v/>
      </c>
      <c r="X10" s="68">
        <f>IF($W10=0,0,IF($V10=0,$C10,INDEX($AS10:$EP10,MIN($V10,102))))</f>
        <v/>
      </c>
      <c r="Y10" s="68">
        <f>IF($W10=0,0,INDEX($AS10:$EP10,MIN($V10,101)+1))</f>
        <v/>
      </c>
      <c r="Z10" s="68">
        <f>$X10-$Y10</f>
        <v/>
      </c>
      <c r="AA10" s="68">
        <f>IF(AND($W10=1,$F10=2,$V10&gt;=1),INDEX($ER10:$IN10,MIN($V10,101)),0)</f>
        <v/>
      </c>
      <c r="AB10" s="68">
        <f>IF(OR($W10=0,$F10&gt;2,$Z10=0),0,IF($V10=0,IF($R10=0,$S10,$P10),IF($V10=$R10,$S10,12)))</f>
        <v/>
      </c>
      <c r="AC10" s="68">
        <f>IF($W10=0,0,INT(ROUND($Z10*$N10,6)+$B$4))</f>
        <v/>
      </c>
      <c r="AD10" s="68">
        <f>IF(AND($W10=1,$F10&lt;=2,$V10=$R10),1,0)</f>
        <v/>
      </c>
      <c r="AE10" s="68">
        <f>IF(AND($W10=1,$F10&lt;=2,$V10&gt;$R10),1,0)</f>
        <v/>
      </c>
      <c r="AF10" s="68">
        <f>IF(AND($W10=1,$AE10=0,OR($Z10&gt;0,$AD10=1)),1,0)</f>
        <v/>
      </c>
      <c r="AG10" s="68">
        <f>IF($AF10=1,SUM($AF$6:$AF10),0)</f>
        <v/>
      </c>
      <c r="AH10" s="68">
        <f>IF($T10=0,"",CHOOSE($T10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0" s="68">
        <f>IF(AND($F10=2,OR('固定資産台帳'!$C10="建物",'固定資産台帳'!$C10="無形固定資産",AND(OR('固定資産台帳'!$C10="建物附属設備",'固定資産台帳'!$C10="構築物"),$D10&gt;=DATE(2016,4,1)))),"この資産は定額法だけです（定率法は使えません）。","")&amp;IF(AND($F10=3,$C10&gt;=200000),"一括償却は20万円未満の資産だけです。","")&amp;IF(AND($F10=3,$B$1=0,$C10&lt;100000),"10万円未満は一括償却にせず、全額をその年の経費にします。","")&amp;IF(AND($F10=4,$C10&lt;100000),"10万円未満は少額特例ではなく、全額をその年の経費にします。","")&amp;IF(AND($F10=4,$D10&lt;DATE(2026,4,1),$C10&gt;=300000),"2026年3月31日までの取得で少額特例が使えるのは30万円未満です。","")&amp;IF(AND($F10=4,$D10&gt;=DATE(2026,4,1),$C10&gt;=400000),"少額特例は40万円未満の資産だけです。","")&amp;IF(AND($F10=4,OR($D10&lt;DATE(2006,4,1),$D10&gt;DATE(2029,3,31))),"少額特例は2006年4月1日〜2029年3月31日に取得した資産だけです。","")&amp;IF(AND($F10=2,$G10=250,$D10&gt;DATE(2012,12,31)),"250%定率法は2012年12月31日までの取得だけです。","")</f>
        <v/>
      </c>
      <c r="AJ10" s="68">
        <f>IF(AND($F10=2,'固定資産台帳'!$H10="定率法（200%）",$D10&lt;DATE(2012,4,1)),"2012年3月31日までの取得に200%を使うのは、経過措置の届出をした場合です。","")&amp;IF(AND($F10=2,'固定資産台帳'!$H10="定率法（250%）",$D10&gt;=DATE(2012,4,1),$D10&lt;=DATE(2012,12,31)),"2012年4〜12月の取得に250%を使うのは、経過措置を選んだ場合です。","")</f>
        <v/>
      </c>
      <c r="AK10" s="68">
        <f>IF($U10=0,"",IF($V10&lt;0,"表示している年より後に使い始める資産です。",IF($AE10=1,"売却・除却済みです。",IF($AD10=1,"この年に売却・除却。期末の帳簿価額 "&amp;TEXT($Y10,"#,##0")&amp;"円を帳簿から外します。",IF($F10=4,IF($V10=0,"少額特例：この年に全額を経費にします。","少額特例で経費にした資産です。"),IF($F10=3,IF($V10&gt;2,"一括償却は終わっています。","一括償却 "&amp;($V10+1)&amp;"年目（3年のうち）。"),IF($Z10=0,"償却済み（帳簿価額 "&amp;TEXT($Y10,"#,##0")&amp;"円）。",IF($AA10&gt;0,"改定償却率で計算（改定取得価額 "&amp;TEXT($AA10,"#,##0")&amp;"円）。",IF($V10=0,"この年に使い始め（"&amp;$AB10&amp;"か月分）。","")))))))))</f>
        <v/>
      </c>
      <c r="AL10" s="68">
        <f>IF(AND($U10=1,$F10=4,$V10=0),$C10,0)</f>
        <v/>
      </c>
      <c r="AM10" s="68">
        <f>IF($F10=2,INT(ROUND($M10,6)+$B$4),0)</f>
        <v/>
      </c>
      <c r="AN10" s="68">
        <f>IF($W10=0,0,IF($F10=2,IF($AA10&gt;0,$AA10,$X10),$C10))</f>
        <v/>
      </c>
      <c r="AO10" s="68">
        <f>IF($W10=0,"",IF($F10=3,"1/3",IF($F10=4,"―",IF($AA10&gt;0,$K10,$J10))))</f>
        <v/>
      </c>
      <c r="AP10" s="68" t="n"/>
      <c r="AQ10" s="68" t="n"/>
      <c r="AR10" s="68" t="n"/>
      <c r="AS10" s="68">
        <f>IF($U10=0,0,IF($F10=4,0,IF($F10=3,MAX($C10-INT(ROUND($C10/3,6)+$B$4),0),$C10-MIN(INT(ROUND($C10*$J10*IF($R10=0,$S10,$P10)/12,6)+$B$4),MAX($C10-$I10,0)))))</f>
        <v/>
      </c>
      <c r="AT10" s="68">
        <f>IF($U10=0,0,IF($F10=4,0,IF($F10=3,AS10-MIN(INT(ROUND($C10/3,6)+$B$4),AS10),IF(OR(1&gt;$R10,AS10&lt;=$I10),AS10,AS10-MIN(INT(ROUND(IF($F10=1,$C10*$J10,IF(ER10&gt;0,ER10*$K10,AS10*$J10))*IF(1=$R10,$S10,12)/12,6)+$B$4),AS10-$I10)))))</f>
        <v/>
      </c>
      <c r="AU10" s="68">
        <f>IF($U10=0,0,IF($F10=4,0,IF($F10=3,0,IF(OR(2&gt;$R10,AT10&lt;=$I10),AT10,AT10-MIN(INT(ROUND(IF($F10=1,$C10*$J10,IF(ES10&gt;0,ES10*$K10,AT10*$J10))*IF(2=$R10,$S10,12)/12,6)+$B$4),AT10-$I10)))))</f>
        <v/>
      </c>
      <c r="AV10" s="68">
        <f>IF($U10=0,0,IF($F10=4,0,IF($F10=3,0,IF(OR(3&gt;$R10,AU10&lt;=$I10),AU10,AU10-MIN(INT(ROUND(IF($F10=1,$C10*$J10,IF(ET10&gt;0,ET10*$K10,AU10*$J10))*IF(3=$R10,$S10,12)/12,6)+$B$4),AU10-$I10)))))</f>
        <v/>
      </c>
      <c r="AW10" s="68">
        <f>IF($U10=0,0,IF($F10=4,0,IF($F10=3,0,IF(OR(4&gt;$R10,AV10&lt;=$I10),AV10,AV10-MIN(INT(ROUND(IF($F10=1,$C10*$J10,IF(EU10&gt;0,EU10*$K10,AV10*$J10))*IF(4=$R10,$S10,12)/12,6)+$B$4),AV10-$I10)))))</f>
        <v/>
      </c>
      <c r="AX10" s="68">
        <f>IF($U10=0,0,IF($F10=4,0,IF($F10=3,0,IF(OR(5&gt;$R10,AW10&lt;=$I10),AW10,AW10-MIN(INT(ROUND(IF($F10=1,$C10*$J10,IF(EV10&gt;0,EV10*$K10,AW10*$J10))*IF(5=$R10,$S10,12)/12,6)+$B$4),AW10-$I10)))))</f>
        <v/>
      </c>
      <c r="AY10" s="68">
        <f>IF($U10=0,0,IF($F10=4,0,IF($F10=3,0,IF(OR(6&gt;$R10,AX10&lt;=$I10),AX10,AX10-MIN(INT(ROUND(IF($F10=1,$C10*$J10,IF(EW10&gt;0,EW10*$K10,AX10*$J10))*IF(6=$R10,$S10,12)/12,6)+$B$4),AX10-$I10)))))</f>
        <v/>
      </c>
      <c r="AZ10" s="68">
        <f>IF($U10=0,0,IF($F10=4,0,IF($F10=3,0,IF(OR(7&gt;$R10,AY10&lt;=$I10),AY10,AY10-MIN(INT(ROUND(IF($F10=1,$C10*$J10,IF(EX10&gt;0,EX10*$K10,AY10*$J10))*IF(7=$R10,$S10,12)/12,6)+$B$4),AY10-$I10)))))</f>
        <v/>
      </c>
      <c r="BA10" s="68">
        <f>IF($U10=0,0,IF($F10=4,0,IF($F10=3,0,IF(OR(8&gt;$R10,AZ10&lt;=$I10),AZ10,AZ10-MIN(INT(ROUND(IF($F10=1,$C10*$J10,IF(EY10&gt;0,EY10*$K10,AZ10*$J10))*IF(8=$R10,$S10,12)/12,6)+$B$4),AZ10-$I10)))))</f>
        <v/>
      </c>
      <c r="BB10" s="68">
        <f>IF($U10=0,0,IF($F10=4,0,IF($F10=3,0,IF(OR(9&gt;$R10,BA10&lt;=$I10),BA10,BA10-MIN(INT(ROUND(IF($F10=1,$C10*$J10,IF(EZ10&gt;0,EZ10*$K10,BA10*$J10))*IF(9=$R10,$S10,12)/12,6)+$B$4),BA10-$I10)))))</f>
        <v/>
      </c>
      <c r="BC10" s="68">
        <f>IF($U10=0,0,IF($F10=4,0,IF($F10=3,0,IF(OR(10&gt;$R10,BB10&lt;=$I10),BB10,BB10-MIN(INT(ROUND(IF($F10=1,$C10*$J10,IF(FA10&gt;0,FA10*$K10,BB10*$J10))*IF(10=$R10,$S10,12)/12,6)+$B$4),BB10-$I10)))))</f>
        <v/>
      </c>
      <c r="BD10" s="68">
        <f>IF($U10=0,0,IF($F10=4,0,IF($F10=3,0,IF(OR(11&gt;$R10,BC10&lt;=$I10),BC10,BC10-MIN(INT(ROUND(IF($F10=1,$C10*$J10,IF(FB10&gt;0,FB10*$K10,BC10*$J10))*IF(11=$R10,$S10,12)/12,6)+$B$4),BC10-$I10)))))</f>
        <v/>
      </c>
      <c r="BE10" s="68">
        <f>IF($U10=0,0,IF($F10=4,0,IF($F10=3,0,IF(OR(12&gt;$R10,BD10&lt;=$I10),BD10,BD10-MIN(INT(ROUND(IF($F10=1,$C10*$J10,IF(FC10&gt;0,FC10*$K10,BD10*$J10))*IF(12=$R10,$S10,12)/12,6)+$B$4),BD10-$I10)))))</f>
        <v/>
      </c>
      <c r="BF10" s="68">
        <f>IF($U10=0,0,IF($F10=4,0,IF($F10=3,0,IF(OR(13&gt;$R10,BE10&lt;=$I10),BE10,BE10-MIN(INT(ROUND(IF($F10=1,$C10*$J10,IF(FD10&gt;0,FD10*$K10,BE10*$J10))*IF(13=$R10,$S10,12)/12,6)+$B$4),BE10-$I10)))))</f>
        <v/>
      </c>
      <c r="BG10" s="68">
        <f>IF($U10=0,0,IF($F10=4,0,IF($F10=3,0,IF(OR(14&gt;$R10,BF10&lt;=$I10),BF10,BF10-MIN(INT(ROUND(IF($F10=1,$C10*$J10,IF(FE10&gt;0,FE10*$K10,BF10*$J10))*IF(14=$R10,$S10,12)/12,6)+$B$4),BF10-$I10)))))</f>
        <v/>
      </c>
      <c r="BH10" s="68">
        <f>IF($U10=0,0,IF($F10=4,0,IF($F10=3,0,IF(OR(15&gt;$R10,BG10&lt;=$I10),BG10,BG10-MIN(INT(ROUND(IF($F10=1,$C10*$J10,IF(FF10&gt;0,FF10*$K10,BG10*$J10))*IF(15=$R10,$S10,12)/12,6)+$B$4),BG10-$I10)))))</f>
        <v/>
      </c>
      <c r="BI10" s="68">
        <f>IF($U10=0,0,IF($F10=4,0,IF($F10=3,0,IF(OR(16&gt;$R10,BH10&lt;=$I10),BH10,BH10-MIN(INT(ROUND(IF($F10=1,$C10*$J10,IF(FG10&gt;0,FG10*$K10,BH10*$J10))*IF(16=$R10,$S10,12)/12,6)+$B$4),BH10-$I10)))))</f>
        <v/>
      </c>
      <c r="BJ10" s="68">
        <f>IF($U10=0,0,IF($F10=4,0,IF($F10=3,0,IF(OR(17&gt;$R10,BI10&lt;=$I10),BI10,BI10-MIN(INT(ROUND(IF($F10=1,$C10*$J10,IF(FH10&gt;0,FH10*$K10,BI10*$J10))*IF(17=$R10,$S10,12)/12,6)+$B$4),BI10-$I10)))))</f>
        <v/>
      </c>
      <c r="BK10" s="68">
        <f>IF($U10=0,0,IF($F10=4,0,IF($F10=3,0,IF(OR(18&gt;$R10,BJ10&lt;=$I10),BJ10,BJ10-MIN(INT(ROUND(IF($F10=1,$C10*$J10,IF(FI10&gt;0,FI10*$K10,BJ10*$J10))*IF(18=$R10,$S10,12)/12,6)+$B$4),BJ10-$I10)))))</f>
        <v/>
      </c>
      <c r="BL10" s="68">
        <f>IF($U10=0,0,IF($F10=4,0,IF($F10=3,0,IF(OR(19&gt;$R10,BK10&lt;=$I10),BK10,BK10-MIN(INT(ROUND(IF($F10=1,$C10*$J10,IF(FJ10&gt;0,FJ10*$K10,BK10*$J10))*IF(19=$R10,$S10,12)/12,6)+$B$4),BK10-$I10)))))</f>
        <v/>
      </c>
      <c r="BM10" s="68">
        <f>IF($U10=0,0,IF($F10=4,0,IF($F10=3,0,IF(OR(20&gt;$R10,BL10&lt;=$I10),BL10,BL10-MIN(INT(ROUND(IF($F10=1,$C10*$J10,IF(FK10&gt;0,FK10*$K10,BL10*$J10))*IF(20=$R10,$S10,12)/12,6)+$B$4),BL10-$I10)))))</f>
        <v/>
      </c>
      <c r="BN10" s="68">
        <f>IF($U10=0,0,IF($F10=4,0,IF($F10=3,0,IF(OR(21&gt;$R10,BM10&lt;=$I10),BM10,BM10-MIN(INT(ROUND(IF($F10=1,$C10*$J10,IF(FL10&gt;0,FL10*$K10,BM10*$J10))*IF(21=$R10,$S10,12)/12,6)+$B$4),BM10-$I10)))))</f>
        <v/>
      </c>
      <c r="BO10" s="68">
        <f>IF($U10=0,0,IF($F10=4,0,IF($F10=3,0,IF(OR(22&gt;$R10,BN10&lt;=$I10),BN10,BN10-MIN(INT(ROUND(IF($F10=1,$C10*$J10,IF(FM10&gt;0,FM10*$K10,BN10*$J10))*IF(22=$R10,$S10,12)/12,6)+$B$4),BN10-$I10)))))</f>
        <v/>
      </c>
      <c r="BP10" s="68">
        <f>IF($U10=0,0,IF($F10=4,0,IF($F10=3,0,IF(OR(23&gt;$R10,BO10&lt;=$I10),BO10,BO10-MIN(INT(ROUND(IF($F10=1,$C10*$J10,IF(FN10&gt;0,FN10*$K10,BO10*$J10))*IF(23=$R10,$S10,12)/12,6)+$B$4),BO10-$I10)))))</f>
        <v/>
      </c>
      <c r="BQ10" s="68">
        <f>IF($U10=0,0,IF($F10=4,0,IF($F10=3,0,IF(OR(24&gt;$R10,BP10&lt;=$I10),BP10,BP10-MIN(INT(ROUND(IF($F10=1,$C10*$J10,IF(FO10&gt;0,FO10*$K10,BP10*$J10))*IF(24=$R10,$S10,12)/12,6)+$B$4),BP10-$I10)))))</f>
        <v/>
      </c>
      <c r="BR10" s="68">
        <f>IF($U10=0,0,IF($F10=4,0,IF($F10=3,0,IF(OR(25&gt;$R10,BQ10&lt;=$I10),BQ10,BQ10-MIN(INT(ROUND(IF($F10=1,$C10*$J10,IF(FP10&gt;0,FP10*$K10,BQ10*$J10))*IF(25=$R10,$S10,12)/12,6)+$B$4),BQ10-$I10)))))</f>
        <v/>
      </c>
      <c r="BS10" s="68">
        <f>IF($U10=0,0,IF($F10=4,0,IF($F10=3,0,IF(OR(26&gt;$R10,BR10&lt;=$I10),BR10,BR10-MIN(INT(ROUND(IF($F10=1,$C10*$J10,IF(FQ10&gt;0,FQ10*$K10,BR10*$J10))*IF(26=$R10,$S10,12)/12,6)+$B$4),BR10-$I10)))))</f>
        <v/>
      </c>
      <c r="BT10" s="68">
        <f>IF($U10=0,0,IF($F10=4,0,IF($F10=3,0,IF(OR(27&gt;$R10,BS10&lt;=$I10),BS10,BS10-MIN(INT(ROUND(IF($F10=1,$C10*$J10,IF(FR10&gt;0,FR10*$K10,BS10*$J10))*IF(27=$R10,$S10,12)/12,6)+$B$4),BS10-$I10)))))</f>
        <v/>
      </c>
      <c r="BU10" s="68">
        <f>IF($U10=0,0,IF($F10=4,0,IF($F10=3,0,IF(OR(28&gt;$R10,BT10&lt;=$I10),BT10,BT10-MIN(INT(ROUND(IF($F10=1,$C10*$J10,IF(FS10&gt;0,FS10*$K10,BT10*$J10))*IF(28=$R10,$S10,12)/12,6)+$B$4),BT10-$I10)))))</f>
        <v/>
      </c>
      <c r="BV10" s="68">
        <f>IF($U10=0,0,IF($F10=4,0,IF($F10=3,0,IF(OR(29&gt;$R10,BU10&lt;=$I10),BU10,BU10-MIN(INT(ROUND(IF($F10=1,$C10*$J10,IF(FT10&gt;0,FT10*$K10,BU10*$J10))*IF(29=$R10,$S10,12)/12,6)+$B$4),BU10-$I10)))))</f>
        <v/>
      </c>
      <c r="BW10" s="68">
        <f>IF($U10=0,0,IF($F10=4,0,IF($F10=3,0,IF(OR(30&gt;$R10,BV10&lt;=$I10),BV10,BV10-MIN(INT(ROUND(IF($F10=1,$C10*$J10,IF(FU10&gt;0,FU10*$K10,BV10*$J10))*IF(30=$R10,$S10,12)/12,6)+$B$4),BV10-$I10)))))</f>
        <v/>
      </c>
      <c r="BX10" s="68">
        <f>IF($U10=0,0,IF($F10=4,0,IF($F10=3,0,IF(OR(31&gt;$R10,BW10&lt;=$I10),BW10,BW10-MIN(INT(ROUND(IF($F10=1,$C10*$J10,IF(FV10&gt;0,FV10*$K10,BW10*$J10))*IF(31=$R10,$S10,12)/12,6)+$B$4),BW10-$I10)))))</f>
        <v/>
      </c>
      <c r="BY10" s="68">
        <f>IF($U10=0,0,IF($F10=4,0,IF($F10=3,0,IF(OR(32&gt;$R10,BX10&lt;=$I10),BX10,BX10-MIN(INT(ROUND(IF($F10=1,$C10*$J10,IF(FW10&gt;0,FW10*$K10,BX10*$J10))*IF(32=$R10,$S10,12)/12,6)+$B$4),BX10-$I10)))))</f>
        <v/>
      </c>
      <c r="BZ10" s="68">
        <f>IF($U10=0,0,IF($F10=4,0,IF($F10=3,0,IF(OR(33&gt;$R10,BY10&lt;=$I10),BY10,BY10-MIN(INT(ROUND(IF($F10=1,$C10*$J10,IF(FX10&gt;0,FX10*$K10,BY10*$J10))*IF(33=$R10,$S10,12)/12,6)+$B$4),BY10-$I10)))))</f>
        <v/>
      </c>
      <c r="CA10" s="68">
        <f>IF($U10=0,0,IF($F10=4,0,IF($F10=3,0,IF(OR(34&gt;$R10,BZ10&lt;=$I10),BZ10,BZ10-MIN(INT(ROUND(IF($F10=1,$C10*$J10,IF(FY10&gt;0,FY10*$K10,BZ10*$J10))*IF(34=$R10,$S10,12)/12,6)+$B$4),BZ10-$I10)))))</f>
        <v/>
      </c>
      <c r="CB10" s="68">
        <f>IF($U10=0,0,IF($F10=4,0,IF($F10=3,0,IF(OR(35&gt;$R10,CA10&lt;=$I10),CA10,CA10-MIN(INT(ROUND(IF($F10=1,$C10*$J10,IF(FZ10&gt;0,FZ10*$K10,CA10*$J10))*IF(35=$R10,$S10,12)/12,6)+$B$4),CA10-$I10)))))</f>
        <v/>
      </c>
      <c r="CC10" s="68">
        <f>IF($U10=0,0,IF($F10=4,0,IF($F10=3,0,IF(OR(36&gt;$R10,CB10&lt;=$I10),CB10,CB10-MIN(INT(ROUND(IF($F10=1,$C10*$J10,IF(GA10&gt;0,GA10*$K10,CB10*$J10))*IF(36=$R10,$S10,12)/12,6)+$B$4),CB10-$I10)))))</f>
        <v/>
      </c>
      <c r="CD10" s="68">
        <f>IF($U10=0,0,IF($F10=4,0,IF($F10=3,0,IF(OR(37&gt;$R10,CC10&lt;=$I10),CC10,CC10-MIN(INT(ROUND(IF($F10=1,$C10*$J10,IF(GB10&gt;0,GB10*$K10,CC10*$J10))*IF(37=$R10,$S10,12)/12,6)+$B$4),CC10-$I10)))))</f>
        <v/>
      </c>
      <c r="CE10" s="68">
        <f>IF($U10=0,0,IF($F10=4,0,IF($F10=3,0,IF(OR(38&gt;$R10,CD10&lt;=$I10),CD10,CD10-MIN(INT(ROUND(IF($F10=1,$C10*$J10,IF(GC10&gt;0,GC10*$K10,CD10*$J10))*IF(38=$R10,$S10,12)/12,6)+$B$4),CD10-$I10)))))</f>
        <v/>
      </c>
      <c r="CF10" s="68">
        <f>IF($U10=0,0,IF($F10=4,0,IF($F10=3,0,IF(OR(39&gt;$R10,CE10&lt;=$I10),CE10,CE10-MIN(INT(ROUND(IF($F10=1,$C10*$J10,IF(GD10&gt;0,GD10*$K10,CE10*$J10))*IF(39=$R10,$S10,12)/12,6)+$B$4),CE10-$I10)))))</f>
        <v/>
      </c>
      <c r="CG10" s="68">
        <f>IF($U10=0,0,IF($F10=4,0,IF($F10=3,0,IF(OR(40&gt;$R10,CF10&lt;=$I10),CF10,CF10-MIN(INT(ROUND(IF($F10=1,$C10*$J10,IF(GE10&gt;0,GE10*$K10,CF10*$J10))*IF(40=$R10,$S10,12)/12,6)+$B$4),CF10-$I10)))))</f>
        <v/>
      </c>
      <c r="CH10" s="68">
        <f>IF($U10=0,0,IF($F10=4,0,IF($F10=3,0,IF(OR(41&gt;$R10,CG10&lt;=$I10),CG10,CG10-MIN(INT(ROUND(IF($F10=1,$C10*$J10,IF(GF10&gt;0,GF10*$K10,CG10*$J10))*IF(41=$R10,$S10,12)/12,6)+$B$4),CG10-$I10)))))</f>
        <v/>
      </c>
      <c r="CI10" s="68">
        <f>IF($U10=0,0,IF($F10=4,0,IF($F10=3,0,IF(OR(42&gt;$R10,CH10&lt;=$I10),CH10,CH10-MIN(INT(ROUND(IF($F10=1,$C10*$J10,IF(GG10&gt;0,GG10*$K10,CH10*$J10))*IF(42=$R10,$S10,12)/12,6)+$B$4),CH10-$I10)))))</f>
        <v/>
      </c>
      <c r="CJ10" s="68">
        <f>IF($U10=0,0,IF($F10=4,0,IF($F10=3,0,IF(OR(43&gt;$R10,CI10&lt;=$I10),CI10,CI10-MIN(INT(ROUND(IF($F10=1,$C10*$J10,IF(GH10&gt;0,GH10*$K10,CI10*$J10))*IF(43=$R10,$S10,12)/12,6)+$B$4),CI10-$I10)))))</f>
        <v/>
      </c>
      <c r="CK10" s="68">
        <f>IF($U10=0,0,IF($F10=4,0,IF($F10=3,0,IF(OR(44&gt;$R10,CJ10&lt;=$I10),CJ10,CJ10-MIN(INT(ROUND(IF($F10=1,$C10*$J10,IF(GI10&gt;0,GI10*$K10,CJ10*$J10))*IF(44=$R10,$S10,12)/12,6)+$B$4),CJ10-$I10)))))</f>
        <v/>
      </c>
      <c r="CL10" s="68">
        <f>IF($U10=0,0,IF($F10=4,0,IF($F10=3,0,IF(OR(45&gt;$R10,CK10&lt;=$I10),CK10,CK10-MIN(INT(ROUND(IF($F10=1,$C10*$J10,IF(GJ10&gt;0,GJ10*$K10,CK10*$J10))*IF(45=$R10,$S10,12)/12,6)+$B$4),CK10-$I10)))))</f>
        <v/>
      </c>
      <c r="CM10" s="68">
        <f>IF($U10=0,0,IF($F10=4,0,IF($F10=3,0,IF(OR(46&gt;$R10,CL10&lt;=$I10),CL10,CL10-MIN(INT(ROUND(IF($F10=1,$C10*$J10,IF(GK10&gt;0,GK10*$K10,CL10*$J10))*IF(46=$R10,$S10,12)/12,6)+$B$4),CL10-$I10)))))</f>
        <v/>
      </c>
      <c r="CN10" s="68">
        <f>IF($U10=0,0,IF($F10=4,0,IF($F10=3,0,IF(OR(47&gt;$R10,CM10&lt;=$I10),CM10,CM10-MIN(INT(ROUND(IF($F10=1,$C10*$J10,IF(GL10&gt;0,GL10*$K10,CM10*$J10))*IF(47=$R10,$S10,12)/12,6)+$B$4),CM10-$I10)))))</f>
        <v/>
      </c>
      <c r="CO10" s="68">
        <f>IF($U10=0,0,IF($F10=4,0,IF($F10=3,0,IF(OR(48&gt;$R10,CN10&lt;=$I10),CN10,CN10-MIN(INT(ROUND(IF($F10=1,$C10*$J10,IF(GM10&gt;0,GM10*$K10,CN10*$J10))*IF(48=$R10,$S10,12)/12,6)+$B$4),CN10-$I10)))))</f>
        <v/>
      </c>
      <c r="CP10" s="68">
        <f>IF($U10=0,0,IF($F10=4,0,IF($F10=3,0,IF(OR(49&gt;$R10,CO10&lt;=$I10),CO10,CO10-MIN(INT(ROUND(IF($F10=1,$C10*$J10,IF(GN10&gt;0,GN10*$K10,CO10*$J10))*IF(49=$R10,$S10,12)/12,6)+$B$4),CO10-$I10)))))</f>
        <v/>
      </c>
      <c r="CQ10" s="68">
        <f>IF($U10=0,0,IF($F10=4,0,IF($F10=3,0,IF(OR(50&gt;$R10,CP10&lt;=$I10),CP10,CP10-MIN(INT(ROUND(IF($F10=1,$C10*$J10,IF(GO10&gt;0,GO10*$K10,CP10*$J10))*IF(50=$R10,$S10,12)/12,6)+$B$4),CP10-$I10)))))</f>
        <v/>
      </c>
      <c r="CR10" s="68">
        <f>IF($U10=0,0,IF($F10=4,0,IF($F10=3,0,IF(OR(51&gt;$R10,CQ10&lt;=$I10),CQ10,CQ10-MIN(INT(ROUND(IF($F10=1,$C10*$J10,IF(GP10&gt;0,GP10*$K10,CQ10*$J10))*IF(51=$R10,$S10,12)/12,6)+$B$4),CQ10-$I10)))))</f>
        <v/>
      </c>
      <c r="CS10" s="68">
        <f>IF($U10=0,0,IF($F10=4,0,IF($F10=3,0,IF(OR(52&gt;$R10,CR10&lt;=$I10),CR10,CR10-MIN(INT(ROUND(IF($F10=1,$C10*$J10,IF(GQ10&gt;0,GQ10*$K10,CR10*$J10))*IF(52=$R10,$S10,12)/12,6)+$B$4),CR10-$I10)))))</f>
        <v/>
      </c>
      <c r="CT10" s="68">
        <f>IF($U10=0,0,IF($F10=4,0,IF($F10=3,0,IF(OR(53&gt;$R10,CS10&lt;=$I10),CS10,CS10-MIN(INT(ROUND(IF($F10=1,$C10*$J10,IF(GR10&gt;0,GR10*$K10,CS10*$J10))*IF(53=$R10,$S10,12)/12,6)+$B$4),CS10-$I10)))))</f>
        <v/>
      </c>
      <c r="CU10" s="68">
        <f>IF($U10=0,0,IF($F10=4,0,IF($F10=3,0,IF(OR(54&gt;$R10,CT10&lt;=$I10),CT10,CT10-MIN(INT(ROUND(IF($F10=1,$C10*$J10,IF(GS10&gt;0,GS10*$K10,CT10*$J10))*IF(54=$R10,$S10,12)/12,6)+$B$4),CT10-$I10)))))</f>
        <v/>
      </c>
      <c r="CV10" s="68">
        <f>IF($U10=0,0,IF($F10=4,0,IF($F10=3,0,IF(OR(55&gt;$R10,CU10&lt;=$I10),CU10,CU10-MIN(INT(ROUND(IF($F10=1,$C10*$J10,IF(GT10&gt;0,GT10*$K10,CU10*$J10))*IF(55=$R10,$S10,12)/12,6)+$B$4),CU10-$I10)))))</f>
        <v/>
      </c>
      <c r="CW10" s="68">
        <f>IF($U10=0,0,IF($F10=4,0,IF($F10=3,0,IF(OR(56&gt;$R10,CV10&lt;=$I10),CV10,CV10-MIN(INT(ROUND(IF($F10=1,$C10*$J10,IF(GU10&gt;0,GU10*$K10,CV10*$J10))*IF(56=$R10,$S10,12)/12,6)+$B$4),CV10-$I10)))))</f>
        <v/>
      </c>
      <c r="CX10" s="68">
        <f>IF($U10=0,0,IF($F10=4,0,IF($F10=3,0,IF(OR(57&gt;$R10,CW10&lt;=$I10),CW10,CW10-MIN(INT(ROUND(IF($F10=1,$C10*$J10,IF(GV10&gt;0,GV10*$K10,CW10*$J10))*IF(57=$R10,$S10,12)/12,6)+$B$4),CW10-$I10)))))</f>
        <v/>
      </c>
      <c r="CY10" s="68">
        <f>IF($U10=0,0,IF($F10=4,0,IF($F10=3,0,IF(OR(58&gt;$R10,CX10&lt;=$I10),CX10,CX10-MIN(INT(ROUND(IF($F10=1,$C10*$J10,IF(GW10&gt;0,GW10*$K10,CX10*$J10))*IF(58=$R10,$S10,12)/12,6)+$B$4),CX10-$I10)))))</f>
        <v/>
      </c>
      <c r="CZ10" s="68">
        <f>IF($U10=0,0,IF($F10=4,0,IF($F10=3,0,IF(OR(59&gt;$R10,CY10&lt;=$I10),CY10,CY10-MIN(INT(ROUND(IF($F10=1,$C10*$J10,IF(GX10&gt;0,GX10*$K10,CY10*$J10))*IF(59=$R10,$S10,12)/12,6)+$B$4),CY10-$I10)))))</f>
        <v/>
      </c>
      <c r="DA10" s="68">
        <f>IF($U10=0,0,IF($F10=4,0,IF($F10=3,0,IF(OR(60&gt;$R10,CZ10&lt;=$I10),CZ10,CZ10-MIN(INT(ROUND(IF($F10=1,$C10*$J10,IF(GY10&gt;0,GY10*$K10,CZ10*$J10))*IF(60=$R10,$S10,12)/12,6)+$B$4),CZ10-$I10)))))</f>
        <v/>
      </c>
      <c r="DB10" s="68">
        <f>IF($U10=0,0,IF($F10=4,0,IF($F10=3,0,IF(OR(61&gt;$R10,DA10&lt;=$I10),DA10,DA10-MIN(INT(ROUND(IF($F10=1,$C10*$J10,IF(GZ10&gt;0,GZ10*$K10,DA10*$J10))*IF(61=$R10,$S10,12)/12,6)+$B$4),DA10-$I10)))))</f>
        <v/>
      </c>
      <c r="DC10" s="68">
        <f>IF($U10=0,0,IF($F10=4,0,IF($F10=3,0,IF(OR(62&gt;$R10,DB10&lt;=$I10),DB10,DB10-MIN(INT(ROUND(IF($F10=1,$C10*$J10,IF(HA10&gt;0,HA10*$K10,DB10*$J10))*IF(62=$R10,$S10,12)/12,6)+$B$4),DB10-$I10)))))</f>
        <v/>
      </c>
      <c r="DD10" s="68">
        <f>IF($U10=0,0,IF($F10=4,0,IF($F10=3,0,IF(OR(63&gt;$R10,DC10&lt;=$I10),DC10,DC10-MIN(INT(ROUND(IF($F10=1,$C10*$J10,IF(HB10&gt;0,HB10*$K10,DC10*$J10))*IF(63=$R10,$S10,12)/12,6)+$B$4),DC10-$I10)))))</f>
        <v/>
      </c>
      <c r="DE10" s="68">
        <f>IF($U10=0,0,IF($F10=4,0,IF($F10=3,0,IF(OR(64&gt;$R10,DD10&lt;=$I10),DD10,DD10-MIN(INT(ROUND(IF($F10=1,$C10*$J10,IF(HC10&gt;0,HC10*$K10,DD10*$J10))*IF(64=$R10,$S10,12)/12,6)+$B$4),DD10-$I10)))))</f>
        <v/>
      </c>
      <c r="DF10" s="68">
        <f>IF($U10=0,0,IF($F10=4,0,IF($F10=3,0,IF(OR(65&gt;$R10,DE10&lt;=$I10),DE10,DE10-MIN(INT(ROUND(IF($F10=1,$C10*$J10,IF(HD10&gt;0,HD10*$K10,DE10*$J10))*IF(65=$R10,$S10,12)/12,6)+$B$4),DE10-$I10)))))</f>
        <v/>
      </c>
      <c r="DG10" s="68">
        <f>IF($U10=0,0,IF($F10=4,0,IF($F10=3,0,IF(OR(66&gt;$R10,DF10&lt;=$I10),DF10,DF10-MIN(INT(ROUND(IF($F10=1,$C10*$J10,IF(HE10&gt;0,HE10*$K10,DF10*$J10))*IF(66=$R10,$S10,12)/12,6)+$B$4),DF10-$I10)))))</f>
        <v/>
      </c>
      <c r="DH10" s="68">
        <f>IF($U10=0,0,IF($F10=4,0,IF($F10=3,0,IF(OR(67&gt;$R10,DG10&lt;=$I10),DG10,DG10-MIN(INT(ROUND(IF($F10=1,$C10*$J10,IF(HF10&gt;0,HF10*$K10,DG10*$J10))*IF(67=$R10,$S10,12)/12,6)+$B$4),DG10-$I10)))))</f>
        <v/>
      </c>
      <c r="DI10" s="68">
        <f>IF($U10=0,0,IF($F10=4,0,IF($F10=3,0,IF(OR(68&gt;$R10,DH10&lt;=$I10),DH10,DH10-MIN(INT(ROUND(IF($F10=1,$C10*$J10,IF(HG10&gt;0,HG10*$K10,DH10*$J10))*IF(68=$R10,$S10,12)/12,6)+$B$4),DH10-$I10)))))</f>
        <v/>
      </c>
      <c r="DJ10" s="68">
        <f>IF($U10=0,0,IF($F10=4,0,IF($F10=3,0,IF(OR(69&gt;$R10,DI10&lt;=$I10),DI10,DI10-MIN(INT(ROUND(IF($F10=1,$C10*$J10,IF(HH10&gt;0,HH10*$K10,DI10*$J10))*IF(69=$R10,$S10,12)/12,6)+$B$4),DI10-$I10)))))</f>
        <v/>
      </c>
      <c r="DK10" s="68">
        <f>IF($U10=0,0,IF($F10=4,0,IF($F10=3,0,IF(OR(70&gt;$R10,DJ10&lt;=$I10),DJ10,DJ10-MIN(INT(ROUND(IF($F10=1,$C10*$J10,IF(HI10&gt;0,HI10*$K10,DJ10*$J10))*IF(70=$R10,$S10,12)/12,6)+$B$4),DJ10-$I10)))))</f>
        <v/>
      </c>
      <c r="DL10" s="68">
        <f>IF($U10=0,0,IF($F10=4,0,IF($F10=3,0,IF(OR(71&gt;$R10,DK10&lt;=$I10),DK10,DK10-MIN(INT(ROUND(IF($F10=1,$C10*$J10,IF(HJ10&gt;0,HJ10*$K10,DK10*$J10))*IF(71=$R10,$S10,12)/12,6)+$B$4),DK10-$I10)))))</f>
        <v/>
      </c>
      <c r="DM10" s="68">
        <f>IF($U10=0,0,IF($F10=4,0,IF($F10=3,0,IF(OR(72&gt;$R10,DL10&lt;=$I10),DL10,DL10-MIN(INT(ROUND(IF($F10=1,$C10*$J10,IF(HK10&gt;0,HK10*$K10,DL10*$J10))*IF(72=$R10,$S10,12)/12,6)+$B$4),DL10-$I10)))))</f>
        <v/>
      </c>
      <c r="DN10" s="68">
        <f>IF($U10=0,0,IF($F10=4,0,IF($F10=3,0,IF(OR(73&gt;$R10,DM10&lt;=$I10),DM10,DM10-MIN(INT(ROUND(IF($F10=1,$C10*$J10,IF(HL10&gt;0,HL10*$K10,DM10*$J10))*IF(73=$R10,$S10,12)/12,6)+$B$4),DM10-$I10)))))</f>
        <v/>
      </c>
      <c r="DO10" s="68">
        <f>IF($U10=0,0,IF($F10=4,0,IF($F10=3,0,IF(OR(74&gt;$R10,DN10&lt;=$I10),DN10,DN10-MIN(INT(ROUND(IF($F10=1,$C10*$J10,IF(HM10&gt;0,HM10*$K10,DN10*$J10))*IF(74=$R10,$S10,12)/12,6)+$B$4),DN10-$I10)))))</f>
        <v/>
      </c>
      <c r="DP10" s="68">
        <f>IF($U10=0,0,IF($F10=4,0,IF($F10=3,0,IF(OR(75&gt;$R10,DO10&lt;=$I10),DO10,DO10-MIN(INT(ROUND(IF($F10=1,$C10*$J10,IF(HN10&gt;0,HN10*$K10,DO10*$J10))*IF(75=$R10,$S10,12)/12,6)+$B$4),DO10-$I10)))))</f>
        <v/>
      </c>
      <c r="DQ10" s="68">
        <f>IF($U10=0,0,IF($F10=4,0,IF($F10=3,0,IF(OR(76&gt;$R10,DP10&lt;=$I10),DP10,DP10-MIN(INT(ROUND(IF($F10=1,$C10*$J10,IF(HO10&gt;0,HO10*$K10,DP10*$J10))*IF(76=$R10,$S10,12)/12,6)+$B$4),DP10-$I10)))))</f>
        <v/>
      </c>
      <c r="DR10" s="68">
        <f>IF($U10=0,0,IF($F10=4,0,IF($F10=3,0,IF(OR(77&gt;$R10,DQ10&lt;=$I10),DQ10,DQ10-MIN(INT(ROUND(IF($F10=1,$C10*$J10,IF(HP10&gt;0,HP10*$K10,DQ10*$J10))*IF(77=$R10,$S10,12)/12,6)+$B$4),DQ10-$I10)))))</f>
        <v/>
      </c>
      <c r="DS10" s="68">
        <f>IF($U10=0,0,IF($F10=4,0,IF($F10=3,0,IF(OR(78&gt;$R10,DR10&lt;=$I10),DR10,DR10-MIN(INT(ROUND(IF($F10=1,$C10*$J10,IF(HQ10&gt;0,HQ10*$K10,DR10*$J10))*IF(78=$R10,$S10,12)/12,6)+$B$4),DR10-$I10)))))</f>
        <v/>
      </c>
      <c r="DT10" s="68">
        <f>IF($U10=0,0,IF($F10=4,0,IF($F10=3,0,IF(OR(79&gt;$R10,DS10&lt;=$I10),DS10,DS10-MIN(INT(ROUND(IF($F10=1,$C10*$J10,IF(HR10&gt;0,HR10*$K10,DS10*$J10))*IF(79=$R10,$S10,12)/12,6)+$B$4),DS10-$I10)))))</f>
        <v/>
      </c>
      <c r="DU10" s="68">
        <f>IF($U10=0,0,IF($F10=4,0,IF($F10=3,0,IF(OR(80&gt;$R10,DT10&lt;=$I10),DT10,DT10-MIN(INT(ROUND(IF($F10=1,$C10*$J10,IF(HS10&gt;0,HS10*$K10,DT10*$J10))*IF(80=$R10,$S10,12)/12,6)+$B$4),DT10-$I10)))))</f>
        <v/>
      </c>
      <c r="DV10" s="68">
        <f>IF($U10=0,0,IF($F10=4,0,IF($F10=3,0,IF(OR(81&gt;$R10,DU10&lt;=$I10),DU10,DU10-MIN(INT(ROUND(IF($F10=1,$C10*$J10,IF(HT10&gt;0,HT10*$K10,DU10*$J10))*IF(81=$R10,$S10,12)/12,6)+$B$4),DU10-$I10)))))</f>
        <v/>
      </c>
      <c r="DW10" s="68">
        <f>IF($U10=0,0,IF($F10=4,0,IF($F10=3,0,IF(OR(82&gt;$R10,DV10&lt;=$I10),DV10,DV10-MIN(INT(ROUND(IF($F10=1,$C10*$J10,IF(HU10&gt;0,HU10*$K10,DV10*$J10))*IF(82=$R10,$S10,12)/12,6)+$B$4),DV10-$I10)))))</f>
        <v/>
      </c>
      <c r="DX10" s="68">
        <f>IF($U10=0,0,IF($F10=4,0,IF($F10=3,0,IF(OR(83&gt;$R10,DW10&lt;=$I10),DW10,DW10-MIN(INT(ROUND(IF($F10=1,$C10*$J10,IF(HV10&gt;0,HV10*$K10,DW10*$J10))*IF(83=$R10,$S10,12)/12,6)+$B$4),DW10-$I10)))))</f>
        <v/>
      </c>
      <c r="DY10" s="68">
        <f>IF($U10=0,0,IF($F10=4,0,IF($F10=3,0,IF(OR(84&gt;$R10,DX10&lt;=$I10),DX10,DX10-MIN(INT(ROUND(IF($F10=1,$C10*$J10,IF(HW10&gt;0,HW10*$K10,DX10*$J10))*IF(84=$R10,$S10,12)/12,6)+$B$4),DX10-$I10)))))</f>
        <v/>
      </c>
      <c r="DZ10" s="68">
        <f>IF($U10=0,0,IF($F10=4,0,IF($F10=3,0,IF(OR(85&gt;$R10,DY10&lt;=$I10),DY10,DY10-MIN(INT(ROUND(IF($F10=1,$C10*$J10,IF(HX10&gt;0,HX10*$K10,DY10*$J10))*IF(85=$R10,$S10,12)/12,6)+$B$4),DY10-$I10)))))</f>
        <v/>
      </c>
      <c r="EA10" s="68">
        <f>IF($U10=0,0,IF($F10=4,0,IF($F10=3,0,IF(OR(86&gt;$R10,DZ10&lt;=$I10),DZ10,DZ10-MIN(INT(ROUND(IF($F10=1,$C10*$J10,IF(HY10&gt;0,HY10*$K10,DZ10*$J10))*IF(86=$R10,$S10,12)/12,6)+$B$4),DZ10-$I10)))))</f>
        <v/>
      </c>
      <c r="EB10" s="68">
        <f>IF($U10=0,0,IF($F10=4,0,IF($F10=3,0,IF(OR(87&gt;$R10,EA10&lt;=$I10),EA10,EA10-MIN(INT(ROUND(IF($F10=1,$C10*$J10,IF(HZ10&gt;0,HZ10*$K10,EA10*$J10))*IF(87=$R10,$S10,12)/12,6)+$B$4),EA10-$I10)))))</f>
        <v/>
      </c>
      <c r="EC10" s="68">
        <f>IF($U10=0,0,IF($F10=4,0,IF($F10=3,0,IF(OR(88&gt;$R10,EB10&lt;=$I10),EB10,EB10-MIN(INT(ROUND(IF($F10=1,$C10*$J10,IF(IA10&gt;0,IA10*$K10,EB10*$J10))*IF(88=$R10,$S10,12)/12,6)+$B$4),EB10-$I10)))))</f>
        <v/>
      </c>
      <c r="ED10" s="68">
        <f>IF($U10=0,0,IF($F10=4,0,IF($F10=3,0,IF(OR(89&gt;$R10,EC10&lt;=$I10),EC10,EC10-MIN(INT(ROUND(IF($F10=1,$C10*$J10,IF(IB10&gt;0,IB10*$K10,EC10*$J10))*IF(89=$R10,$S10,12)/12,6)+$B$4),EC10-$I10)))))</f>
        <v/>
      </c>
      <c r="EE10" s="68">
        <f>IF($U10=0,0,IF($F10=4,0,IF($F10=3,0,IF(OR(90&gt;$R10,ED10&lt;=$I10),ED10,ED10-MIN(INT(ROUND(IF($F10=1,$C10*$J10,IF(IC10&gt;0,IC10*$K10,ED10*$J10))*IF(90=$R10,$S10,12)/12,6)+$B$4),ED10-$I10)))))</f>
        <v/>
      </c>
      <c r="EF10" s="68">
        <f>IF($U10=0,0,IF($F10=4,0,IF($F10=3,0,IF(OR(91&gt;$R10,EE10&lt;=$I10),EE10,EE10-MIN(INT(ROUND(IF($F10=1,$C10*$J10,IF(ID10&gt;0,ID10*$K10,EE10*$J10))*IF(91=$R10,$S10,12)/12,6)+$B$4),EE10-$I10)))))</f>
        <v/>
      </c>
      <c r="EG10" s="68">
        <f>IF($U10=0,0,IF($F10=4,0,IF($F10=3,0,IF(OR(92&gt;$R10,EF10&lt;=$I10),EF10,EF10-MIN(INT(ROUND(IF($F10=1,$C10*$J10,IF(IE10&gt;0,IE10*$K10,EF10*$J10))*IF(92=$R10,$S10,12)/12,6)+$B$4),EF10-$I10)))))</f>
        <v/>
      </c>
      <c r="EH10" s="68">
        <f>IF($U10=0,0,IF($F10=4,0,IF($F10=3,0,IF(OR(93&gt;$R10,EG10&lt;=$I10),EG10,EG10-MIN(INT(ROUND(IF($F10=1,$C10*$J10,IF(IF10&gt;0,IF10*$K10,EG10*$J10))*IF(93=$R10,$S10,12)/12,6)+$B$4),EG10-$I10)))))</f>
        <v/>
      </c>
      <c r="EI10" s="68">
        <f>IF($U10=0,0,IF($F10=4,0,IF($F10=3,0,IF(OR(94&gt;$R10,EH10&lt;=$I10),EH10,EH10-MIN(INT(ROUND(IF($F10=1,$C10*$J10,IF(IG10&gt;0,IG10*$K10,EH10*$J10))*IF(94=$R10,$S10,12)/12,6)+$B$4),EH10-$I10)))))</f>
        <v/>
      </c>
      <c r="EJ10" s="68">
        <f>IF($U10=0,0,IF($F10=4,0,IF($F10=3,0,IF(OR(95&gt;$R10,EI10&lt;=$I10),EI10,EI10-MIN(INT(ROUND(IF($F10=1,$C10*$J10,IF(IH10&gt;0,IH10*$K10,EI10*$J10))*IF(95=$R10,$S10,12)/12,6)+$B$4),EI10-$I10)))))</f>
        <v/>
      </c>
      <c r="EK10" s="68">
        <f>IF($U10=0,0,IF($F10=4,0,IF($F10=3,0,IF(OR(96&gt;$R10,EJ10&lt;=$I10),EJ10,EJ10-MIN(INT(ROUND(IF($F10=1,$C10*$J10,IF(II10&gt;0,II10*$K10,EJ10*$J10))*IF(96=$R10,$S10,12)/12,6)+$B$4),EJ10-$I10)))))</f>
        <v/>
      </c>
      <c r="EL10" s="68">
        <f>IF($U10=0,0,IF($F10=4,0,IF($F10=3,0,IF(OR(97&gt;$R10,EK10&lt;=$I10),EK10,EK10-MIN(INT(ROUND(IF($F10=1,$C10*$J10,IF(IJ10&gt;0,IJ10*$K10,EK10*$J10))*IF(97=$R10,$S10,12)/12,6)+$B$4),EK10-$I10)))))</f>
        <v/>
      </c>
      <c r="EM10" s="68">
        <f>IF($U10=0,0,IF($F10=4,0,IF($F10=3,0,IF(OR(98&gt;$R10,EL10&lt;=$I10),EL10,EL10-MIN(INT(ROUND(IF($F10=1,$C10*$J10,IF(IK10&gt;0,IK10*$K10,EL10*$J10))*IF(98=$R10,$S10,12)/12,6)+$B$4),EL10-$I10)))))</f>
        <v/>
      </c>
      <c r="EN10" s="68">
        <f>IF($U10=0,0,IF($F10=4,0,IF($F10=3,0,IF(OR(99&gt;$R10,EM10&lt;=$I10),EM10,EM10-MIN(INT(ROUND(IF($F10=1,$C10*$J10,IF(IL10&gt;0,IL10*$K10,EM10*$J10))*IF(99=$R10,$S10,12)/12,6)+$B$4),EM10-$I10)))))</f>
        <v/>
      </c>
      <c r="EO10" s="68">
        <f>IF($U10=0,0,IF($F10=4,0,IF($F10=3,0,IF(OR(100&gt;$R10,EN10&lt;=$I10),EN10,EN10-MIN(INT(ROUND(IF($F10=1,$C10*$J10,IF(IM10&gt;0,IM10*$K10,EN10*$J10))*IF(100=$R10,$S10,12)/12,6)+$B$4),EN10-$I10)))))</f>
        <v/>
      </c>
      <c r="EP10" s="68">
        <f>IF($U10=0,0,IF($F10=4,0,IF($F10=3,0,IF(OR(101&gt;$R10,EO10&lt;=$I10),EO10,EO10-MIN(INT(ROUND(IF($F10=1,$C10*$J10,IF(IN10&gt;0,IN10*$K10,EO10*$J10))*IF(101=$R10,$S10,12)/12,6)+$B$4),EO10-$I10)))))</f>
        <v/>
      </c>
      <c r="EQ10" s="68" t="n"/>
      <c r="ER10" s="68">
        <f>IF(OR($U10=0,$F10&lt;&gt;2),0,IF(ROUND(AS10*$J10,6)&lt;ROUND($M10,6),AS10,0))</f>
        <v/>
      </c>
      <c r="ES10" s="68">
        <f>IF(OR($U10=0,$F10&lt;&gt;2),0,IF(ER10&gt;0,ER10,IF(ROUND(AT10*$J10,6)&lt;ROUND($M10,6),AT10,0)))</f>
        <v/>
      </c>
      <c r="ET10" s="68">
        <f>IF(OR($U10=0,$F10&lt;&gt;2),0,IF(ES10&gt;0,ES10,IF(ROUND(AU10*$J10,6)&lt;ROUND($M10,6),AU10,0)))</f>
        <v/>
      </c>
      <c r="EU10" s="68">
        <f>IF(OR($U10=0,$F10&lt;&gt;2),0,IF(ET10&gt;0,ET10,IF(ROUND(AV10*$J10,6)&lt;ROUND($M10,6),AV10,0)))</f>
        <v/>
      </c>
      <c r="EV10" s="68">
        <f>IF(OR($U10=0,$F10&lt;&gt;2),0,IF(EU10&gt;0,EU10,IF(ROUND(AW10*$J10,6)&lt;ROUND($M10,6),AW10,0)))</f>
        <v/>
      </c>
      <c r="EW10" s="68">
        <f>IF(OR($U10=0,$F10&lt;&gt;2),0,IF(EV10&gt;0,EV10,IF(ROUND(AX10*$J10,6)&lt;ROUND($M10,6),AX10,0)))</f>
        <v/>
      </c>
      <c r="EX10" s="68">
        <f>IF(OR($U10=0,$F10&lt;&gt;2),0,IF(EW10&gt;0,EW10,IF(ROUND(AY10*$J10,6)&lt;ROUND($M10,6),AY10,0)))</f>
        <v/>
      </c>
      <c r="EY10" s="68">
        <f>IF(OR($U10=0,$F10&lt;&gt;2),0,IF(EX10&gt;0,EX10,IF(ROUND(AZ10*$J10,6)&lt;ROUND($M10,6),AZ10,0)))</f>
        <v/>
      </c>
      <c r="EZ10" s="68">
        <f>IF(OR($U10=0,$F10&lt;&gt;2),0,IF(EY10&gt;0,EY10,IF(ROUND(BA10*$J10,6)&lt;ROUND($M10,6),BA10,0)))</f>
        <v/>
      </c>
      <c r="FA10" s="68">
        <f>IF(OR($U10=0,$F10&lt;&gt;2),0,IF(EZ10&gt;0,EZ10,IF(ROUND(BB10*$J10,6)&lt;ROUND($M10,6),BB10,0)))</f>
        <v/>
      </c>
      <c r="FB10" s="68">
        <f>IF(OR($U10=0,$F10&lt;&gt;2),0,IF(FA10&gt;0,FA10,IF(ROUND(BC10*$J10,6)&lt;ROUND($M10,6),BC10,0)))</f>
        <v/>
      </c>
      <c r="FC10" s="68">
        <f>IF(OR($U10=0,$F10&lt;&gt;2),0,IF(FB10&gt;0,FB10,IF(ROUND(BD10*$J10,6)&lt;ROUND($M10,6),BD10,0)))</f>
        <v/>
      </c>
      <c r="FD10" s="68">
        <f>IF(OR($U10=0,$F10&lt;&gt;2),0,IF(FC10&gt;0,FC10,IF(ROUND(BE10*$J10,6)&lt;ROUND($M10,6),BE10,0)))</f>
        <v/>
      </c>
      <c r="FE10" s="68">
        <f>IF(OR($U10=0,$F10&lt;&gt;2),0,IF(FD10&gt;0,FD10,IF(ROUND(BF10*$J10,6)&lt;ROUND($M10,6),BF10,0)))</f>
        <v/>
      </c>
      <c r="FF10" s="68">
        <f>IF(OR($U10=0,$F10&lt;&gt;2),0,IF(FE10&gt;0,FE10,IF(ROUND(BG10*$J10,6)&lt;ROUND($M10,6),BG10,0)))</f>
        <v/>
      </c>
      <c r="FG10" s="68">
        <f>IF(OR($U10=0,$F10&lt;&gt;2),0,IF(FF10&gt;0,FF10,IF(ROUND(BH10*$J10,6)&lt;ROUND($M10,6),BH10,0)))</f>
        <v/>
      </c>
      <c r="FH10" s="68">
        <f>IF(OR($U10=0,$F10&lt;&gt;2),0,IF(FG10&gt;0,FG10,IF(ROUND(BI10*$J10,6)&lt;ROUND($M10,6),BI10,0)))</f>
        <v/>
      </c>
      <c r="FI10" s="68">
        <f>IF(OR($U10=0,$F10&lt;&gt;2),0,IF(FH10&gt;0,FH10,IF(ROUND(BJ10*$J10,6)&lt;ROUND($M10,6),BJ10,0)))</f>
        <v/>
      </c>
      <c r="FJ10" s="68">
        <f>IF(OR($U10=0,$F10&lt;&gt;2),0,IF(FI10&gt;0,FI10,IF(ROUND(BK10*$J10,6)&lt;ROUND($M10,6),BK10,0)))</f>
        <v/>
      </c>
      <c r="FK10" s="68">
        <f>IF(OR($U10=0,$F10&lt;&gt;2),0,IF(FJ10&gt;0,FJ10,IF(ROUND(BL10*$J10,6)&lt;ROUND($M10,6),BL10,0)))</f>
        <v/>
      </c>
      <c r="FL10" s="68">
        <f>IF(OR($U10=0,$F10&lt;&gt;2),0,IF(FK10&gt;0,FK10,IF(ROUND(BM10*$J10,6)&lt;ROUND($M10,6),BM10,0)))</f>
        <v/>
      </c>
      <c r="FM10" s="68">
        <f>IF(OR($U10=0,$F10&lt;&gt;2),0,IF(FL10&gt;0,FL10,IF(ROUND(BN10*$J10,6)&lt;ROUND($M10,6),BN10,0)))</f>
        <v/>
      </c>
      <c r="FN10" s="68">
        <f>IF(OR($U10=0,$F10&lt;&gt;2),0,IF(FM10&gt;0,FM10,IF(ROUND(BO10*$J10,6)&lt;ROUND($M10,6),BO10,0)))</f>
        <v/>
      </c>
      <c r="FO10" s="68">
        <f>IF(OR($U10=0,$F10&lt;&gt;2),0,IF(FN10&gt;0,FN10,IF(ROUND(BP10*$J10,6)&lt;ROUND($M10,6),BP10,0)))</f>
        <v/>
      </c>
      <c r="FP10" s="68">
        <f>IF(OR($U10=0,$F10&lt;&gt;2),0,IF(FO10&gt;0,FO10,IF(ROUND(BQ10*$J10,6)&lt;ROUND($M10,6),BQ10,0)))</f>
        <v/>
      </c>
      <c r="FQ10" s="68">
        <f>IF(OR($U10=0,$F10&lt;&gt;2),0,IF(FP10&gt;0,FP10,IF(ROUND(BR10*$J10,6)&lt;ROUND($M10,6),BR10,0)))</f>
        <v/>
      </c>
      <c r="FR10" s="68">
        <f>IF(OR($U10=0,$F10&lt;&gt;2),0,IF(FQ10&gt;0,FQ10,IF(ROUND(BS10*$J10,6)&lt;ROUND($M10,6),BS10,0)))</f>
        <v/>
      </c>
      <c r="FS10" s="68">
        <f>IF(OR($U10=0,$F10&lt;&gt;2),0,IF(FR10&gt;0,FR10,IF(ROUND(BT10*$J10,6)&lt;ROUND($M10,6),BT10,0)))</f>
        <v/>
      </c>
      <c r="FT10" s="68">
        <f>IF(OR($U10=0,$F10&lt;&gt;2),0,IF(FS10&gt;0,FS10,IF(ROUND(BU10*$J10,6)&lt;ROUND($M10,6),BU10,0)))</f>
        <v/>
      </c>
      <c r="FU10" s="68">
        <f>IF(OR($U10=0,$F10&lt;&gt;2),0,IF(FT10&gt;0,FT10,IF(ROUND(BV10*$J10,6)&lt;ROUND($M10,6),BV10,0)))</f>
        <v/>
      </c>
      <c r="FV10" s="68">
        <f>IF(OR($U10=0,$F10&lt;&gt;2),0,IF(FU10&gt;0,FU10,IF(ROUND(BW10*$J10,6)&lt;ROUND($M10,6),BW10,0)))</f>
        <v/>
      </c>
      <c r="FW10" s="68">
        <f>IF(OR($U10=0,$F10&lt;&gt;2),0,IF(FV10&gt;0,FV10,IF(ROUND(BX10*$J10,6)&lt;ROUND($M10,6),BX10,0)))</f>
        <v/>
      </c>
      <c r="FX10" s="68">
        <f>IF(OR($U10=0,$F10&lt;&gt;2),0,IF(FW10&gt;0,FW10,IF(ROUND(BY10*$J10,6)&lt;ROUND($M10,6),BY10,0)))</f>
        <v/>
      </c>
      <c r="FY10" s="68">
        <f>IF(OR($U10=0,$F10&lt;&gt;2),0,IF(FX10&gt;0,FX10,IF(ROUND(BZ10*$J10,6)&lt;ROUND($M10,6),BZ10,0)))</f>
        <v/>
      </c>
      <c r="FZ10" s="68">
        <f>IF(OR($U10=0,$F10&lt;&gt;2),0,IF(FY10&gt;0,FY10,IF(ROUND(CA10*$J10,6)&lt;ROUND($M10,6),CA10,0)))</f>
        <v/>
      </c>
      <c r="GA10" s="68">
        <f>IF(OR($U10=0,$F10&lt;&gt;2),0,IF(FZ10&gt;0,FZ10,IF(ROUND(CB10*$J10,6)&lt;ROUND($M10,6),CB10,0)))</f>
        <v/>
      </c>
      <c r="GB10" s="68">
        <f>IF(OR($U10=0,$F10&lt;&gt;2),0,IF(GA10&gt;0,GA10,IF(ROUND(CC10*$J10,6)&lt;ROUND($M10,6),CC10,0)))</f>
        <v/>
      </c>
      <c r="GC10" s="68">
        <f>IF(OR($U10=0,$F10&lt;&gt;2),0,IF(GB10&gt;0,GB10,IF(ROUND(CD10*$J10,6)&lt;ROUND($M10,6),CD10,0)))</f>
        <v/>
      </c>
      <c r="GD10" s="68">
        <f>IF(OR($U10=0,$F10&lt;&gt;2),0,IF(GC10&gt;0,GC10,IF(ROUND(CE10*$J10,6)&lt;ROUND($M10,6),CE10,0)))</f>
        <v/>
      </c>
      <c r="GE10" s="68">
        <f>IF(OR($U10=0,$F10&lt;&gt;2),0,IF(GD10&gt;0,GD10,IF(ROUND(CF10*$J10,6)&lt;ROUND($M10,6),CF10,0)))</f>
        <v/>
      </c>
      <c r="GF10" s="68">
        <f>IF(OR($U10=0,$F10&lt;&gt;2),0,IF(GE10&gt;0,GE10,IF(ROUND(CG10*$J10,6)&lt;ROUND($M10,6),CG10,0)))</f>
        <v/>
      </c>
      <c r="GG10" s="68">
        <f>IF(OR($U10=0,$F10&lt;&gt;2),0,IF(GF10&gt;0,GF10,IF(ROUND(CH10*$J10,6)&lt;ROUND($M10,6),CH10,0)))</f>
        <v/>
      </c>
      <c r="GH10" s="68">
        <f>IF(OR($U10=0,$F10&lt;&gt;2),0,IF(GG10&gt;0,GG10,IF(ROUND(CI10*$J10,6)&lt;ROUND($M10,6),CI10,0)))</f>
        <v/>
      </c>
      <c r="GI10" s="68">
        <f>IF(OR($U10=0,$F10&lt;&gt;2),0,IF(GH10&gt;0,GH10,IF(ROUND(CJ10*$J10,6)&lt;ROUND($M10,6),CJ10,0)))</f>
        <v/>
      </c>
      <c r="GJ10" s="68">
        <f>IF(OR($U10=0,$F10&lt;&gt;2),0,IF(GI10&gt;0,GI10,IF(ROUND(CK10*$J10,6)&lt;ROUND($M10,6),CK10,0)))</f>
        <v/>
      </c>
      <c r="GK10" s="68">
        <f>IF(OR($U10=0,$F10&lt;&gt;2),0,IF(GJ10&gt;0,GJ10,IF(ROUND(CL10*$J10,6)&lt;ROUND($M10,6),CL10,0)))</f>
        <v/>
      </c>
      <c r="GL10" s="68">
        <f>IF(OR($U10=0,$F10&lt;&gt;2),0,IF(GK10&gt;0,GK10,IF(ROUND(CM10*$J10,6)&lt;ROUND($M10,6),CM10,0)))</f>
        <v/>
      </c>
      <c r="GM10" s="68">
        <f>IF(OR($U10=0,$F10&lt;&gt;2),0,IF(GL10&gt;0,GL10,IF(ROUND(CN10*$J10,6)&lt;ROUND($M10,6),CN10,0)))</f>
        <v/>
      </c>
      <c r="GN10" s="68">
        <f>IF(OR($U10=0,$F10&lt;&gt;2),0,IF(GM10&gt;0,GM10,IF(ROUND(CO10*$J10,6)&lt;ROUND($M10,6),CO10,0)))</f>
        <v/>
      </c>
      <c r="GO10" s="68">
        <f>IF(OR($U10=0,$F10&lt;&gt;2),0,IF(GN10&gt;0,GN10,IF(ROUND(CP10*$J10,6)&lt;ROUND($M10,6),CP10,0)))</f>
        <v/>
      </c>
      <c r="GP10" s="68">
        <f>IF(OR($U10=0,$F10&lt;&gt;2),0,IF(GO10&gt;0,GO10,IF(ROUND(CQ10*$J10,6)&lt;ROUND($M10,6),CQ10,0)))</f>
        <v/>
      </c>
      <c r="GQ10" s="68">
        <f>IF(OR($U10=0,$F10&lt;&gt;2),0,IF(GP10&gt;0,GP10,IF(ROUND(CR10*$J10,6)&lt;ROUND($M10,6),CR10,0)))</f>
        <v/>
      </c>
      <c r="GR10" s="68">
        <f>IF(OR($U10=0,$F10&lt;&gt;2),0,IF(GQ10&gt;0,GQ10,IF(ROUND(CS10*$J10,6)&lt;ROUND($M10,6),CS10,0)))</f>
        <v/>
      </c>
      <c r="GS10" s="68">
        <f>IF(OR($U10=0,$F10&lt;&gt;2),0,IF(GR10&gt;0,GR10,IF(ROUND(CT10*$J10,6)&lt;ROUND($M10,6),CT10,0)))</f>
        <v/>
      </c>
      <c r="GT10" s="68">
        <f>IF(OR($U10=0,$F10&lt;&gt;2),0,IF(GS10&gt;0,GS10,IF(ROUND(CU10*$J10,6)&lt;ROUND($M10,6),CU10,0)))</f>
        <v/>
      </c>
      <c r="GU10" s="68">
        <f>IF(OR($U10=0,$F10&lt;&gt;2),0,IF(GT10&gt;0,GT10,IF(ROUND(CV10*$J10,6)&lt;ROUND($M10,6),CV10,0)))</f>
        <v/>
      </c>
      <c r="GV10" s="68">
        <f>IF(OR($U10=0,$F10&lt;&gt;2),0,IF(GU10&gt;0,GU10,IF(ROUND(CW10*$J10,6)&lt;ROUND($M10,6),CW10,0)))</f>
        <v/>
      </c>
      <c r="GW10" s="68">
        <f>IF(OR($U10=0,$F10&lt;&gt;2),0,IF(GV10&gt;0,GV10,IF(ROUND(CX10*$J10,6)&lt;ROUND($M10,6),CX10,0)))</f>
        <v/>
      </c>
      <c r="GX10" s="68">
        <f>IF(OR($U10=0,$F10&lt;&gt;2),0,IF(GW10&gt;0,GW10,IF(ROUND(CY10*$J10,6)&lt;ROUND($M10,6),CY10,0)))</f>
        <v/>
      </c>
      <c r="GY10" s="68">
        <f>IF(OR($U10=0,$F10&lt;&gt;2),0,IF(GX10&gt;0,GX10,IF(ROUND(CZ10*$J10,6)&lt;ROUND($M10,6),CZ10,0)))</f>
        <v/>
      </c>
      <c r="GZ10" s="68">
        <f>IF(OR($U10=0,$F10&lt;&gt;2),0,IF(GY10&gt;0,GY10,IF(ROUND(DA10*$J10,6)&lt;ROUND($M10,6),DA10,0)))</f>
        <v/>
      </c>
      <c r="HA10" s="68">
        <f>IF(OR($U10=0,$F10&lt;&gt;2),0,IF(GZ10&gt;0,GZ10,IF(ROUND(DB10*$J10,6)&lt;ROUND($M10,6),DB10,0)))</f>
        <v/>
      </c>
      <c r="HB10" s="68">
        <f>IF(OR($U10=0,$F10&lt;&gt;2),0,IF(HA10&gt;0,HA10,IF(ROUND(DC10*$J10,6)&lt;ROUND($M10,6),DC10,0)))</f>
        <v/>
      </c>
      <c r="HC10" s="68">
        <f>IF(OR($U10=0,$F10&lt;&gt;2),0,IF(HB10&gt;0,HB10,IF(ROUND(DD10*$J10,6)&lt;ROUND($M10,6),DD10,0)))</f>
        <v/>
      </c>
      <c r="HD10" s="68">
        <f>IF(OR($U10=0,$F10&lt;&gt;2),0,IF(HC10&gt;0,HC10,IF(ROUND(DE10*$J10,6)&lt;ROUND($M10,6),DE10,0)))</f>
        <v/>
      </c>
      <c r="HE10" s="68">
        <f>IF(OR($U10=0,$F10&lt;&gt;2),0,IF(HD10&gt;0,HD10,IF(ROUND(DF10*$J10,6)&lt;ROUND($M10,6),DF10,0)))</f>
        <v/>
      </c>
      <c r="HF10" s="68">
        <f>IF(OR($U10=0,$F10&lt;&gt;2),0,IF(HE10&gt;0,HE10,IF(ROUND(DG10*$J10,6)&lt;ROUND($M10,6),DG10,0)))</f>
        <v/>
      </c>
      <c r="HG10" s="68">
        <f>IF(OR($U10=0,$F10&lt;&gt;2),0,IF(HF10&gt;0,HF10,IF(ROUND(DH10*$J10,6)&lt;ROUND($M10,6),DH10,0)))</f>
        <v/>
      </c>
      <c r="HH10" s="68">
        <f>IF(OR($U10=0,$F10&lt;&gt;2),0,IF(HG10&gt;0,HG10,IF(ROUND(DI10*$J10,6)&lt;ROUND($M10,6),DI10,0)))</f>
        <v/>
      </c>
      <c r="HI10" s="68">
        <f>IF(OR($U10=0,$F10&lt;&gt;2),0,IF(HH10&gt;0,HH10,IF(ROUND(DJ10*$J10,6)&lt;ROUND($M10,6),DJ10,0)))</f>
        <v/>
      </c>
      <c r="HJ10" s="68">
        <f>IF(OR($U10=0,$F10&lt;&gt;2),0,IF(HI10&gt;0,HI10,IF(ROUND(DK10*$J10,6)&lt;ROUND($M10,6),DK10,0)))</f>
        <v/>
      </c>
      <c r="HK10" s="68">
        <f>IF(OR($U10=0,$F10&lt;&gt;2),0,IF(HJ10&gt;0,HJ10,IF(ROUND(DL10*$J10,6)&lt;ROUND($M10,6),DL10,0)))</f>
        <v/>
      </c>
      <c r="HL10" s="68">
        <f>IF(OR($U10=0,$F10&lt;&gt;2),0,IF(HK10&gt;0,HK10,IF(ROUND(DM10*$J10,6)&lt;ROUND($M10,6),DM10,0)))</f>
        <v/>
      </c>
      <c r="HM10" s="68">
        <f>IF(OR($U10=0,$F10&lt;&gt;2),0,IF(HL10&gt;0,HL10,IF(ROUND(DN10*$J10,6)&lt;ROUND($M10,6),DN10,0)))</f>
        <v/>
      </c>
      <c r="HN10" s="68">
        <f>IF(OR($U10=0,$F10&lt;&gt;2),0,IF(HM10&gt;0,HM10,IF(ROUND(DO10*$J10,6)&lt;ROUND($M10,6),DO10,0)))</f>
        <v/>
      </c>
      <c r="HO10" s="68">
        <f>IF(OR($U10=0,$F10&lt;&gt;2),0,IF(HN10&gt;0,HN10,IF(ROUND(DP10*$J10,6)&lt;ROUND($M10,6),DP10,0)))</f>
        <v/>
      </c>
      <c r="HP10" s="68">
        <f>IF(OR($U10=0,$F10&lt;&gt;2),0,IF(HO10&gt;0,HO10,IF(ROUND(DQ10*$J10,6)&lt;ROUND($M10,6),DQ10,0)))</f>
        <v/>
      </c>
      <c r="HQ10" s="68">
        <f>IF(OR($U10=0,$F10&lt;&gt;2),0,IF(HP10&gt;0,HP10,IF(ROUND(DR10*$J10,6)&lt;ROUND($M10,6),DR10,0)))</f>
        <v/>
      </c>
      <c r="HR10" s="68">
        <f>IF(OR($U10=0,$F10&lt;&gt;2),0,IF(HQ10&gt;0,HQ10,IF(ROUND(DS10*$J10,6)&lt;ROUND($M10,6),DS10,0)))</f>
        <v/>
      </c>
      <c r="HS10" s="68">
        <f>IF(OR($U10=0,$F10&lt;&gt;2),0,IF(HR10&gt;0,HR10,IF(ROUND(DT10*$J10,6)&lt;ROUND($M10,6),DT10,0)))</f>
        <v/>
      </c>
      <c r="HT10" s="68">
        <f>IF(OR($U10=0,$F10&lt;&gt;2),0,IF(HS10&gt;0,HS10,IF(ROUND(DU10*$J10,6)&lt;ROUND($M10,6),DU10,0)))</f>
        <v/>
      </c>
      <c r="HU10" s="68">
        <f>IF(OR($U10=0,$F10&lt;&gt;2),0,IF(HT10&gt;0,HT10,IF(ROUND(DV10*$J10,6)&lt;ROUND($M10,6),DV10,0)))</f>
        <v/>
      </c>
      <c r="HV10" s="68">
        <f>IF(OR($U10=0,$F10&lt;&gt;2),0,IF(HU10&gt;0,HU10,IF(ROUND(DW10*$J10,6)&lt;ROUND($M10,6),DW10,0)))</f>
        <v/>
      </c>
      <c r="HW10" s="68">
        <f>IF(OR($U10=0,$F10&lt;&gt;2),0,IF(HV10&gt;0,HV10,IF(ROUND(DX10*$J10,6)&lt;ROUND($M10,6),DX10,0)))</f>
        <v/>
      </c>
      <c r="HX10" s="68">
        <f>IF(OR($U10=0,$F10&lt;&gt;2),0,IF(HW10&gt;0,HW10,IF(ROUND(DY10*$J10,6)&lt;ROUND($M10,6),DY10,0)))</f>
        <v/>
      </c>
      <c r="HY10" s="68">
        <f>IF(OR($U10=0,$F10&lt;&gt;2),0,IF(HX10&gt;0,HX10,IF(ROUND(DZ10*$J10,6)&lt;ROUND($M10,6),DZ10,0)))</f>
        <v/>
      </c>
      <c r="HZ10" s="68">
        <f>IF(OR($U10=0,$F10&lt;&gt;2),0,IF(HY10&gt;0,HY10,IF(ROUND(EA10*$J10,6)&lt;ROUND($M10,6),EA10,0)))</f>
        <v/>
      </c>
      <c r="IA10" s="68">
        <f>IF(OR($U10=0,$F10&lt;&gt;2),0,IF(HZ10&gt;0,HZ10,IF(ROUND(EB10*$J10,6)&lt;ROUND($M10,6),EB10,0)))</f>
        <v/>
      </c>
      <c r="IB10" s="68">
        <f>IF(OR($U10=0,$F10&lt;&gt;2),0,IF(IA10&gt;0,IA10,IF(ROUND(EC10*$J10,6)&lt;ROUND($M10,6),EC10,0)))</f>
        <v/>
      </c>
      <c r="IC10" s="68">
        <f>IF(OR($U10=0,$F10&lt;&gt;2),0,IF(IB10&gt;0,IB10,IF(ROUND(ED10*$J10,6)&lt;ROUND($M10,6),ED10,0)))</f>
        <v/>
      </c>
      <c r="ID10" s="68">
        <f>IF(OR($U10=0,$F10&lt;&gt;2),0,IF(IC10&gt;0,IC10,IF(ROUND(EE10*$J10,6)&lt;ROUND($M10,6),EE10,0)))</f>
        <v/>
      </c>
      <c r="IE10" s="68">
        <f>IF(OR($U10=0,$F10&lt;&gt;2),0,IF(ID10&gt;0,ID10,IF(ROUND(EF10*$J10,6)&lt;ROUND($M10,6),EF10,0)))</f>
        <v/>
      </c>
      <c r="IF10" s="68">
        <f>IF(OR($U10=0,$F10&lt;&gt;2),0,IF(IE10&gt;0,IE10,IF(ROUND(EG10*$J10,6)&lt;ROUND($M10,6),EG10,0)))</f>
        <v/>
      </c>
      <c r="IG10" s="68">
        <f>IF(OR($U10=0,$F10&lt;&gt;2),0,IF(IF10&gt;0,IF10,IF(ROUND(EH10*$J10,6)&lt;ROUND($M10,6),EH10,0)))</f>
        <v/>
      </c>
      <c r="IH10" s="68">
        <f>IF(OR($U10=0,$F10&lt;&gt;2),0,IF(IG10&gt;0,IG10,IF(ROUND(EI10*$J10,6)&lt;ROUND($M10,6),EI10,0)))</f>
        <v/>
      </c>
      <c r="II10" s="68">
        <f>IF(OR($U10=0,$F10&lt;&gt;2),0,IF(IH10&gt;0,IH10,IF(ROUND(EJ10*$J10,6)&lt;ROUND($M10,6),EJ10,0)))</f>
        <v/>
      </c>
      <c r="IJ10" s="68">
        <f>IF(OR($U10=0,$F10&lt;&gt;2),0,IF(II10&gt;0,II10,IF(ROUND(EK10*$J10,6)&lt;ROUND($M10,6),EK10,0)))</f>
        <v/>
      </c>
      <c r="IK10" s="68">
        <f>IF(OR($U10=0,$F10&lt;&gt;2),0,IF(IJ10&gt;0,IJ10,IF(ROUND(EL10*$J10,6)&lt;ROUND($M10,6),EL10,0)))</f>
        <v/>
      </c>
      <c r="IL10" s="68">
        <f>IF(OR($U10=0,$F10&lt;&gt;2),0,IF(IK10&gt;0,IK10,IF(ROUND(EM10*$J10,6)&lt;ROUND($M10,6),EM10,0)))</f>
        <v/>
      </c>
      <c r="IM10" s="68">
        <f>IF(OR($U10=0,$F10&lt;&gt;2),0,IF(IL10&gt;0,IL10,IF(ROUND(EN10*$J10,6)&lt;ROUND($M10,6),EN10,0)))</f>
        <v/>
      </c>
      <c r="IN10" s="68">
        <f>IF(OR($U10=0,$F10&lt;&gt;2),0,IF(IM10&gt;0,IM10,IF(ROUND(EO10*$J10,6)&lt;ROUND($M10,6),EO10,0)))</f>
        <v/>
      </c>
    </row>
    <row r="11">
      <c r="A11" s="68" t="n">
        <v>6</v>
      </c>
      <c r="B11" s="68">
        <f>IF(OR(TRIM('固定資産台帳'!$B11)&lt;&gt;"",'固定資産台帳'!$E11&lt;&gt;"",'固定資産台帳'!$G11&lt;&gt;"",'固定資産台帳'!$H11&lt;&gt;""),1,0)</f>
        <v/>
      </c>
      <c r="C11" s="68">
        <f>IF(ISNUMBER('固定資産台帳'!$G11),MAX(ROUND('固定資産台帳'!$G11,0),0),0)</f>
        <v/>
      </c>
      <c r="D11" s="84">
        <f>IF(ISNUMBER('固定資産台帳'!$E11),INT('固定資産台帳'!$E11),0)</f>
        <v/>
      </c>
      <c r="E11" s="84">
        <f>IF(ISNUMBER('固定資産台帳'!$F11),INT('固定資産台帳'!$F11),$D11)</f>
        <v/>
      </c>
      <c r="F11" s="68">
        <f>IF('固定資産台帳'!$H11="定額法",1,IF(OR('固定資産台帳'!$H11="定率法",'固定資産台帳'!$H11="定率法（200%）",'固定資産台帳'!$H11="定率法（250%）"),2,IF('固定資産台帳'!$H11="一括償却（3年）",3,IF('固定資産台帳'!$H11="少額特例",4,0))))</f>
        <v/>
      </c>
      <c r="G11" s="68">
        <f>IF('固定資産台帳'!$H11="定率法（250%）",250,IF('固定資産台帳'!$H11="定率法（200%）",200,IF($D11&gt;=DATE(2012,4,1),200,250)))</f>
        <v/>
      </c>
      <c r="H11" s="68">
        <f>IF(ISNUMBER('固定資産台帳'!$I11),IF(AND('固定資産台帳'!$I11&gt;=2,'固定資産台帳'!$I11&lt;=100,'固定資産台帳'!$I11=INT('固定資産台帳'!$I11)),'固定資産台帳'!$I11,0),0)</f>
        <v/>
      </c>
      <c r="I11" s="68">
        <f>IF('固定資産台帳'!$C11="無形固定資産",0,1)</f>
        <v/>
      </c>
      <c r="J11" s="68">
        <f>IF(OR($H11=0,$F11=0,$F11&gt;2),0,IF($F11=1,INDEX('償却率表'!$B$6:$B$104,$H11-1),IF($G11=200,INDEX('償却率表'!$C$6:$C$104,$H11-1),INDEX('償却率表'!$F$6:$F$104,$H11-1))))</f>
        <v/>
      </c>
      <c r="K11" s="68">
        <f>IF(AND($F11=2,$H11&gt;0),IF($G11=200,INDEX('償却率表'!$D$6:$D$104,$H11-1),INDEX('償却率表'!$G$6:$G$104,$H11-1)),0)</f>
        <v/>
      </c>
      <c r="L11" s="68">
        <f>IF(AND($F11=2,$H11&gt;0),IF($G11=200,INDEX('償却率表'!$E$6:$E$104,$H11-1),INDEX('償却率表'!$H$6:$H$104,$H11-1)),0)</f>
        <v/>
      </c>
      <c r="M11" s="68">
        <f>$C11*$L11</f>
        <v/>
      </c>
      <c r="N11" s="68">
        <f>IF($B$1=1,1,IF('固定資産台帳'!$J11="",1,IF(ISNUMBER('固定資産台帳'!$J11),IF(AND('固定資産台帳'!$J11&gt;0,'固定資産台帳'!$J11&lt;=1),'固定資産台帳'!$J11,0),0)))</f>
        <v/>
      </c>
      <c r="O11" s="68">
        <f>IF($E11=0,0,YEAR($E11)-IF(MONTH($E11)&lt;$B$2,1,0))</f>
        <v/>
      </c>
      <c r="P11" s="68">
        <f>IF($E11=0,0,12-MOD(MONTH($E11)-$B$2,12))</f>
        <v/>
      </c>
      <c r="Q11" s="84">
        <f>IF(ISNUMBER('固定資産台帳'!$K11),INT('固定資産台帳'!$K11),0)</f>
        <v/>
      </c>
      <c r="R11" s="68">
        <f>IF(OR($Q11=0,$E11=0),999,YEAR($Q11)-IF(MONTH($Q11)&lt;$B$2,1,0)-$O11)</f>
        <v/>
      </c>
      <c r="S11" s="68">
        <f>IF($R11=999,0,MOD(MONTH($Q11)-$B$2,12)+1-IF($R11=0,12-$P11,0))</f>
        <v/>
      </c>
      <c r="T11" s="68">
        <f>IF($B11=0,0,IF($C11&lt;=0,1,IF($D11=0,2,IF($F11=0,3,IF(AND($F11&lt;=2,$H11=0),4,IF(AND($F11&lt;=2,$D11&lt;DATE(2007,4,1)),5,IF($E11&lt;$D11,6,IF(AND($Q11&gt;0,$Q11&lt;$E11),7,IF($N11=0,8,IF($B$3=0,9,0))))))))))</f>
        <v/>
      </c>
      <c r="U11" s="68">
        <f>IF(AND($B11=1,$T11=0),1,0)</f>
        <v/>
      </c>
      <c r="V11" s="68">
        <f>$B$3-$O11</f>
        <v/>
      </c>
      <c r="W11" s="68">
        <f>IF(AND($U11=1,$V11&gt;=0),1,0)</f>
        <v/>
      </c>
      <c r="X11" s="68">
        <f>IF($W11=0,0,IF($V11=0,$C11,INDEX($AS11:$EP11,MIN($V11,102))))</f>
        <v/>
      </c>
      <c r="Y11" s="68">
        <f>IF($W11=0,0,INDEX($AS11:$EP11,MIN($V11,101)+1))</f>
        <v/>
      </c>
      <c r="Z11" s="68">
        <f>$X11-$Y11</f>
        <v/>
      </c>
      <c r="AA11" s="68">
        <f>IF(AND($W11=1,$F11=2,$V11&gt;=1),INDEX($ER11:$IN11,MIN($V11,101)),0)</f>
        <v/>
      </c>
      <c r="AB11" s="68">
        <f>IF(OR($W11=0,$F11&gt;2,$Z11=0),0,IF($V11=0,IF($R11=0,$S11,$P11),IF($V11=$R11,$S11,12)))</f>
        <v/>
      </c>
      <c r="AC11" s="68">
        <f>IF($W11=0,0,INT(ROUND($Z11*$N11,6)+$B$4))</f>
        <v/>
      </c>
      <c r="AD11" s="68">
        <f>IF(AND($W11=1,$F11&lt;=2,$V11=$R11),1,0)</f>
        <v/>
      </c>
      <c r="AE11" s="68">
        <f>IF(AND($W11=1,$F11&lt;=2,$V11&gt;$R11),1,0)</f>
        <v/>
      </c>
      <c r="AF11" s="68">
        <f>IF(AND($W11=1,$AE11=0,OR($Z11&gt;0,$AD11=1)),1,0)</f>
        <v/>
      </c>
      <c r="AG11" s="68">
        <f>IF($AF11=1,SUM($AF$6:$AF11),0)</f>
        <v/>
      </c>
      <c r="AH11" s="68">
        <f>IF($T11=0,"",CHOOSE($T11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1" s="68">
        <f>IF(AND($F11=2,OR('固定資産台帳'!$C11="建物",'固定資産台帳'!$C11="無形固定資産",AND(OR('固定資産台帳'!$C11="建物附属設備",'固定資産台帳'!$C11="構築物"),$D11&gt;=DATE(2016,4,1)))),"この資産は定額法だけです（定率法は使えません）。","")&amp;IF(AND($F11=3,$C11&gt;=200000),"一括償却は20万円未満の資産だけです。","")&amp;IF(AND($F11=3,$B$1=0,$C11&lt;100000),"10万円未満は一括償却にせず、全額をその年の経費にします。","")&amp;IF(AND($F11=4,$C11&lt;100000),"10万円未満は少額特例ではなく、全額をその年の経費にします。","")&amp;IF(AND($F11=4,$D11&lt;DATE(2026,4,1),$C11&gt;=300000),"2026年3月31日までの取得で少額特例が使えるのは30万円未満です。","")&amp;IF(AND($F11=4,$D11&gt;=DATE(2026,4,1),$C11&gt;=400000),"少額特例は40万円未満の資産だけです。","")&amp;IF(AND($F11=4,OR($D11&lt;DATE(2006,4,1),$D11&gt;DATE(2029,3,31))),"少額特例は2006年4月1日〜2029年3月31日に取得した資産だけです。","")&amp;IF(AND($F11=2,$G11=250,$D11&gt;DATE(2012,12,31)),"250%定率法は2012年12月31日までの取得だけです。","")</f>
        <v/>
      </c>
      <c r="AJ11" s="68">
        <f>IF(AND($F11=2,'固定資産台帳'!$H11="定率法（200%）",$D11&lt;DATE(2012,4,1)),"2012年3月31日までの取得に200%を使うのは、経過措置の届出をした場合です。","")&amp;IF(AND($F11=2,'固定資産台帳'!$H11="定率法（250%）",$D11&gt;=DATE(2012,4,1),$D11&lt;=DATE(2012,12,31)),"2012年4〜12月の取得に250%を使うのは、経過措置を選んだ場合です。","")</f>
        <v/>
      </c>
      <c r="AK11" s="68">
        <f>IF($U11=0,"",IF($V11&lt;0,"表示している年より後に使い始める資産です。",IF($AE11=1,"売却・除却済みです。",IF($AD11=1,"この年に売却・除却。期末の帳簿価額 "&amp;TEXT($Y11,"#,##0")&amp;"円を帳簿から外します。",IF($F11=4,IF($V11=0,"少額特例：この年に全額を経費にします。","少額特例で経費にした資産です。"),IF($F11=3,IF($V11&gt;2,"一括償却は終わっています。","一括償却 "&amp;($V11+1)&amp;"年目（3年のうち）。"),IF($Z11=0,"償却済み（帳簿価額 "&amp;TEXT($Y11,"#,##0")&amp;"円）。",IF($AA11&gt;0,"改定償却率で計算（改定取得価額 "&amp;TEXT($AA11,"#,##0")&amp;"円）。",IF($V11=0,"この年に使い始め（"&amp;$AB11&amp;"か月分）。","")))))))))</f>
        <v/>
      </c>
      <c r="AL11" s="68">
        <f>IF(AND($U11=1,$F11=4,$V11=0),$C11,0)</f>
        <v/>
      </c>
      <c r="AM11" s="68">
        <f>IF($F11=2,INT(ROUND($M11,6)+$B$4),0)</f>
        <v/>
      </c>
      <c r="AN11" s="68">
        <f>IF($W11=0,0,IF($F11=2,IF($AA11&gt;0,$AA11,$X11),$C11))</f>
        <v/>
      </c>
      <c r="AO11" s="68">
        <f>IF($W11=0,"",IF($F11=3,"1/3",IF($F11=4,"―",IF($AA11&gt;0,$K11,$J11))))</f>
        <v/>
      </c>
      <c r="AP11" s="68" t="n"/>
      <c r="AQ11" s="68" t="n"/>
      <c r="AR11" s="68" t="n"/>
      <c r="AS11" s="68">
        <f>IF($U11=0,0,IF($F11=4,0,IF($F11=3,MAX($C11-INT(ROUND($C11/3,6)+$B$4),0),$C11-MIN(INT(ROUND($C11*$J11*IF($R11=0,$S11,$P11)/12,6)+$B$4),MAX($C11-$I11,0)))))</f>
        <v/>
      </c>
      <c r="AT11" s="68">
        <f>IF($U11=0,0,IF($F11=4,0,IF($F11=3,AS11-MIN(INT(ROUND($C11/3,6)+$B$4),AS11),IF(OR(1&gt;$R11,AS11&lt;=$I11),AS11,AS11-MIN(INT(ROUND(IF($F11=1,$C11*$J11,IF(ER11&gt;0,ER11*$K11,AS11*$J11))*IF(1=$R11,$S11,12)/12,6)+$B$4),AS11-$I11)))))</f>
        <v/>
      </c>
      <c r="AU11" s="68">
        <f>IF($U11=0,0,IF($F11=4,0,IF($F11=3,0,IF(OR(2&gt;$R11,AT11&lt;=$I11),AT11,AT11-MIN(INT(ROUND(IF($F11=1,$C11*$J11,IF(ES11&gt;0,ES11*$K11,AT11*$J11))*IF(2=$R11,$S11,12)/12,6)+$B$4),AT11-$I11)))))</f>
        <v/>
      </c>
      <c r="AV11" s="68">
        <f>IF($U11=0,0,IF($F11=4,0,IF($F11=3,0,IF(OR(3&gt;$R11,AU11&lt;=$I11),AU11,AU11-MIN(INT(ROUND(IF($F11=1,$C11*$J11,IF(ET11&gt;0,ET11*$K11,AU11*$J11))*IF(3=$R11,$S11,12)/12,6)+$B$4),AU11-$I11)))))</f>
        <v/>
      </c>
      <c r="AW11" s="68">
        <f>IF($U11=0,0,IF($F11=4,0,IF($F11=3,0,IF(OR(4&gt;$R11,AV11&lt;=$I11),AV11,AV11-MIN(INT(ROUND(IF($F11=1,$C11*$J11,IF(EU11&gt;0,EU11*$K11,AV11*$J11))*IF(4=$R11,$S11,12)/12,6)+$B$4),AV11-$I11)))))</f>
        <v/>
      </c>
      <c r="AX11" s="68">
        <f>IF($U11=0,0,IF($F11=4,0,IF($F11=3,0,IF(OR(5&gt;$R11,AW11&lt;=$I11),AW11,AW11-MIN(INT(ROUND(IF($F11=1,$C11*$J11,IF(EV11&gt;0,EV11*$K11,AW11*$J11))*IF(5=$R11,$S11,12)/12,6)+$B$4),AW11-$I11)))))</f>
        <v/>
      </c>
      <c r="AY11" s="68">
        <f>IF($U11=0,0,IF($F11=4,0,IF($F11=3,0,IF(OR(6&gt;$R11,AX11&lt;=$I11),AX11,AX11-MIN(INT(ROUND(IF($F11=1,$C11*$J11,IF(EW11&gt;0,EW11*$K11,AX11*$J11))*IF(6=$R11,$S11,12)/12,6)+$B$4),AX11-$I11)))))</f>
        <v/>
      </c>
      <c r="AZ11" s="68">
        <f>IF($U11=0,0,IF($F11=4,0,IF($F11=3,0,IF(OR(7&gt;$R11,AY11&lt;=$I11),AY11,AY11-MIN(INT(ROUND(IF($F11=1,$C11*$J11,IF(EX11&gt;0,EX11*$K11,AY11*$J11))*IF(7=$R11,$S11,12)/12,6)+$B$4),AY11-$I11)))))</f>
        <v/>
      </c>
      <c r="BA11" s="68">
        <f>IF($U11=0,0,IF($F11=4,0,IF($F11=3,0,IF(OR(8&gt;$R11,AZ11&lt;=$I11),AZ11,AZ11-MIN(INT(ROUND(IF($F11=1,$C11*$J11,IF(EY11&gt;0,EY11*$K11,AZ11*$J11))*IF(8=$R11,$S11,12)/12,6)+$B$4),AZ11-$I11)))))</f>
        <v/>
      </c>
      <c r="BB11" s="68">
        <f>IF($U11=0,0,IF($F11=4,0,IF($F11=3,0,IF(OR(9&gt;$R11,BA11&lt;=$I11),BA11,BA11-MIN(INT(ROUND(IF($F11=1,$C11*$J11,IF(EZ11&gt;0,EZ11*$K11,BA11*$J11))*IF(9=$R11,$S11,12)/12,6)+$B$4),BA11-$I11)))))</f>
        <v/>
      </c>
      <c r="BC11" s="68">
        <f>IF($U11=0,0,IF($F11=4,0,IF($F11=3,0,IF(OR(10&gt;$R11,BB11&lt;=$I11),BB11,BB11-MIN(INT(ROUND(IF($F11=1,$C11*$J11,IF(FA11&gt;0,FA11*$K11,BB11*$J11))*IF(10=$R11,$S11,12)/12,6)+$B$4),BB11-$I11)))))</f>
        <v/>
      </c>
      <c r="BD11" s="68">
        <f>IF($U11=0,0,IF($F11=4,0,IF($F11=3,0,IF(OR(11&gt;$R11,BC11&lt;=$I11),BC11,BC11-MIN(INT(ROUND(IF($F11=1,$C11*$J11,IF(FB11&gt;0,FB11*$K11,BC11*$J11))*IF(11=$R11,$S11,12)/12,6)+$B$4),BC11-$I11)))))</f>
        <v/>
      </c>
      <c r="BE11" s="68">
        <f>IF($U11=0,0,IF($F11=4,0,IF($F11=3,0,IF(OR(12&gt;$R11,BD11&lt;=$I11),BD11,BD11-MIN(INT(ROUND(IF($F11=1,$C11*$J11,IF(FC11&gt;0,FC11*$K11,BD11*$J11))*IF(12=$R11,$S11,12)/12,6)+$B$4),BD11-$I11)))))</f>
        <v/>
      </c>
      <c r="BF11" s="68">
        <f>IF($U11=0,0,IF($F11=4,0,IF($F11=3,0,IF(OR(13&gt;$R11,BE11&lt;=$I11),BE11,BE11-MIN(INT(ROUND(IF($F11=1,$C11*$J11,IF(FD11&gt;0,FD11*$K11,BE11*$J11))*IF(13=$R11,$S11,12)/12,6)+$B$4),BE11-$I11)))))</f>
        <v/>
      </c>
      <c r="BG11" s="68">
        <f>IF($U11=0,0,IF($F11=4,0,IF($F11=3,0,IF(OR(14&gt;$R11,BF11&lt;=$I11),BF11,BF11-MIN(INT(ROUND(IF($F11=1,$C11*$J11,IF(FE11&gt;0,FE11*$K11,BF11*$J11))*IF(14=$R11,$S11,12)/12,6)+$B$4),BF11-$I11)))))</f>
        <v/>
      </c>
      <c r="BH11" s="68">
        <f>IF($U11=0,0,IF($F11=4,0,IF($F11=3,0,IF(OR(15&gt;$R11,BG11&lt;=$I11),BG11,BG11-MIN(INT(ROUND(IF($F11=1,$C11*$J11,IF(FF11&gt;0,FF11*$K11,BG11*$J11))*IF(15=$R11,$S11,12)/12,6)+$B$4),BG11-$I11)))))</f>
        <v/>
      </c>
      <c r="BI11" s="68">
        <f>IF($U11=0,0,IF($F11=4,0,IF($F11=3,0,IF(OR(16&gt;$R11,BH11&lt;=$I11),BH11,BH11-MIN(INT(ROUND(IF($F11=1,$C11*$J11,IF(FG11&gt;0,FG11*$K11,BH11*$J11))*IF(16=$R11,$S11,12)/12,6)+$B$4),BH11-$I11)))))</f>
        <v/>
      </c>
      <c r="BJ11" s="68">
        <f>IF($U11=0,0,IF($F11=4,0,IF($F11=3,0,IF(OR(17&gt;$R11,BI11&lt;=$I11),BI11,BI11-MIN(INT(ROUND(IF($F11=1,$C11*$J11,IF(FH11&gt;0,FH11*$K11,BI11*$J11))*IF(17=$R11,$S11,12)/12,6)+$B$4),BI11-$I11)))))</f>
        <v/>
      </c>
      <c r="BK11" s="68">
        <f>IF($U11=0,0,IF($F11=4,0,IF($F11=3,0,IF(OR(18&gt;$R11,BJ11&lt;=$I11),BJ11,BJ11-MIN(INT(ROUND(IF($F11=1,$C11*$J11,IF(FI11&gt;0,FI11*$K11,BJ11*$J11))*IF(18=$R11,$S11,12)/12,6)+$B$4),BJ11-$I11)))))</f>
        <v/>
      </c>
      <c r="BL11" s="68">
        <f>IF($U11=0,0,IF($F11=4,0,IF($F11=3,0,IF(OR(19&gt;$R11,BK11&lt;=$I11),BK11,BK11-MIN(INT(ROUND(IF($F11=1,$C11*$J11,IF(FJ11&gt;0,FJ11*$K11,BK11*$J11))*IF(19=$R11,$S11,12)/12,6)+$B$4),BK11-$I11)))))</f>
        <v/>
      </c>
      <c r="BM11" s="68">
        <f>IF($U11=0,0,IF($F11=4,0,IF($F11=3,0,IF(OR(20&gt;$R11,BL11&lt;=$I11),BL11,BL11-MIN(INT(ROUND(IF($F11=1,$C11*$J11,IF(FK11&gt;0,FK11*$K11,BL11*$J11))*IF(20=$R11,$S11,12)/12,6)+$B$4),BL11-$I11)))))</f>
        <v/>
      </c>
      <c r="BN11" s="68">
        <f>IF($U11=0,0,IF($F11=4,0,IF($F11=3,0,IF(OR(21&gt;$R11,BM11&lt;=$I11),BM11,BM11-MIN(INT(ROUND(IF($F11=1,$C11*$J11,IF(FL11&gt;0,FL11*$K11,BM11*$J11))*IF(21=$R11,$S11,12)/12,6)+$B$4),BM11-$I11)))))</f>
        <v/>
      </c>
      <c r="BO11" s="68">
        <f>IF($U11=0,0,IF($F11=4,0,IF($F11=3,0,IF(OR(22&gt;$R11,BN11&lt;=$I11),BN11,BN11-MIN(INT(ROUND(IF($F11=1,$C11*$J11,IF(FM11&gt;0,FM11*$K11,BN11*$J11))*IF(22=$R11,$S11,12)/12,6)+$B$4),BN11-$I11)))))</f>
        <v/>
      </c>
      <c r="BP11" s="68">
        <f>IF($U11=0,0,IF($F11=4,0,IF($F11=3,0,IF(OR(23&gt;$R11,BO11&lt;=$I11),BO11,BO11-MIN(INT(ROUND(IF($F11=1,$C11*$J11,IF(FN11&gt;0,FN11*$K11,BO11*$J11))*IF(23=$R11,$S11,12)/12,6)+$B$4),BO11-$I11)))))</f>
        <v/>
      </c>
      <c r="BQ11" s="68">
        <f>IF($U11=0,0,IF($F11=4,0,IF($F11=3,0,IF(OR(24&gt;$R11,BP11&lt;=$I11),BP11,BP11-MIN(INT(ROUND(IF($F11=1,$C11*$J11,IF(FO11&gt;0,FO11*$K11,BP11*$J11))*IF(24=$R11,$S11,12)/12,6)+$B$4),BP11-$I11)))))</f>
        <v/>
      </c>
      <c r="BR11" s="68">
        <f>IF($U11=0,0,IF($F11=4,0,IF($F11=3,0,IF(OR(25&gt;$R11,BQ11&lt;=$I11),BQ11,BQ11-MIN(INT(ROUND(IF($F11=1,$C11*$J11,IF(FP11&gt;0,FP11*$K11,BQ11*$J11))*IF(25=$R11,$S11,12)/12,6)+$B$4),BQ11-$I11)))))</f>
        <v/>
      </c>
      <c r="BS11" s="68">
        <f>IF($U11=0,0,IF($F11=4,0,IF($F11=3,0,IF(OR(26&gt;$R11,BR11&lt;=$I11),BR11,BR11-MIN(INT(ROUND(IF($F11=1,$C11*$J11,IF(FQ11&gt;0,FQ11*$K11,BR11*$J11))*IF(26=$R11,$S11,12)/12,6)+$B$4),BR11-$I11)))))</f>
        <v/>
      </c>
      <c r="BT11" s="68">
        <f>IF($U11=0,0,IF($F11=4,0,IF($F11=3,0,IF(OR(27&gt;$R11,BS11&lt;=$I11),BS11,BS11-MIN(INT(ROUND(IF($F11=1,$C11*$J11,IF(FR11&gt;0,FR11*$K11,BS11*$J11))*IF(27=$R11,$S11,12)/12,6)+$B$4),BS11-$I11)))))</f>
        <v/>
      </c>
      <c r="BU11" s="68">
        <f>IF($U11=0,0,IF($F11=4,0,IF($F11=3,0,IF(OR(28&gt;$R11,BT11&lt;=$I11),BT11,BT11-MIN(INT(ROUND(IF($F11=1,$C11*$J11,IF(FS11&gt;0,FS11*$K11,BT11*$J11))*IF(28=$R11,$S11,12)/12,6)+$B$4),BT11-$I11)))))</f>
        <v/>
      </c>
      <c r="BV11" s="68">
        <f>IF($U11=0,0,IF($F11=4,0,IF($F11=3,0,IF(OR(29&gt;$R11,BU11&lt;=$I11),BU11,BU11-MIN(INT(ROUND(IF($F11=1,$C11*$J11,IF(FT11&gt;0,FT11*$K11,BU11*$J11))*IF(29=$R11,$S11,12)/12,6)+$B$4),BU11-$I11)))))</f>
        <v/>
      </c>
      <c r="BW11" s="68">
        <f>IF($U11=0,0,IF($F11=4,0,IF($F11=3,0,IF(OR(30&gt;$R11,BV11&lt;=$I11),BV11,BV11-MIN(INT(ROUND(IF($F11=1,$C11*$J11,IF(FU11&gt;0,FU11*$K11,BV11*$J11))*IF(30=$R11,$S11,12)/12,6)+$B$4),BV11-$I11)))))</f>
        <v/>
      </c>
      <c r="BX11" s="68">
        <f>IF($U11=0,0,IF($F11=4,0,IF($F11=3,0,IF(OR(31&gt;$R11,BW11&lt;=$I11),BW11,BW11-MIN(INT(ROUND(IF($F11=1,$C11*$J11,IF(FV11&gt;0,FV11*$K11,BW11*$J11))*IF(31=$R11,$S11,12)/12,6)+$B$4),BW11-$I11)))))</f>
        <v/>
      </c>
      <c r="BY11" s="68">
        <f>IF($U11=0,0,IF($F11=4,0,IF($F11=3,0,IF(OR(32&gt;$R11,BX11&lt;=$I11),BX11,BX11-MIN(INT(ROUND(IF($F11=1,$C11*$J11,IF(FW11&gt;0,FW11*$K11,BX11*$J11))*IF(32=$R11,$S11,12)/12,6)+$B$4),BX11-$I11)))))</f>
        <v/>
      </c>
      <c r="BZ11" s="68">
        <f>IF($U11=0,0,IF($F11=4,0,IF($F11=3,0,IF(OR(33&gt;$R11,BY11&lt;=$I11),BY11,BY11-MIN(INT(ROUND(IF($F11=1,$C11*$J11,IF(FX11&gt;0,FX11*$K11,BY11*$J11))*IF(33=$R11,$S11,12)/12,6)+$B$4),BY11-$I11)))))</f>
        <v/>
      </c>
      <c r="CA11" s="68">
        <f>IF($U11=0,0,IF($F11=4,0,IF($F11=3,0,IF(OR(34&gt;$R11,BZ11&lt;=$I11),BZ11,BZ11-MIN(INT(ROUND(IF($F11=1,$C11*$J11,IF(FY11&gt;0,FY11*$K11,BZ11*$J11))*IF(34=$R11,$S11,12)/12,6)+$B$4),BZ11-$I11)))))</f>
        <v/>
      </c>
      <c r="CB11" s="68">
        <f>IF($U11=0,0,IF($F11=4,0,IF($F11=3,0,IF(OR(35&gt;$R11,CA11&lt;=$I11),CA11,CA11-MIN(INT(ROUND(IF($F11=1,$C11*$J11,IF(FZ11&gt;0,FZ11*$K11,CA11*$J11))*IF(35=$R11,$S11,12)/12,6)+$B$4),CA11-$I11)))))</f>
        <v/>
      </c>
      <c r="CC11" s="68">
        <f>IF($U11=0,0,IF($F11=4,0,IF($F11=3,0,IF(OR(36&gt;$R11,CB11&lt;=$I11),CB11,CB11-MIN(INT(ROUND(IF($F11=1,$C11*$J11,IF(GA11&gt;0,GA11*$K11,CB11*$J11))*IF(36=$R11,$S11,12)/12,6)+$B$4),CB11-$I11)))))</f>
        <v/>
      </c>
      <c r="CD11" s="68">
        <f>IF($U11=0,0,IF($F11=4,0,IF($F11=3,0,IF(OR(37&gt;$R11,CC11&lt;=$I11),CC11,CC11-MIN(INT(ROUND(IF($F11=1,$C11*$J11,IF(GB11&gt;0,GB11*$K11,CC11*$J11))*IF(37=$R11,$S11,12)/12,6)+$B$4),CC11-$I11)))))</f>
        <v/>
      </c>
      <c r="CE11" s="68">
        <f>IF($U11=0,0,IF($F11=4,0,IF($F11=3,0,IF(OR(38&gt;$R11,CD11&lt;=$I11),CD11,CD11-MIN(INT(ROUND(IF($F11=1,$C11*$J11,IF(GC11&gt;0,GC11*$K11,CD11*$J11))*IF(38=$R11,$S11,12)/12,6)+$B$4),CD11-$I11)))))</f>
        <v/>
      </c>
      <c r="CF11" s="68">
        <f>IF($U11=0,0,IF($F11=4,0,IF($F11=3,0,IF(OR(39&gt;$R11,CE11&lt;=$I11),CE11,CE11-MIN(INT(ROUND(IF($F11=1,$C11*$J11,IF(GD11&gt;0,GD11*$K11,CE11*$J11))*IF(39=$R11,$S11,12)/12,6)+$B$4),CE11-$I11)))))</f>
        <v/>
      </c>
      <c r="CG11" s="68">
        <f>IF($U11=0,0,IF($F11=4,0,IF($F11=3,0,IF(OR(40&gt;$R11,CF11&lt;=$I11),CF11,CF11-MIN(INT(ROUND(IF($F11=1,$C11*$J11,IF(GE11&gt;0,GE11*$K11,CF11*$J11))*IF(40=$R11,$S11,12)/12,6)+$B$4),CF11-$I11)))))</f>
        <v/>
      </c>
      <c r="CH11" s="68">
        <f>IF($U11=0,0,IF($F11=4,0,IF($F11=3,0,IF(OR(41&gt;$R11,CG11&lt;=$I11),CG11,CG11-MIN(INT(ROUND(IF($F11=1,$C11*$J11,IF(GF11&gt;0,GF11*$K11,CG11*$J11))*IF(41=$R11,$S11,12)/12,6)+$B$4),CG11-$I11)))))</f>
        <v/>
      </c>
      <c r="CI11" s="68">
        <f>IF($U11=0,0,IF($F11=4,0,IF($F11=3,0,IF(OR(42&gt;$R11,CH11&lt;=$I11),CH11,CH11-MIN(INT(ROUND(IF($F11=1,$C11*$J11,IF(GG11&gt;0,GG11*$K11,CH11*$J11))*IF(42=$R11,$S11,12)/12,6)+$B$4),CH11-$I11)))))</f>
        <v/>
      </c>
      <c r="CJ11" s="68">
        <f>IF($U11=0,0,IF($F11=4,0,IF($F11=3,0,IF(OR(43&gt;$R11,CI11&lt;=$I11),CI11,CI11-MIN(INT(ROUND(IF($F11=1,$C11*$J11,IF(GH11&gt;0,GH11*$K11,CI11*$J11))*IF(43=$R11,$S11,12)/12,6)+$B$4),CI11-$I11)))))</f>
        <v/>
      </c>
      <c r="CK11" s="68">
        <f>IF($U11=0,0,IF($F11=4,0,IF($F11=3,0,IF(OR(44&gt;$R11,CJ11&lt;=$I11),CJ11,CJ11-MIN(INT(ROUND(IF($F11=1,$C11*$J11,IF(GI11&gt;0,GI11*$K11,CJ11*$J11))*IF(44=$R11,$S11,12)/12,6)+$B$4),CJ11-$I11)))))</f>
        <v/>
      </c>
      <c r="CL11" s="68">
        <f>IF($U11=0,0,IF($F11=4,0,IF($F11=3,0,IF(OR(45&gt;$R11,CK11&lt;=$I11),CK11,CK11-MIN(INT(ROUND(IF($F11=1,$C11*$J11,IF(GJ11&gt;0,GJ11*$K11,CK11*$J11))*IF(45=$R11,$S11,12)/12,6)+$B$4),CK11-$I11)))))</f>
        <v/>
      </c>
      <c r="CM11" s="68">
        <f>IF($U11=0,0,IF($F11=4,0,IF($F11=3,0,IF(OR(46&gt;$R11,CL11&lt;=$I11),CL11,CL11-MIN(INT(ROUND(IF($F11=1,$C11*$J11,IF(GK11&gt;0,GK11*$K11,CL11*$J11))*IF(46=$R11,$S11,12)/12,6)+$B$4),CL11-$I11)))))</f>
        <v/>
      </c>
      <c r="CN11" s="68">
        <f>IF($U11=0,0,IF($F11=4,0,IF($F11=3,0,IF(OR(47&gt;$R11,CM11&lt;=$I11),CM11,CM11-MIN(INT(ROUND(IF($F11=1,$C11*$J11,IF(GL11&gt;0,GL11*$K11,CM11*$J11))*IF(47=$R11,$S11,12)/12,6)+$B$4),CM11-$I11)))))</f>
        <v/>
      </c>
      <c r="CO11" s="68">
        <f>IF($U11=0,0,IF($F11=4,0,IF($F11=3,0,IF(OR(48&gt;$R11,CN11&lt;=$I11),CN11,CN11-MIN(INT(ROUND(IF($F11=1,$C11*$J11,IF(GM11&gt;0,GM11*$K11,CN11*$J11))*IF(48=$R11,$S11,12)/12,6)+$B$4),CN11-$I11)))))</f>
        <v/>
      </c>
      <c r="CP11" s="68">
        <f>IF($U11=0,0,IF($F11=4,0,IF($F11=3,0,IF(OR(49&gt;$R11,CO11&lt;=$I11),CO11,CO11-MIN(INT(ROUND(IF($F11=1,$C11*$J11,IF(GN11&gt;0,GN11*$K11,CO11*$J11))*IF(49=$R11,$S11,12)/12,6)+$B$4),CO11-$I11)))))</f>
        <v/>
      </c>
      <c r="CQ11" s="68">
        <f>IF($U11=0,0,IF($F11=4,0,IF($F11=3,0,IF(OR(50&gt;$R11,CP11&lt;=$I11),CP11,CP11-MIN(INT(ROUND(IF($F11=1,$C11*$J11,IF(GO11&gt;0,GO11*$K11,CP11*$J11))*IF(50=$R11,$S11,12)/12,6)+$B$4),CP11-$I11)))))</f>
        <v/>
      </c>
      <c r="CR11" s="68">
        <f>IF($U11=0,0,IF($F11=4,0,IF($F11=3,0,IF(OR(51&gt;$R11,CQ11&lt;=$I11),CQ11,CQ11-MIN(INT(ROUND(IF($F11=1,$C11*$J11,IF(GP11&gt;0,GP11*$K11,CQ11*$J11))*IF(51=$R11,$S11,12)/12,6)+$B$4),CQ11-$I11)))))</f>
        <v/>
      </c>
      <c r="CS11" s="68">
        <f>IF($U11=0,0,IF($F11=4,0,IF($F11=3,0,IF(OR(52&gt;$R11,CR11&lt;=$I11),CR11,CR11-MIN(INT(ROUND(IF($F11=1,$C11*$J11,IF(GQ11&gt;0,GQ11*$K11,CR11*$J11))*IF(52=$R11,$S11,12)/12,6)+$B$4),CR11-$I11)))))</f>
        <v/>
      </c>
      <c r="CT11" s="68">
        <f>IF($U11=0,0,IF($F11=4,0,IF($F11=3,0,IF(OR(53&gt;$R11,CS11&lt;=$I11),CS11,CS11-MIN(INT(ROUND(IF($F11=1,$C11*$J11,IF(GR11&gt;0,GR11*$K11,CS11*$J11))*IF(53=$R11,$S11,12)/12,6)+$B$4),CS11-$I11)))))</f>
        <v/>
      </c>
      <c r="CU11" s="68">
        <f>IF($U11=0,0,IF($F11=4,0,IF($F11=3,0,IF(OR(54&gt;$R11,CT11&lt;=$I11),CT11,CT11-MIN(INT(ROUND(IF($F11=1,$C11*$J11,IF(GS11&gt;0,GS11*$K11,CT11*$J11))*IF(54=$R11,$S11,12)/12,6)+$B$4),CT11-$I11)))))</f>
        <v/>
      </c>
      <c r="CV11" s="68">
        <f>IF($U11=0,0,IF($F11=4,0,IF($F11=3,0,IF(OR(55&gt;$R11,CU11&lt;=$I11),CU11,CU11-MIN(INT(ROUND(IF($F11=1,$C11*$J11,IF(GT11&gt;0,GT11*$K11,CU11*$J11))*IF(55=$R11,$S11,12)/12,6)+$B$4),CU11-$I11)))))</f>
        <v/>
      </c>
      <c r="CW11" s="68">
        <f>IF($U11=0,0,IF($F11=4,0,IF($F11=3,0,IF(OR(56&gt;$R11,CV11&lt;=$I11),CV11,CV11-MIN(INT(ROUND(IF($F11=1,$C11*$J11,IF(GU11&gt;0,GU11*$K11,CV11*$J11))*IF(56=$R11,$S11,12)/12,6)+$B$4),CV11-$I11)))))</f>
        <v/>
      </c>
      <c r="CX11" s="68">
        <f>IF($U11=0,0,IF($F11=4,0,IF($F11=3,0,IF(OR(57&gt;$R11,CW11&lt;=$I11),CW11,CW11-MIN(INT(ROUND(IF($F11=1,$C11*$J11,IF(GV11&gt;0,GV11*$K11,CW11*$J11))*IF(57=$R11,$S11,12)/12,6)+$B$4),CW11-$I11)))))</f>
        <v/>
      </c>
      <c r="CY11" s="68">
        <f>IF($U11=0,0,IF($F11=4,0,IF($F11=3,0,IF(OR(58&gt;$R11,CX11&lt;=$I11),CX11,CX11-MIN(INT(ROUND(IF($F11=1,$C11*$J11,IF(GW11&gt;0,GW11*$K11,CX11*$J11))*IF(58=$R11,$S11,12)/12,6)+$B$4),CX11-$I11)))))</f>
        <v/>
      </c>
      <c r="CZ11" s="68">
        <f>IF($U11=0,0,IF($F11=4,0,IF($F11=3,0,IF(OR(59&gt;$R11,CY11&lt;=$I11),CY11,CY11-MIN(INT(ROUND(IF($F11=1,$C11*$J11,IF(GX11&gt;0,GX11*$K11,CY11*$J11))*IF(59=$R11,$S11,12)/12,6)+$B$4),CY11-$I11)))))</f>
        <v/>
      </c>
      <c r="DA11" s="68">
        <f>IF($U11=0,0,IF($F11=4,0,IF($F11=3,0,IF(OR(60&gt;$R11,CZ11&lt;=$I11),CZ11,CZ11-MIN(INT(ROUND(IF($F11=1,$C11*$J11,IF(GY11&gt;0,GY11*$K11,CZ11*$J11))*IF(60=$R11,$S11,12)/12,6)+$B$4),CZ11-$I11)))))</f>
        <v/>
      </c>
      <c r="DB11" s="68">
        <f>IF($U11=0,0,IF($F11=4,0,IF($F11=3,0,IF(OR(61&gt;$R11,DA11&lt;=$I11),DA11,DA11-MIN(INT(ROUND(IF($F11=1,$C11*$J11,IF(GZ11&gt;0,GZ11*$K11,DA11*$J11))*IF(61=$R11,$S11,12)/12,6)+$B$4),DA11-$I11)))))</f>
        <v/>
      </c>
      <c r="DC11" s="68">
        <f>IF($U11=0,0,IF($F11=4,0,IF($F11=3,0,IF(OR(62&gt;$R11,DB11&lt;=$I11),DB11,DB11-MIN(INT(ROUND(IF($F11=1,$C11*$J11,IF(HA11&gt;0,HA11*$K11,DB11*$J11))*IF(62=$R11,$S11,12)/12,6)+$B$4),DB11-$I11)))))</f>
        <v/>
      </c>
      <c r="DD11" s="68">
        <f>IF($U11=0,0,IF($F11=4,0,IF($F11=3,0,IF(OR(63&gt;$R11,DC11&lt;=$I11),DC11,DC11-MIN(INT(ROUND(IF($F11=1,$C11*$J11,IF(HB11&gt;0,HB11*$K11,DC11*$J11))*IF(63=$R11,$S11,12)/12,6)+$B$4),DC11-$I11)))))</f>
        <v/>
      </c>
      <c r="DE11" s="68">
        <f>IF($U11=0,0,IF($F11=4,0,IF($F11=3,0,IF(OR(64&gt;$R11,DD11&lt;=$I11),DD11,DD11-MIN(INT(ROUND(IF($F11=1,$C11*$J11,IF(HC11&gt;0,HC11*$K11,DD11*$J11))*IF(64=$R11,$S11,12)/12,6)+$B$4),DD11-$I11)))))</f>
        <v/>
      </c>
      <c r="DF11" s="68">
        <f>IF($U11=0,0,IF($F11=4,0,IF($F11=3,0,IF(OR(65&gt;$R11,DE11&lt;=$I11),DE11,DE11-MIN(INT(ROUND(IF($F11=1,$C11*$J11,IF(HD11&gt;0,HD11*$K11,DE11*$J11))*IF(65=$R11,$S11,12)/12,6)+$B$4),DE11-$I11)))))</f>
        <v/>
      </c>
      <c r="DG11" s="68">
        <f>IF($U11=0,0,IF($F11=4,0,IF($F11=3,0,IF(OR(66&gt;$R11,DF11&lt;=$I11),DF11,DF11-MIN(INT(ROUND(IF($F11=1,$C11*$J11,IF(HE11&gt;0,HE11*$K11,DF11*$J11))*IF(66=$R11,$S11,12)/12,6)+$B$4),DF11-$I11)))))</f>
        <v/>
      </c>
      <c r="DH11" s="68">
        <f>IF($U11=0,0,IF($F11=4,0,IF($F11=3,0,IF(OR(67&gt;$R11,DG11&lt;=$I11),DG11,DG11-MIN(INT(ROUND(IF($F11=1,$C11*$J11,IF(HF11&gt;0,HF11*$K11,DG11*$J11))*IF(67=$R11,$S11,12)/12,6)+$B$4),DG11-$I11)))))</f>
        <v/>
      </c>
      <c r="DI11" s="68">
        <f>IF($U11=0,0,IF($F11=4,0,IF($F11=3,0,IF(OR(68&gt;$R11,DH11&lt;=$I11),DH11,DH11-MIN(INT(ROUND(IF($F11=1,$C11*$J11,IF(HG11&gt;0,HG11*$K11,DH11*$J11))*IF(68=$R11,$S11,12)/12,6)+$B$4),DH11-$I11)))))</f>
        <v/>
      </c>
      <c r="DJ11" s="68">
        <f>IF($U11=0,0,IF($F11=4,0,IF($F11=3,0,IF(OR(69&gt;$R11,DI11&lt;=$I11),DI11,DI11-MIN(INT(ROUND(IF($F11=1,$C11*$J11,IF(HH11&gt;0,HH11*$K11,DI11*$J11))*IF(69=$R11,$S11,12)/12,6)+$B$4),DI11-$I11)))))</f>
        <v/>
      </c>
      <c r="DK11" s="68">
        <f>IF($U11=0,0,IF($F11=4,0,IF($F11=3,0,IF(OR(70&gt;$R11,DJ11&lt;=$I11),DJ11,DJ11-MIN(INT(ROUND(IF($F11=1,$C11*$J11,IF(HI11&gt;0,HI11*$K11,DJ11*$J11))*IF(70=$R11,$S11,12)/12,6)+$B$4),DJ11-$I11)))))</f>
        <v/>
      </c>
      <c r="DL11" s="68">
        <f>IF($U11=0,0,IF($F11=4,0,IF($F11=3,0,IF(OR(71&gt;$R11,DK11&lt;=$I11),DK11,DK11-MIN(INT(ROUND(IF($F11=1,$C11*$J11,IF(HJ11&gt;0,HJ11*$K11,DK11*$J11))*IF(71=$R11,$S11,12)/12,6)+$B$4),DK11-$I11)))))</f>
        <v/>
      </c>
      <c r="DM11" s="68">
        <f>IF($U11=0,0,IF($F11=4,0,IF($F11=3,0,IF(OR(72&gt;$R11,DL11&lt;=$I11),DL11,DL11-MIN(INT(ROUND(IF($F11=1,$C11*$J11,IF(HK11&gt;0,HK11*$K11,DL11*$J11))*IF(72=$R11,$S11,12)/12,6)+$B$4),DL11-$I11)))))</f>
        <v/>
      </c>
      <c r="DN11" s="68">
        <f>IF($U11=0,0,IF($F11=4,0,IF($F11=3,0,IF(OR(73&gt;$R11,DM11&lt;=$I11),DM11,DM11-MIN(INT(ROUND(IF($F11=1,$C11*$J11,IF(HL11&gt;0,HL11*$K11,DM11*$J11))*IF(73=$R11,$S11,12)/12,6)+$B$4),DM11-$I11)))))</f>
        <v/>
      </c>
      <c r="DO11" s="68">
        <f>IF($U11=0,0,IF($F11=4,0,IF($F11=3,0,IF(OR(74&gt;$R11,DN11&lt;=$I11),DN11,DN11-MIN(INT(ROUND(IF($F11=1,$C11*$J11,IF(HM11&gt;0,HM11*$K11,DN11*$J11))*IF(74=$R11,$S11,12)/12,6)+$B$4),DN11-$I11)))))</f>
        <v/>
      </c>
      <c r="DP11" s="68">
        <f>IF($U11=0,0,IF($F11=4,0,IF($F11=3,0,IF(OR(75&gt;$R11,DO11&lt;=$I11),DO11,DO11-MIN(INT(ROUND(IF($F11=1,$C11*$J11,IF(HN11&gt;0,HN11*$K11,DO11*$J11))*IF(75=$R11,$S11,12)/12,6)+$B$4),DO11-$I11)))))</f>
        <v/>
      </c>
      <c r="DQ11" s="68">
        <f>IF($U11=0,0,IF($F11=4,0,IF($F11=3,0,IF(OR(76&gt;$R11,DP11&lt;=$I11),DP11,DP11-MIN(INT(ROUND(IF($F11=1,$C11*$J11,IF(HO11&gt;0,HO11*$K11,DP11*$J11))*IF(76=$R11,$S11,12)/12,6)+$B$4),DP11-$I11)))))</f>
        <v/>
      </c>
      <c r="DR11" s="68">
        <f>IF($U11=0,0,IF($F11=4,0,IF($F11=3,0,IF(OR(77&gt;$R11,DQ11&lt;=$I11),DQ11,DQ11-MIN(INT(ROUND(IF($F11=1,$C11*$J11,IF(HP11&gt;0,HP11*$K11,DQ11*$J11))*IF(77=$R11,$S11,12)/12,6)+$B$4),DQ11-$I11)))))</f>
        <v/>
      </c>
      <c r="DS11" s="68">
        <f>IF($U11=0,0,IF($F11=4,0,IF($F11=3,0,IF(OR(78&gt;$R11,DR11&lt;=$I11),DR11,DR11-MIN(INT(ROUND(IF($F11=1,$C11*$J11,IF(HQ11&gt;0,HQ11*$K11,DR11*$J11))*IF(78=$R11,$S11,12)/12,6)+$B$4),DR11-$I11)))))</f>
        <v/>
      </c>
      <c r="DT11" s="68">
        <f>IF($U11=0,0,IF($F11=4,0,IF($F11=3,0,IF(OR(79&gt;$R11,DS11&lt;=$I11),DS11,DS11-MIN(INT(ROUND(IF($F11=1,$C11*$J11,IF(HR11&gt;0,HR11*$K11,DS11*$J11))*IF(79=$R11,$S11,12)/12,6)+$B$4),DS11-$I11)))))</f>
        <v/>
      </c>
      <c r="DU11" s="68">
        <f>IF($U11=0,0,IF($F11=4,0,IF($F11=3,0,IF(OR(80&gt;$R11,DT11&lt;=$I11),DT11,DT11-MIN(INT(ROUND(IF($F11=1,$C11*$J11,IF(HS11&gt;0,HS11*$K11,DT11*$J11))*IF(80=$R11,$S11,12)/12,6)+$B$4),DT11-$I11)))))</f>
        <v/>
      </c>
      <c r="DV11" s="68">
        <f>IF($U11=0,0,IF($F11=4,0,IF($F11=3,0,IF(OR(81&gt;$R11,DU11&lt;=$I11),DU11,DU11-MIN(INT(ROUND(IF($F11=1,$C11*$J11,IF(HT11&gt;0,HT11*$K11,DU11*$J11))*IF(81=$R11,$S11,12)/12,6)+$B$4),DU11-$I11)))))</f>
        <v/>
      </c>
      <c r="DW11" s="68">
        <f>IF($U11=0,0,IF($F11=4,0,IF($F11=3,0,IF(OR(82&gt;$R11,DV11&lt;=$I11),DV11,DV11-MIN(INT(ROUND(IF($F11=1,$C11*$J11,IF(HU11&gt;0,HU11*$K11,DV11*$J11))*IF(82=$R11,$S11,12)/12,6)+$B$4),DV11-$I11)))))</f>
        <v/>
      </c>
      <c r="DX11" s="68">
        <f>IF($U11=0,0,IF($F11=4,0,IF($F11=3,0,IF(OR(83&gt;$R11,DW11&lt;=$I11),DW11,DW11-MIN(INT(ROUND(IF($F11=1,$C11*$J11,IF(HV11&gt;0,HV11*$K11,DW11*$J11))*IF(83=$R11,$S11,12)/12,6)+$B$4),DW11-$I11)))))</f>
        <v/>
      </c>
      <c r="DY11" s="68">
        <f>IF($U11=0,0,IF($F11=4,0,IF($F11=3,0,IF(OR(84&gt;$R11,DX11&lt;=$I11),DX11,DX11-MIN(INT(ROUND(IF($F11=1,$C11*$J11,IF(HW11&gt;0,HW11*$K11,DX11*$J11))*IF(84=$R11,$S11,12)/12,6)+$B$4),DX11-$I11)))))</f>
        <v/>
      </c>
      <c r="DZ11" s="68">
        <f>IF($U11=0,0,IF($F11=4,0,IF($F11=3,0,IF(OR(85&gt;$R11,DY11&lt;=$I11),DY11,DY11-MIN(INT(ROUND(IF($F11=1,$C11*$J11,IF(HX11&gt;0,HX11*$K11,DY11*$J11))*IF(85=$R11,$S11,12)/12,6)+$B$4),DY11-$I11)))))</f>
        <v/>
      </c>
      <c r="EA11" s="68">
        <f>IF($U11=0,0,IF($F11=4,0,IF($F11=3,0,IF(OR(86&gt;$R11,DZ11&lt;=$I11),DZ11,DZ11-MIN(INT(ROUND(IF($F11=1,$C11*$J11,IF(HY11&gt;0,HY11*$K11,DZ11*$J11))*IF(86=$R11,$S11,12)/12,6)+$B$4),DZ11-$I11)))))</f>
        <v/>
      </c>
      <c r="EB11" s="68">
        <f>IF($U11=0,0,IF($F11=4,0,IF($F11=3,0,IF(OR(87&gt;$R11,EA11&lt;=$I11),EA11,EA11-MIN(INT(ROUND(IF($F11=1,$C11*$J11,IF(HZ11&gt;0,HZ11*$K11,EA11*$J11))*IF(87=$R11,$S11,12)/12,6)+$B$4),EA11-$I11)))))</f>
        <v/>
      </c>
      <c r="EC11" s="68">
        <f>IF($U11=0,0,IF($F11=4,0,IF($F11=3,0,IF(OR(88&gt;$R11,EB11&lt;=$I11),EB11,EB11-MIN(INT(ROUND(IF($F11=1,$C11*$J11,IF(IA11&gt;0,IA11*$K11,EB11*$J11))*IF(88=$R11,$S11,12)/12,6)+$B$4),EB11-$I11)))))</f>
        <v/>
      </c>
      <c r="ED11" s="68">
        <f>IF($U11=0,0,IF($F11=4,0,IF($F11=3,0,IF(OR(89&gt;$R11,EC11&lt;=$I11),EC11,EC11-MIN(INT(ROUND(IF($F11=1,$C11*$J11,IF(IB11&gt;0,IB11*$K11,EC11*$J11))*IF(89=$R11,$S11,12)/12,6)+$B$4),EC11-$I11)))))</f>
        <v/>
      </c>
      <c r="EE11" s="68">
        <f>IF($U11=0,0,IF($F11=4,0,IF($F11=3,0,IF(OR(90&gt;$R11,ED11&lt;=$I11),ED11,ED11-MIN(INT(ROUND(IF($F11=1,$C11*$J11,IF(IC11&gt;0,IC11*$K11,ED11*$J11))*IF(90=$R11,$S11,12)/12,6)+$B$4),ED11-$I11)))))</f>
        <v/>
      </c>
      <c r="EF11" s="68">
        <f>IF($U11=0,0,IF($F11=4,0,IF($F11=3,0,IF(OR(91&gt;$R11,EE11&lt;=$I11),EE11,EE11-MIN(INT(ROUND(IF($F11=1,$C11*$J11,IF(ID11&gt;0,ID11*$K11,EE11*$J11))*IF(91=$R11,$S11,12)/12,6)+$B$4),EE11-$I11)))))</f>
        <v/>
      </c>
      <c r="EG11" s="68">
        <f>IF($U11=0,0,IF($F11=4,0,IF($F11=3,0,IF(OR(92&gt;$R11,EF11&lt;=$I11),EF11,EF11-MIN(INT(ROUND(IF($F11=1,$C11*$J11,IF(IE11&gt;0,IE11*$K11,EF11*$J11))*IF(92=$R11,$S11,12)/12,6)+$B$4),EF11-$I11)))))</f>
        <v/>
      </c>
      <c r="EH11" s="68">
        <f>IF($U11=0,0,IF($F11=4,0,IF($F11=3,0,IF(OR(93&gt;$R11,EG11&lt;=$I11),EG11,EG11-MIN(INT(ROUND(IF($F11=1,$C11*$J11,IF(IF11&gt;0,IF11*$K11,EG11*$J11))*IF(93=$R11,$S11,12)/12,6)+$B$4),EG11-$I11)))))</f>
        <v/>
      </c>
      <c r="EI11" s="68">
        <f>IF($U11=0,0,IF($F11=4,0,IF($F11=3,0,IF(OR(94&gt;$R11,EH11&lt;=$I11),EH11,EH11-MIN(INT(ROUND(IF($F11=1,$C11*$J11,IF(IG11&gt;0,IG11*$K11,EH11*$J11))*IF(94=$R11,$S11,12)/12,6)+$B$4),EH11-$I11)))))</f>
        <v/>
      </c>
      <c r="EJ11" s="68">
        <f>IF($U11=0,0,IF($F11=4,0,IF($F11=3,0,IF(OR(95&gt;$R11,EI11&lt;=$I11),EI11,EI11-MIN(INT(ROUND(IF($F11=1,$C11*$J11,IF(IH11&gt;0,IH11*$K11,EI11*$J11))*IF(95=$R11,$S11,12)/12,6)+$B$4),EI11-$I11)))))</f>
        <v/>
      </c>
      <c r="EK11" s="68">
        <f>IF($U11=0,0,IF($F11=4,0,IF($F11=3,0,IF(OR(96&gt;$R11,EJ11&lt;=$I11),EJ11,EJ11-MIN(INT(ROUND(IF($F11=1,$C11*$J11,IF(II11&gt;0,II11*$K11,EJ11*$J11))*IF(96=$R11,$S11,12)/12,6)+$B$4),EJ11-$I11)))))</f>
        <v/>
      </c>
      <c r="EL11" s="68">
        <f>IF($U11=0,0,IF($F11=4,0,IF($F11=3,0,IF(OR(97&gt;$R11,EK11&lt;=$I11),EK11,EK11-MIN(INT(ROUND(IF($F11=1,$C11*$J11,IF(IJ11&gt;0,IJ11*$K11,EK11*$J11))*IF(97=$R11,$S11,12)/12,6)+$B$4),EK11-$I11)))))</f>
        <v/>
      </c>
      <c r="EM11" s="68">
        <f>IF($U11=0,0,IF($F11=4,0,IF($F11=3,0,IF(OR(98&gt;$R11,EL11&lt;=$I11),EL11,EL11-MIN(INT(ROUND(IF($F11=1,$C11*$J11,IF(IK11&gt;0,IK11*$K11,EL11*$J11))*IF(98=$R11,$S11,12)/12,6)+$B$4),EL11-$I11)))))</f>
        <v/>
      </c>
      <c r="EN11" s="68">
        <f>IF($U11=0,0,IF($F11=4,0,IF($F11=3,0,IF(OR(99&gt;$R11,EM11&lt;=$I11),EM11,EM11-MIN(INT(ROUND(IF($F11=1,$C11*$J11,IF(IL11&gt;0,IL11*$K11,EM11*$J11))*IF(99=$R11,$S11,12)/12,6)+$B$4),EM11-$I11)))))</f>
        <v/>
      </c>
      <c r="EO11" s="68">
        <f>IF($U11=0,0,IF($F11=4,0,IF($F11=3,0,IF(OR(100&gt;$R11,EN11&lt;=$I11),EN11,EN11-MIN(INT(ROUND(IF($F11=1,$C11*$J11,IF(IM11&gt;0,IM11*$K11,EN11*$J11))*IF(100=$R11,$S11,12)/12,6)+$B$4),EN11-$I11)))))</f>
        <v/>
      </c>
      <c r="EP11" s="68">
        <f>IF($U11=0,0,IF($F11=4,0,IF($F11=3,0,IF(OR(101&gt;$R11,EO11&lt;=$I11),EO11,EO11-MIN(INT(ROUND(IF($F11=1,$C11*$J11,IF(IN11&gt;0,IN11*$K11,EO11*$J11))*IF(101=$R11,$S11,12)/12,6)+$B$4),EO11-$I11)))))</f>
        <v/>
      </c>
      <c r="EQ11" s="68" t="n"/>
      <c r="ER11" s="68">
        <f>IF(OR($U11=0,$F11&lt;&gt;2),0,IF(ROUND(AS11*$J11,6)&lt;ROUND($M11,6),AS11,0))</f>
        <v/>
      </c>
      <c r="ES11" s="68">
        <f>IF(OR($U11=0,$F11&lt;&gt;2),0,IF(ER11&gt;0,ER11,IF(ROUND(AT11*$J11,6)&lt;ROUND($M11,6),AT11,0)))</f>
        <v/>
      </c>
      <c r="ET11" s="68">
        <f>IF(OR($U11=0,$F11&lt;&gt;2),0,IF(ES11&gt;0,ES11,IF(ROUND(AU11*$J11,6)&lt;ROUND($M11,6),AU11,0)))</f>
        <v/>
      </c>
      <c r="EU11" s="68">
        <f>IF(OR($U11=0,$F11&lt;&gt;2),0,IF(ET11&gt;0,ET11,IF(ROUND(AV11*$J11,6)&lt;ROUND($M11,6),AV11,0)))</f>
        <v/>
      </c>
      <c r="EV11" s="68">
        <f>IF(OR($U11=0,$F11&lt;&gt;2),0,IF(EU11&gt;0,EU11,IF(ROUND(AW11*$J11,6)&lt;ROUND($M11,6),AW11,0)))</f>
        <v/>
      </c>
      <c r="EW11" s="68">
        <f>IF(OR($U11=0,$F11&lt;&gt;2),0,IF(EV11&gt;0,EV11,IF(ROUND(AX11*$J11,6)&lt;ROUND($M11,6),AX11,0)))</f>
        <v/>
      </c>
      <c r="EX11" s="68">
        <f>IF(OR($U11=0,$F11&lt;&gt;2),0,IF(EW11&gt;0,EW11,IF(ROUND(AY11*$J11,6)&lt;ROUND($M11,6),AY11,0)))</f>
        <v/>
      </c>
      <c r="EY11" s="68">
        <f>IF(OR($U11=0,$F11&lt;&gt;2),0,IF(EX11&gt;0,EX11,IF(ROUND(AZ11*$J11,6)&lt;ROUND($M11,6),AZ11,0)))</f>
        <v/>
      </c>
      <c r="EZ11" s="68">
        <f>IF(OR($U11=0,$F11&lt;&gt;2),0,IF(EY11&gt;0,EY11,IF(ROUND(BA11*$J11,6)&lt;ROUND($M11,6),BA11,0)))</f>
        <v/>
      </c>
      <c r="FA11" s="68">
        <f>IF(OR($U11=0,$F11&lt;&gt;2),0,IF(EZ11&gt;0,EZ11,IF(ROUND(BB11*$J11,6)&lt;ROUND($M11,6),BB11,0)))</f>
        <v/>
      </c>
      <c r="FB11" s="68">
        <f>IF(OR($U11=0,$F11&lt;&gt;2),0,IF(FA11&gt;0,FA11,IF(ROUND(BC11*$J11,6)&lt;ROUND($M11,6),BC11,0)))</f>
        <v/>
      </c>
      <c r="FC11" s="68">
        <f>IF(OR($U11=0,$F11&lt;&gt;2),0,IF(FB11&gt;0,FB11,IF(ROUND(BD11*$J11,6)&lt;ROUND($M11,6),BD11,0)))</f>
        <v/>
      </c>
      <c r="FD11" s="68">
        <f>IF(OR($U11=0,$F11&lt;&gt;2),0,IF(FC11&gt;0,FC11,IF(ROUND(BE11*$J11,6)&lt;ROUND($M11,6),BE11,0)))</f>
        <v/>
      </c>
      <c r="FE11" s="68">
        <f>IF(OR($U11=0,$F11&lt;&gt;2),0,IF(FD11&gt;0,FD11,IF(ROUND(BF11*$J11,6)&lt;ROUND($M11,6),BF11,0)))</f>
        <v/>
      </c>
      <c r="FF11" s="68">
        <f>IF(OR($U11=0,$F11&lt;&gt;2),0,IF(FE11&gt;0,FE11,IF(ROUND(BG11*$J11,6)&lt;ROUND($M11,6),BG11,0)))</f>
        <v/>
      </c>
      <c r="FG11" s="68">
        <f>IF(OR($U11=0,$F11&lt;&gt;2),0,IF(FF11&gt;0,FF11,IF(ROUND(BH11*$J11,6)&lt;ROUND($M11,6),BH11,0)))</f>
        <v/>
      </c>
      <c r="FH11" s="68">
        <f>IF(OR($U11=0,$F11&lt;&gt;2),0,IF(FG11&gt;0,FG11,IF(ROUND(BI11*$J11,6)&lt;ROUND($M11,6),BI11,0)))</f>
        <v/>
      </c>
      <c r="FI11" s="68">
        <f>IF(OR($U11=0,$F11&lt;&gt;2),0,IF(FH11&gt;0,FH11,IF(ROUND(BJ11*$J11,6)&lt;ROUND($M11,6),BJ11,0)))</f>
        <v/>
      </c>
      <c r="FJ11" s="68">
        <f>IF(OR($U11=0,$F11&lt;&gt;2),0,IF(FI11&gt;0,FI11,IF(ROUND(BK11*$J11,6)&lt;ROUND($M11,6),BK11,0)))</f>
        <v/>
      </c>
      <c r="FK11" s="68">
        <f>IF(OR($U11=0,$F11&lt;&gt;2),0,IF(FJ11&gt;0,FJ11,IF(ROUND(BL11*$J11,6)&lt;ROUND($M11,6),BL11,0)))</f>
        <v/>
      </c>
      <c r="FL11" s="68">
        <f>IF(OR($U11=0,$F11&lt;&gt;2),0,IF(FK11&gt;0,FK11,IF(ROUND(BM11*$J11,6)&lt;ROUND($M11,6),BM11,0)))</f>
        <v/>
      </c>
      <c r="FM11" s="68">
        <f>IF(OR($U11=0,$F11&lt;&gt;2),0,IF(FL11&gt;0,FL11,IF(ROUND(BN11*$J11,6)&lt;ROUND($M11,6),BN11,0)))</f>
        <v/>
      </c>
      <c r="FN11" s="68">
        <f>IF(OR($U11=0,$F11&lt;&gt;2),0,IF(FM11&gt;0,FM11,IF(ROUND(BO11*$J11,6)&lt;ROUND($M11,6),BO11,0)))</f>
        <v/>
      </c>
      <c r="FO11" s="68">
        <f>IF(OR($U11=0,$F11&lt;&gt;2),0,IF(FN11&gt;0,FN11,IF(ROUND(BP11*$J11,6)&lt;ROUND($M11,6),BP11,0)))</f>
        <v/>
      </c>
      <c r="FP11" s="68">
        <f>IF(OR($U11=0,$F11&lt;&gt;2),0,IF(FO11&gt;0,FO11,IF(ROUND(BQ11*$J11,6)&lt;ROUND($M11,6),BQ11,0)))</f>
        <v/>
      </c>
      <c r="FQ11" s="68">
        <f>IF(OR($U11=0,$F11&lt;&gt;2),0,IF(FP11&gt;0,FP11,IF(ROUND(BR11*$J11,6)&lt;ROUND($M11,6),BR11,0)))</f>
        <v/>
      </c>
      <c r="FR11" s="68">
        <f>IF(OR($U11=0,$F11&lt;&gt;2),0,IF(FQ11&gt;0,FQ11,IF(ROUND(BS11*$J11,6)&lt;ROUND($M11,6),BS11,0)))</f>
        <v/>
      </c>
      <c r="FS11" s="68">
        <f>IF(OR($U11=0,$F11&lt;&gt;2),0,IF(FR11&gt;0,FR11,IF(ROUND(BT11*$J11,6)&lt;ROUND($M11,6),BT11,0)))</f>
        <v/>
      </c>
      <c r="FT11" s="68">
        <f>IF(OR($U11=0,$F11&lt;&gt;2),0,IF(FS11&gt;0,FS11,IF(ROUND(BU11*$J11,6)&lt;ROUND($M11,6),BU11,0)))</f>
        <v/>
      </c>
      <c r="FU11" s="68">
        <f>IF(OR($U11=0,$F11&lt;&gt;2),0,IF(FT11&gt;0,FT11,IF(ROUND(BV11*$J11,6)&lt;ROUND($M11,6),BV11,0)))</f>
        <v/>
      </c>
      <c r="FV11" s="68">
        <f>IF(OR($U11=0,$F11&lt;&gt;2),0,IF(FU11&gt;0,FU11,IF(ROUND(BW11*$J11,6)&lt;ROUND($M11,6),BW11,0)))</f>
        <v/>
      </c>
      <c r="FW11" s="68">
        <f>IF(OR($U11=0,$F11&lt;&gt;2),0,IF(FV11&gt;0,FV11,IF(ROUND(BX11*$J11,6)&lt;ROUND($M11,6),BX11,0)))</f>
        <v/>
      </c>
      <c r="FX11" s="68">
        <f>IF(OR($U11=0,$F11&lt;&gt;2),0,IF(FW11&gt;0,FW11,IF(ROUND(BY11*$J11,6)&lt;ROUND($M11,6),BY11,0)))</f>
        <v/>
      </c>
      <c r="FY11" s="68">
        <f>IF(OR($U11=0,$F11&lt;&gt;2),0,IF(FX11&gt;0,FX11,IF(ROUND(BZ11*$J11,6)&lt;ROUND($M11,6),BZ11,0)))</f>
        <v/>
      </c>
      <c r="FZ11" s="68">
        <f>IF(OR($U11=0,$F11&lt;&gt;2),0,IF(FY11&gt;0,FY11,IF(ROUND(CA11*$J11,6)&lt;ROUND($M11,6),CA11,0)))</f>
        <v/>
      </c>
      <c r="GA11" s="68">
        <f>IF(OR($U11=0,$F11&lt;&gt;2),0,IF(FZ11&gt;0,FZ11,IF(ROUND(CB11*$J11,6)&lt;ROUND($M11,6),CB11,0)))</f>
        <v/>
      </c>
      <c r="GB11" s="68">
        <f>IF(OR($U11=0,$F11&lt;&gt;2),0,IF(GA11&gt;0,GA11,IF(ROUND(CC11*$J11,6)&lt;ROUND($M11,6),CC11,0)))</f>
        <v/>
      </c>
      <c r="GC11" s="68">
        <f>IF(OR($U11=0,$F11&lt;&gt;2),0,IF(GB11&gt;0,GB11,IF(ROUND(CD11*$J11,6)&lt;ROUND($M11,6),CD11,0)))</f>
        <v/>
      </c>
      <c r="GD11" s="68">
        <f>IF(OR($U11=0,$F11&lt;&gt;2),0,IF(GC11&gt;0,GC11,IF(ROUND(CE11*$J11,6)&lt;ROUND($M11,6),CE11,0)))</f>
        <v/>
      </c>
      <c r="GE11" s="68">
        <f>IF(OR($U11=0,$F11&lt;&gt;2),0,IF(GD11&gt;0,GD11,IF(ROUND(CF11*$J11,6)&lt;ROUND($M11,6),CF11,0)))</f>
        <v/>
      </c>
      <c r="GF11" s="68">
        <f>IF(OR($U11=0,$F11&lt;&gt;2),0,IF(GE11&gt;0,GE11,IF(ROUND(CG11*$J11,6)&lt;ROUND($M11,6),CG11,0)))</f>
        <v/>
      </c>
      <c r="GG11" s="68">
        <f>IF(OR($U11=0,$F11&lt;&gt;2),0,IF(GF11&gt;0,GF11,IF(ROUND(CH11*$J11,6)&lt;ROUND($M11,6),CH11,0)))</f>
        <v/>
      </c>
      <c r="GH11" s="68">
        <f>IF(OR($U11=0,$F11&lt;&gt;2),0,IF(GG11&gt;0,GG11,IF(ROUND(CI11*$J11,6)&lt;ROUND($M11,6),CI11,0)))</f>
        <v/>
      </c>
      <c r="GI11" s="68">
        <f>IF(OR($U11=0,$F11&lt;&gt;2),0,IF(GH11&gt;0,GH11,IF(ROUND(CJ11*$J11,6)&lt;ROUND($M11,6),CJ11,0)))</f>
        <v/>
      </c>
      <c r="GJ11" s="68">
        <f>IF(OR($U11=0,$F11&lt;&gt;2),0,IF(GI11&gt;0,GI11,IF(ROUND(CK11*$J11,6)&lt;ROUND($M11,6),CK11,0)))</f>
        <v/>
      </c>
      <c r="GK11" s="68">
        <f>IF(OR($U11=0,$F11&lt;&gt;2),0,IF(GJ11&gt;0,GJ11,IF(ROUND(CL11*$J11,6)&lt;ROUND($M11,6),CL11,0)))</f>
        <v/>
      </c>
      <c r="GL11" s="68">
        <f>IF(OR($U11=0,$F11&lt;&gt;2),0,IF(GK11&gt;0,GK11,IF(ROUND(CM11*$J11,6)&lt;ROUND($M11,6),CM11,0)))</f>
        <v/>
      </c>
      <c r="GM11" s="68">
        <f>IF(OR($U11=0,$F11&lt;&gt;2),0,IF(GL11&gt;0,GL11,IF(ROUND(CN11*$J11,6)&lt;ROUND($M11,6),CN11,0)))</f>
        <v/>
      </c>
      <c r="GN11" s="68">
        <f>IF(OR($U11=0,$F11&lt;&gt;2),0,IF(GM11&gt;0,GM11,IF(ROUND(CO11*$J11,6)&lt;ROUND($M11,6),CO11,0)))</f>
        <v/>
      </c>
      <c r="GO11" s="68">
        <f>IF(OR($U11=0,$F11&lt;&gt;2),0,IF(GN11&gt;0,GN11,IF(ROUND(CP11*$J11,6)&lt;ROUND($M11,6),CP11,0)))</f>
        <v/>
      </c>
      <c r="GP11" s="68">
        <f>IF(OR($U11=0,$F11&lt;&gt;2),0,IF(GO11&gt;0,GO11,IF(ROUND(CQ11*$J11,6)&lt;ROUND($M11,6),CQ11,0)))</f>
        <v/>
      </c>
      <c r="GQ11" s="68">
        <f>IF(OR($U11=0,$F11&lt;&gt;2),0,IF(GP11&gt;0,GP11,IF(ROUND(CR11*$J11,6)&lt;ROUND($M11,6),CR11,0)))</f>
        <v/>
      </c>
      <c r="GR11" s="68">
        <f>IF(OR($U11=0,$F11&lt;&gt;2),0,IF(GQ11&gt;0,GQ11,IF(ROUND(CS11*$J11,6)&lt;ROUND($M11,6),CS11,0)))</f>
        <v/>
      </c>
      <c r="GS11" s="68">
        <f>IF(OR($U11=0,$F11&lt;&gt;2),0,IF(GR11&gt;0,GR11,IF(ROUND(CT11*$J11,6)&lt;ROUND($M11,6),CT11,0)))</f>
        <v/>
      </c>
      <c r="GT11" s="68">
        <f>IF(OR($U11=0,$F11&lt;&gt;2),0,IF(GS11&gt;0,GS11,IF(ROUND(CU11*$J11,6)&lt;ROUND($M11,6),CU11,0)))</f>
        <v/>
      </c>
      <c r="GU11" s="68">
        <f>IF(OR($U11=0,$F11&lt;&gt;2),0,IF(GT11&gt;0,GT11,IF(ROUND(CV11*$J11,6)&lt;ROUND($M11,6),CV11,0)))</f>
        <v/>
      </c>
      <c r="GV11" s="68">
        <f>IF(OR($U11=0,$F11&lt;&gt;2),0,IF(GU11&gt;0,GU11,IF(ROUND(CW11*$J11,6)&lt;ROUND($M11,6),CW11,0)))</f>
        <v/>
      </c>
      <c r="GW11" s="68">
        <f>IF(OR($U11=0,$F11&lt;&gt;2),0,IF(GV11&gt;0,GV11,IF(ROUND(CX11*$J11,6)&lt;ROUND($M11,6),CX11,0)))</f>
        <v/>
      </c>
      <c r="GX11" s="68">
        <f>IF(OR($U11=0,$F11&lt;&gt;2),0,IF(GW11&gt;0,GW11,IF(ROUND(CY11*$J11,6)&lt;ROUND($M11,6),CY11,0)))</f>
        <v/>
      </c>
      <c r="GY11" s="68">
        <f>IF(OR($U11=0,$F11&lt;&gt;2),0,IF(GX11&gt;0,GX11,IF(ROUND(CZ11*$J11,6)&lt;ROUND($M11,6),CZ11,0)))</f>
        <v/>
      </c>
      <c r="GZ11" s="68">
        <f>IF(OR($U11=0,$F11&lt;&gt;2),0,IF(GY11&gt;0,GY11,IF(ROUND(DA11*$J11,6)&lt;ROUND($M11,6),DA11,0)))</f>
        <v/>
      </c>
      <c r="HA11" s="68">
        <f>IF(OR($U11=0,$F11&lt;&gt;2),0,IF(GZ11&gt;0,GZ11,IF(ROUND(DB11*$J11,6)&lt;ROUND($M11,6),DB11,0)))</f>
        <v/>
      </c>
      <c r="HB11" s="68">
        <f>IF(OR($U11=0,$F11&lt;&gt;2),0,IF(HA11&gt;0,HA11,IF(ROUND(DC11*$J11,6)&lt;ROUND($M11,6),DC11,0)))</f>
        <v/>
      </c>
      <c r="HC11" s="68">
        <f>IF(OR($U11=0,$F11&lt;&gt;2),0,IF(HB11&gt;0,HB11,IF(ROUND(DD11*$J11,6)&lt;ROUND($M11,6),DD11,0)))</f>
        <v/>
      </c>
      <c r="HD11" s="68">
        <f>IF(OR($U11=0,$F11&lt;&gt;2),0,IF(HC11&gt;0,HC11,IF(ROUND(DE11*$J11,6)&lt;ROUND($M11,6),DE11,0)))</f>
        <v/>
      </c>
      <c r="HE11" s="68">
        <f>IF(OR($U11=0,$F11&lt;&gt;2),0,IF(HD11&gt;0,HD11,IF(ROUND(DF11*$J11,6)&lt;ROUND($M11,6),DF11,0)))</f>
        <v/>
      </c>
      <c r="HF11" s="68">
        <f>IF(OR($U11=0,$F11&lt;&gt;2),0,IF(HE11&gt;0,HE11,IF(ROUND(DG11*$J11,6)&lt;ROUND($M11,6),DG11,0)))</f>
        <v/>
      </c>
      <c r="HG11" s="68">
        <f>IF(OR($U11=0,$F11&lt;&gt;2),0,IF(HF11&gt;0,HF11,IF(ROUND(DH11*$J11,6)&lt;ROUND($M11,6),DH11,0)))</f>
        <v/>
      </c>
      <c r="HH11" s="68">
        <f>IF(OR($U11=0,$F11&lt;&gt;2),0,IF(HG11&gt;0,HG11,IF(ROUND(DI11*$J11,6)&lt;ROUND($M11,6),DI11,0)))</f>
        <v/>
      </c>
      <c r="HI11" s="68">
        <f>IF(OR($U11=0,$F11&lt;&gt;2),0,IF(HH11&gt;0,HH11,IF(ROUND(DJ11*$J11,6)&lt;ROUND($M11,6),DJ11,0)))</f>
        <v/>
      </c>
      <c r="HJ11" s="68">
        <f>IF(OR($U11=0,$F11&lt;&gt;2),0,IF(HI11&gt;0,HI11,IF(ROUND(DK11*$J11,6)&lt;ROUND($M11,6),DK11,0)))</f>
        <v/>
      </c>
      <c r="HK11" s="68">
        <f>IF(OR($U11=0,$F11&lt;&gt;2),0,IF(HJ11&gt;0,HJ11,IF(ROUND(DL11*$J11,6)&lt;ROUND($M11,6),DL11,0)))</f>
        <v/>
      </c>
      <c r="HL11" s="68">
        <f>IF(OR($U11=0,$F11&lt;&gt;2),0,IF(HK11&gt;0,HK11,IF(ROUND(DM11*$J11,6)&lt;ROUND($M11,6),DM11,0)))</f>
        <v/>
      </c>
      <c r="HM11" s="68">
        <f>IF(OR($U11=0,$F11&lt;&gt;2),0,IF(HL11&gt;0,HL11,IF(ROUND(DN11*$J11,6)&lt;ROUND($M11,6),DN11,0)))</f>
        <v/>
      </c>
      <c r="HN11" s="68">
        <f>IF(OR($U11=0,$F11&lt;&gt;2),0,IF(HM11&gt;0,HM11,IF(ROUND(DO11*$J11,6)&lt;ROUND($M11,6),DO11,0)))</f>
        <v/>
      </c>
      <c r="HO11" s="68">
        <f>IF(OR($U11=0,$F11&lt;&gt;2),0,IF(HN11&gt;0,HN11,IF(ROUND(DP11*$J11,6)&lt;ROUND($M11,6),DP11,0)))</f>
        <v/>
      </c>
      <c r="HP11" s="68">
        <f>IF(OR($U11=0,$F11&lt;&gt;2),0,IF(HO11&gt;0,HO11,IF(ROUND(DQ11*$J11,6)&lt;ROUND($M11,6),DQ11,0)))</f>
        <v/>
      </c>
      <c r="HQ11" s="68">
        <f>IF(OR($U11=0,$F11&lt;&gt;2),0,IF(HP11&gt;0,HP11,IF(ROUND(DR11*$J11,6)&lt;ROUND($M11,6),DR11,0)))</f>
        <v/>
      </c>
      <c r="HR11" s="68">
        <f>IF(OR($U11=0,$F11&lt;&gt;2),0,IF(HQ11&gt;0,HQ11,IF(ROUND(DS11*$J11,6)&lt;ROUND($M11,6),DS11,0)))</f>
        <v/>
      </c>
      <c r="HS11" s="68">
        <f>IF(OR($U11=0,$F11&lt;&gt;2),0,IF(HR11&gt;0,HR11,IF(ROUND(DT11*$J11,6)&lt;ROUND($M11,6),DT11,0)))</f>
        <v/>
      </c>
      <c r="HT11" s="68">
        <f>IF(OR($U11=0,$F11&lt;&gt;2),0,IF(HS11&gt;0,HS11,IF(ROUND(DU11*$J11,6)&lt;ROUND($M11,6),DU11,0)))</f>
        <v/>
      </c>
      <c r="HU11" s="68">
        <f>IF(OR($U11=0,$F11&lt;&gt;2),0,IF(HT11&gt;0,HT11,IF(ROUND(DV11*$J11,6)&lt;ROUND($M11,6),DV11,0)))</f>
        <v/>
      </c>
      <c r="HV11" s="68">
        <f>IF(OR($U11=0,$F11&lt;&gt;2),0,IF(HU11&gt;0,HU11,IF(ROUND(DW11*$J11,6)&lt;ROUND($M11,6),DW11,0)))</f>
        <v/>
      </c>
      <c r="HW11" s="68">
        <f>IF(OR($U11=0,$F11&lt;&gt;2),0,IF(HV11&gt;0,HV11,IF(ROUND(DX11*$J11,6)&lt;ROUND($M11,6),DX11,0)))</f>
        <v/>
      </c>
      <c r="HX11" s="68">
        <f>IF(OR($U11=0,$F11&lt;&gt;2),0,IF(HW11&gt;0,HW11,IF(ROUND(DY11*$J11,6)&lt;ROUND($M11,6),DY11,0)))</f>
        <v/>
      </c>
      <c r="HY11" s="68">
        <f>IF(OR($U11=0,$F11&lt;&gt;2),0,IF(HX11&gt;0,HX11,IF(ROUND(DZ11*$J11,6)&lt;ROUND($M11,6),DZ11,0)))</f>
        <v/>
      </c>
      <c r="HZ11" s="68">
        <f>IF(OR($U11=0,$F11&lt;&gt;2),0,IF(HY11&gt;0,HY11,IF(ROUND(EA11*$J11,6)&lt;ROUND($M11,6),EA11,0)))</f>
        <v/>
      </c>
      <c r="IA11" s="68">
        <f>IF(OR($U11=0,$F11&lt;&gt;2),0,IF(HZ11&gt;0,HZ11,IF(ROUND(EB11*$J11,6)&lt;ROUND($M11,6),EB11,0)))</f>
        <v/>
      </c>
      <c r="IB11" s="68">
        <f>IF(OR($U11=0,$F11&lt;&gt;2),0,IF(IA11&gt;0,IA11,IF(ROUND(EC11*$J11,6)&lt;ROUND($M11,6),EC11,0)))</f>
        <v/>
      </c>
      <c r="IC11" s="68">
        <f>IF(OR($U11=0,$F11&lt;&gt;2),0,IF(IB11&gt;0,IB11,IF(ROUND(ED11*$J11,6)&lt;ROUND($M11,6),ED11,0)))</f>
        <v/>
      </c>
      <c r="ID11" s="68">
        <f>IF(OR($U11=0,$F11&lt;&gt;2),0,IF(IC11&gt;0,IC11,IF(ROUND(EE11*$J11,6)&lt;ROUND($M11,6),EE11,0)))</f>
        <v/>
      </c>
      <c r="IE11" s="68">
        <f>IF(OR($U11=0,$F11&lt;&gt;2),0,IF(ID11&gt;0,ID11,IF(ROUND(EF11*$J11,6)&lt;ROUND($M11,6),EF11,0)))</f>
        <v/>
      </c>
      <c r="IF11" s="68">
        <f>IF(OR($U11=0,$F11&lt;&gt;2),0,IF(IE11&gt;0,IE11,IF(ROUND(EG11*$J11,6)&lt;ROUND($M11,6),EG11,0)))</f>
        <v/>
      </c>
      <c r="IG11" s="68">
        <f>IF(OR($U11=0,$F11&lt;&gt;2),0,IF(IF11&gt;0,IF11,IF(ROUND(EH11*$J11,6)&lt;ROUND($M11,6),EH11,0)))</f>
        <v/>
      </c>
      <c r="IH11" s="68">
        <f>IF(OR($U11=0,$F11&lt;&gt;2),0,IF(IG11&gt;0,IG11,IF(ROUND(EI11*$J11,6)&lt;ROUND($M11,6),EI11,0)))</f>
        <v/>
      </c>
      <c r="II11" s="68">
        <f>IF(OR($U11=0,$F11&lt;&gt;2),0,IF(IH11&gt;0,IH11,IF(ROUND(EJ11*$J11,6)&lt;ROUND($M11,6),EJ11,0)))</f>
        <v/>
      </c>
      <c r="IJ11" s="68">
        <f>IF(OR($U11=0,$F11&lt;&gt;2),0,IF(II11&gt;0,II11,IF(ROUND(EK11*$J11,6)&lt;ROUND($M11,6),EK11,0)))</f>
        <v/>
      </c>
      <c r="IK11" s="68">
        <f>IF(OR($U11=0,$F11&lt;&gt;2),0,IF(IJ11&gt;0,IJ11,IF(ROUND(EL11*$J11,6)&lt;ROUND($M11,6),EL11,0)))</f>
        <v/>
      </c>
      <c r="IL11" s="68">
        <f>IF(OR($U11=0,$F11&lt;&gt;2),0,IF(IK11&gt;0,IK11,IF(ROUND(EM11*$J11,6)&lt;ROUND($M11,6),EM11,0)))</f>
        <v/>
      </c>
      <c r="IM11" s="68">
        <f>IF(OR($U11=0,$F11&lt;&gt;2),0,IF(IL11&gt;0,IL11,IF(ROUND(EN11*$J11,6)&lt;ROUND($M11,6),EN11,0)))</f>
        <v/>
      </c>
      <c r="IN11" s="68">
        <f>IF(OR($U11=0,$F11&lt;&gt;2),0,IF(IM11&gt;0,IM11,IF(ROUND(EO11*$J11,6)&lt;ROUND($M11,6),EO11,0)))</f>
        <v/>
      </c>
    </row>
    <row r="12">
      <c r="A12" s="68" t="n">
        <v>7</v>
      </c>
      <c r="B12" s="68">
        <f>IF(OR(TRIM('固定資産台帳'!$B12)&lt;&gt;"",'固定資産台帳'!$E12&lt;&gt;"",'固定資産台帳'!$G12&lt;&gt;"",'固定資産台帳'!$H12&lt;&gt;""),1,0)</f>
        <v/>
      </c>
      <c r="C12" s="68">
        <f>IF(ISNUMBER('固定資産台帳'!$G12),MAX(ROUND('固定資産台帳'!$G12,0),0),0)</f>
        <v/>
      </c>
      <c r="D12" s="84">
        <f>IF(ISNUMBER('固定資産台帳'!$E12),INT('固定資産台帳'!$E12),0)</f>
        <v/>
      </c>
      <c r="E12" s="84">
        <f>IF(ISNUMBER('固定資産台帳'!$F12),INT('固定資産台帳'!$F12),$D12)</f>
        <v/>
      </c>
      <c r="F12" s="68">
        <f>IF('固定資産台帳'!$H12="定額法",1,IF(OR('固定資産台帳'!$H12="定率法",'固定資産台帳'!$H12="定率法（200%）",'固定資産台帳'!$H12="定率法（250%）"),2,IF('固定資産台帳'!$H12="一括償却（3年）",3,IF('固定資産台帳'!$H12="少額特例",4,0))))</f>
        <v/>
      </c>
      <c r="G12" s="68">
        <f>IF('固定資産台帳'!$H12="定率法（250%）",250,IF('固定資産台帳'!$H12="定率法（200%）",200,IF($D12&gt;=DATE(2012,4,1),200,250)))</f>
        <v/>
      </c>
      <c r="H12" s="68">
        <f>IF(ISNUMBER('固定資産台帳'!$I12),IF(AND('固定資産台帳'!$I12&gt;=2,'固定資産台帳'!$I12&lt;=100,'固定資産台帳'!$I12=INT('固定資産台帳'!$I12)),'固定資産台帳'!$I12,0),0)</f>
        <v/>
      </c>
      <c r="I12" s="68">
        <f>IF('固定資産台帳'!$C12="無形固定資産",0,1)</f>
        <v/>
      </c>
      <c r="J12" s="68">
        <f>IF(OR($H12=0,$F12=0,$F12&gt;2),0,IF($F12=1,INDEX('償却率表'!$B$6:$B$104,$H12-1),IF($G12=200,INDEX('償却率表'!$C$6:$C$104,$H12-1),INDEX('償却率表'!$F$6:$F$104,$H12-1))))</f>
        <v/>
      </c>
      <c r="K12" s="68">
        <f>IF(AND($F12=2,$H12&gt;0),IF($G12=200,INDEX('償却率表'!$D$6:$D$104,$H12-1),INDEX('償却率表'!$G$6:$G$104,$H12-1)),0)</f>
        <v/>
      </c>
      <c r="L12" s="68">
        <f>IF(AND($F12=2,$H12&gt;0),IF($G12=200,INDEX('償却率表'!$E$6:$E$104,$H12-1),INDEX('償却率表'!$H$6:$H$104,$H12-1)),0)</f>
        <v/>
      </c>
      <c r="M12" s="68">
        <f>$C12*$L12</f>
        <v/>
      </c>
      <c r="N12" s="68">
        <f>IF($B$1=1,1,IF('固定資産台帳'!$J12="",1,IF(ISNUMBER('固定資産台帳'!$J12),IF(AND('固定資産台帳'!$J12&gt;0,'固定資産台帳'!$J12&lt;=1),'固定資産台帳'!$J12,0),0)))</f>
        <v/>
      </c>
      <c r="O12" s="68">
        <f>IF($E12=0,0,YEAR($E12)-IF(MONTH($E12)&lt;$B$2,1,0))</f>
        <v/>
      </c>
      <c r="P12" s="68">
        <f>IF($E12=0,0,12-MOD(MONTH($E12)-$B$2,12))</f>
        <v/>
      </c>
      <c r="Q12" s="84">
        <f>IF(ISNUMBER('固定資産台帳'!$K12),INT('固定資産台帳'!$K12),0)</f>
        <v/>
      </c>
      <c r="R12" s="68">
        <f>IF(OR($Q12=0,$E12=0),999,YEAR($Q12)-IF(MONTH($Q12)&lt;$B$2,1,0)-$O12)</f>
        <v/>
      </c>
      <c r="S12" s="68">
        <f>IF($R12=999,0,MOD(MONTH($Q12)-$B$2,12)+1-IF($R12=0,12-$P12,0))</f>
        <v/>
      </c>
      <c r="T12" s="68">
        <f>IF($B12=0,0,IF($C12&lt;=0,1,IF($D12=0,2,IF($F12=0,3,IF(AND($F12&lt;=2,$H12=0),4,IF(AND($F12&lt;=2,$D12&lt;DATE(2007,4,1)),5,IF($E12&lt;$D12,6,IF(AND($Q12&gt;0,$Q12&lt;$E12),7,IF($N12=0,8,IF($B$3=0,9,0))))))))))</f>
        <v/>
      </c>
      <c r="U12" s="68">
        <f>IF(AND($B12=1,$T12=0),1,0)</f>
        <v/>
      </c>
      <c r="V12" s="68">
        <f>$B$3-$O12</f>
        <v/>
      </c>
      <c r="W12" s="68">
        <f>IF(AND($U12=1,$V12&gt;=0),1,0)</f>
        <v/>
      </c>
      <c r="X12" s="68">
        <f>IF($W12=0,0,IF($V12=0,$C12,INDEX($AS12:$EP12,MIN($V12,102))))</f>
        <v/>
      </c>
      <c r="Y12" s="68">
        <f>IF($W12=0,0,INDEX($AS12:$EP12,MIN($V12,101)+1))</f>
        <v/>
      </c>
      <c r="Z12" s="68">
        <f>$X12-$Y12</f>
        <v/>
      </c>
      <c r="AA12" s="68">
        <f>IF(AND($W12=1,$F12=2,$V12&gt;=1),INDEX($ER12:$IN12,MIN($V12,101)),0)</f>
        <v/>
      </c>
      <c r="AB12" s="68">
        <f>IF(OR($W12=0,$F12&gt;2,$Z12=0),0,IF($V12=0,IF($R12=0,$S12,$P12),IF($V12=$R12,$S12,12)))</f>
        <v/>
      </c>
      <c r="AC12" s="68">
        <f>IF($W12=0,0,INT(ROUND($Z12*$N12,6)+$B$4))</f>
        <v/>
      </c>
      <c r="AD12" s="68">
        <f>IF(AND($W12=1,$F12&lt;=2,$V12=$R12),1,0)</f>
        <v/>
      </c>
      <c r="AE12" s="68">
        <f>IF(AND($W12=1,$F12&lt;=2,$V12&gt;$R12),1,0)</f>
        <v/>
      </c>
      <c r="AF12" s="68">
        <f>IF(AND($W12=1,$AE12=0,OR($Z12&gt;0,$AD12=1)),1,0)</f>
        <v/>
      </c>
      <c r="AG12" s="68">
        <f>IF($AF12=1,SUM($AF$6:$AF12),0)</f>
        <v/>
      </c>
      <c r="AH12" s="68">
        <f>IF($T12=0,"",CHOOSE($T12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2" s="68">
        <f>IF(AND($F12=2,OR('固定資産台帳'!$C12="建物",'固定資産台帳'!$C12="無形固定資産",AND(OR('固定資産台帳'!$C12="建物附属設備",'固定資産台帳'!$C12="構築物"),$D12&gt;=DATE(2016,4,1)))),"この資産は定額法だけです（定率法は使えません）。","")&amp;IF(AND($F12=3,$C12&gt;=200000),"一括償却は20万円未満の資産だけです。","")&amp;IF(AND($F12=3,$B$1=0,$C12&lt;100000),"10万円未満は一括償却にせず、全額をその年の経費にします。","")&amp;IF(AND($F12=4,$C12&lt;100000),"10万円未満は少額特例ではなく、全額をその年の経費にします。","")&amp;IF(AND($F12=4,$D12&lt;DATE(2026,4,1),$C12&gt;=300000),"2026年3月31日までの取得で少額特例が使えるのは30万円未満です。","")&amp;IF(AND($F12=4,$D12&gt;=DATE(2026,4,1),$C12&gt;=400000),"少額特例は40万円未満の資産だけです。","")&amp;IF(AND($F12=4,OR($D12&lt;DATE(2006,4,1),$D12&gt;DATE(2029,3,31))),"少額特例は2006年4月1日〜2029年3月31日に取得した資産だけです。","")&amp;IF(AND($F12=2,$G12=250,$D12&gt;DATE(2012,12,31)),"250%定率法は2012年12月31日までの取得だけです。","")</f>
        <v/>
      </c>
      <c r="AJ12" s="68">
        <f>IF(AND($F12=2,'固定資産台帳'!$H12="定率法（200%）",$D12&lt;DATE(2012,4,1)),"2012年3月31日までの取得に200%を使うのは、経過措置の届出をした場合です。","")&amp;IF(AND($F12=2,'固定資産台帳'!$H12="定率法（250%）",$D12&gt;=DATE(2012,4,1),$D12&lt;=DATE(2012,12,31)),"2012年4〜12月の取得に250%を使うのは、経過措置を選んだ場合です。","")</f>
        <v/>
      </c>
      <c r="AK12" s="68">
        <f>IF($U12=0,"",IF($V12&lt;0,"表示している年より後に使い始める資産です。",IF($AE12=1,"売却・除却済みです。",IF($AD12=1,"この年に売却・除却。期末の帳簿価額 "&amp;TEXT($Y12,"#,##0")&amp;"円を帳簿から外します。",IF($F12=4,IF($V12=0,"少額特例：この年に全額を経費にします。","少額特例で経費にした資産です。"),IF($F12=3,IF($V12&gt;2,"一括償却は終わっています。","一括償却 "&amp;($V12+1)&amp;"年目（3年のうち）。"),IF($Z12=0,"償却済み（帳簿価額 "&amp;TEXT($Y12,"#,##0")&amp;"円）。",IF($AA12&gt;0,"改定償却率で計算（改定取得価額 "&amp;TEXT($AA12,"#,##0")&amp;"円）。",IF($V12=0,"この年に使い始め（"&amp;$AB12&amp;"か月分）。","")))))))))</f>
        <v/>
      </c>
      <c r="AL12" s="68">
        <f>IF(AND($U12=1,$F12=4,$V12=0),$C12,0)</f>
        <v/>
      </c>
      <c r="AM12" s="68">
        <f>IF($F12=2,INT(ROUND($M12,6)+$B$4),0)</f>
        <v/>
      </c>
      <c r="AN12" s="68">
        <f>IF($W12=0,0,IF($F12=2,IF($AA12&gt;0,$AA12,$X12),$C12))</f>
        <v/>
      </c>
      <c r="AO12" s="68">
        <f>IF($W12=0,"",IF($F12=3,"1/3",IF($F12=4,"―",IF($AA12&gt;0,$K12,$J12))))</f>
        <v/>
      </c>
      <c r="AP12" s="68" t="n"/>
      <c r="AQ12" s="68" t="n"/>
      <c r="AR12" s="68" t="n"/>
      <c r="AS12" s="68">
        <f>IF($U12=0,0,IF($F12=4,0,IF($F12=3,MAX($C12-INT(ROUND($C12/3,6)+$B$4),0),$C12-MIN(INT(ROUND($C12*$J12*IF($R12=0,$S12,$P12)/12,6)+$B$4),MAX($C12-$I12,0)))))</f>
        <v/>
      </c>
      <c r="AT12" s="68">
        <f>IF($U12=0,0,IF($F12=4,0,IF($F12=3,AS12-MIN(INT(ROUND($C12/3,6)+$B$4),AS12),IF(OR(1&gt;$R12,AS12&lt;=$I12),AS12,AS12-MIN(INT(ROUND(IF($F12=1,$C12*$J12,IF(ER12&gt;0,ER12*$K12,AS12*$J12))*IF(1=$R12,$S12,12)/12,6)+$B$4),AS12-$I12)))))</f>
        <v/>
      </c>
      <c r="AU12" s="68">
        <f>IF($U12=0,0,IF($F12=4,0,IF($F12=3,0,IF(OR(2&gt;$R12,AT12&lt;=$I12),AT12,AT12-MIN(INT(ROUND(IF($F12=1,$C12*$J12,IF(ES12&gt;0,ES12*$K12,AT12*$J12))*IF(2=$R12,$S12,12)/12,6)+$B$4),AT12-$I12)))))</f>
        <v/>
      </c>
      <c r="AV12" s="68">
        <f>IF($U12=0,0,IF($F12=4,0,IF($F12=3,0,IF(OR(3&gt;$R12,AU12&lt;=$I12),AU12,AU12-MIN(INT(ROUND(IF($F12=1,$C12*$J12,IF(ET12&gt;0,ET12*$K12,AU12*$J12))*IF(3=$R12,$S12,12)/12,6)+$B$4),AU12-$I12)))))</f>
        <v/>
      </c>
      <c r="AW12" s="68">
        <f>IF($U12=0,0,IF($F12=4,0,IF($F12=3,0,IF(OR(4&gt;$R12,AV12&lt;=$I12),AV12,AV12-MIN(INT(ROUND(IF($F12=1,$C12*$J12,IF(EU12&gt;0,EU12*$K12,AV12*$J12))*IF(4=$R12,$S12,12)/12,6)+$B$4),AV12-$I12)))))</f>
        <v/>
      </c>
      <c r="AX12" s="68">
        <f>IF($U12=0,0,IF($F12=4,0,IF($F12=3,0,IF(OR(5&gt;$R12,AW12&lt;=$I12),AW12,AW12-MIN(INT(ROUND(IF($F12=1,$C12*$J12,IF(EV12&gt;0,EV12*$K12,AW12*$J12))*IF(5=$R12,$S12,12)/12,6)+$B$4),AW12-$I12)))))</f>
        <v/>
      </c>
      <c r="AY12" s="68">
        <f>IF($U12=0,0,IF($F12=4,0,IF($F12=3,0,IF(OR(6&gt;$R12,AX12&lt;=$I12),AX12,AX12-MIN(INT(ROUND(IF($F12=1,$C12*$J12,IF(EW12&gt;0,EW12*$K12,AX12*$J12))*IF(6=$R12,$S12,12)/12,6)+$B$4),AX12-$I12)))))</f>
        <v/>
      </c>
      <c r="AZ12" s="68">
        <f>IF($U12=0,0,IF($F12=4,0,IF($F12=3,0,IF(OR(7&gt;$R12,AY12&lt;=$I12),AY12,AY12-MIN(INT(ROUND(IF($F12=1,$C12*$J12,IF(EX12&gt;0,EX12*$K12,AY12*$J12))*IF(7=$R12,$S12,12)/12,6)+$B$4),AY12-$I12)))))</f>
        <v/>
      </c>
      <c r="BA12" s="68">
        <f>IF($U12=0,0,IF($F12=4,0,IF($F12=3,0,IF(OR(8&gt;$R12,AZ12&lt;=$I12),AZ12,AZ12-MIN(INT(ROUND(IF($F12=1,$C12*$J12,IF(EY12&gt;0,EY12*$K12,AZ12*$J12))*IF(8=$R12,$S12,12)/12,6)+$B$4),AZ12-$I12)))))</f>
        <v/>
      </c>
      <c r="BB12" s="68">
        <f>IF($U12=0,0,IF($F12=4,0,IF($F12=3,0,IF(OR(9&gt;$R12,BA12&lt;=$I12),BA12,BA12-MIN(INT(ROUND(IF($F12=1,$C12*$J12,IF(EZ12&gt;0,EZ12*$K12,BA12*$J12))*IF(9=$R12,$S12,12)/12,6)+$B$4),BA12-$I12)))))</f>
        <v/>
      </c>
      <c r="BC12" s="68">
        <f>IF($U12=0,0,IF($F12=4,0,IF($F12=3,0,IF(OR(10&gt;$R12,BB12&lt;=$I12),BB12,BB12-MIN(INT(ROUND(IF($F12=1,$C12*$J12,IF(FA12&gt;0,FA12*$K12,BB12*$J12))*IF(10=$R12,$S12,12)/12,6)+$B$4),BB12-$I12)))))</f>
        <v/>
      </c>
      <c r="BD12" s="68">
        <f>IF($U12=0,0,IF($F12=4,0,IF($F12=3,0,IF(OR(11&gt;$R12,BC12&lt;=$I12),BC12,BC12-MIN(INT(ROUND(IF($F12=1,$C12*$J12,IF(FB12&gt;0,FB12*$K12,BC12*$J12))*IF(11=$R12,$S12,12)/12,6)+$B$4),BC12-$I12)))))</f>
        <v/>
      </c>
      <c r="BE12" s="68">
        <f>IF($U12=0,0,IF($F12=4,0,IF($F12=3,0,IF(OR(12&gt;$R12,BD12&lt;=$I12),BD12,BD12-MIN(INT(ROUND(IF($F12=1,$C12*$J12,IF(FC12&gt;0,FC12*$K12,BD12*$J12))*IF(12=$R12,$S12,12)/12,6)+$B$4),BD12-$I12)))))</f>
        <v/>
      </c>
      <c r="BF12" s="68">
        <f>IF($U12=0,0,IF($F12=4,0,IF($F12=3,0,IF(OR(13&gt;$R12,BE12&lt;=$I12),BE12,BE12-MIN(INT(ROUND(IF($F12=1,$C12*$J12,IF(FD12&gt;0,FD12*$K12,BE12*$J12))*IF(13=$R12,$S12,12)/12,6)+$B$4),BE12-$I12)))))</f>
        <v/>
      </c>
      <c r="BG12" s="68">
        <f>IF($U12=0,0,IF($F12=4,0,IF($F12=3,0,IF(OR(14&gt;$R12,BF12&lt;=$I12),BF12,BF12-MIN(INT(ROUND(IF($F12=1,$C12*$J12,IF(FE12&gt;0,FE12*$K12,BF12*$J12))*IF(14=$R12,$S12,12)/12,6)+$B$4),BF12-$I12)))))</f>
        <v/>
      </c>
      <c r="BH12" s="68">
        <f>IF($U12=0,0,IF($F12=4,0,IF($F12=3,0,IF(OR(15&gt;$R12,BG12&lt;=$I12),BG12,BG12-MIN(INT(ROUND(IF($F12=1,$C12*$J12,IF(FF12&gt;0,FF12*$K12,BG12*$J12))*IF(15=$R12,$S12,12)/12,6)+$B$4),BG12-$I12)))))</f>
        <v/>
      </c>
      <c r="BI12" s="68">
        <f>IF($U12=0,0,IF($F12=4,0,IF($F12=3,0,IF(OR(16&gt;$R12,BH12&lt;=$I12),BH12,BH12-MIN(INT(ROUND(IF($F12=1,$C12*$J12,IF(FG12&gt;0,FG12*$K12,BH12*$J12))*IF(16=$R12,$S12,12)/12,6)+$B$4),BH12-$I12)))))</f>
        <v/>
      </c>
      <c r="BJ12" s="68">
        <f>IF($U12=0,0,IF($F12=4,0,IF($F12=3,0,IF(OR(17&gt;$R12,BI12&lt;=$I12),BI12,BI12-MIN(INT(ROUND(IF($F12=1,$C12*$J12,IF(FH12&gt;0,FH12*$K12,BI12*$J12))*IF(17=$R12,$S12,12)/12,6)+$B$4),BI12-$I12)))))</f>
        <v/>
      </c>
      <c r="BK12" s="68">
        <f>IF($U12=0,0,IF($F12=4,0,IF($F12=3,0,IF(OR(18&gt;$R12,BJ12&lt;=$I12),BJ12,BJ12-MIN(INT(ROUND(IF($F12=1,$C12*$J12,IF(FI12&gt;0,FI12*$K12,BJ12*$J12))*IF(18=$R12,$S12,12)/12,6)+$B$4),BJ12-$I12)))))</f>
        <v/>
      </c>
      <c r="BL12" s="68">
        <f>IF($U12=0,0,IF($F12=4,0,IF($F12=3,0,IF(OR(19&gt;$R12,BK12&lt;=$I12),BK12,BK12-MIN(INT(ROUND(IF($F12=1,$C12*$J12,IF(FJ12&gt;0,FJ12*$K12,BK12*$J12))*IF(19=$R12,$S12,12)/12,6)+$B$4),BK12-$I12)))))</f>
        <v/>
      </c>
      <c r="BM12" s="68">
        <f>IF($U12=0,0,IF($F12=4,0,IF($F12=3,0,IF(OR(20&gt;$R12,BL12&lt;=$I12),BL12,BL12-MIN(INT(ROUND(IF($F12=1,$C12*$J12,IF(FK12&gt;0,FK12*$K12,BL12*$J12))*IF(20=$R12,$S12,12)/12,6)+$B$4),BL12-$I12)))))</f>
        <v/>
      </c>
      <c r="BN12" s="68">
        <f>IF($U12=0,0,IF($F12=4,0,IF($F12=3,0,IF(OR(21&gt;$R12,BM12&lt;=$I12),BM12,BM12-MIN(INT(ROUND(IF($F12=1,$C12*$J12,IF(FL12&gt;0,FL12*$K12,BM12*$J12))*IF(21=$R12,$S12,12)/12,6)+$B$4),BM12-$I12)))))</f>
        <v/>
      </c>
      <c r="BO12" s="68">
        <f>IF($U12=0,0,IF($F12=4,0,IF($F12=3,0,IF(OR(22&gt;$R12,BN12&lt;=$I12),BN12,BN12-MIN(INT(ROUND(IF($F12=1,$C12*$J12,IF(FM12&gt;0,FM12*$K12,BN12*$J12))*IF(22=$R12,$S12,12)/12,6)+$B$4),BN12-$I12)))))</f>
        <v/>
      </c>
      <c r="BP12" s="68">
        <f>IF($U12=0,0,IF($F12=4,0,IF($F12=3,0,IF(OR(23&gt;$R12,BO12&lt;=$I12),BO12,BO12-MIN(INT(ROUND(IF($F12=1,$C12*$J12,IF(FN12&gt;0,FN12*$K12,BO12*$J12))*IF(23=$R12,$S12,12)/12,6)+$B$4),BO12-$I12)))))</f>
        <v/>
      </c>
      <c r="BQ12" s="68">
        <f>IF($U12=0,0,IF($F12=4,0,IF($F12=3,0,IF(OR(24&gt;$R12,BP12&lt;=$I12),BP12,BP12-MIN(INT(ROUND(IF($F12=1,$C12*$J12,IF(FO12&gt;0,FO12*$K12,BP12*$J12))*IF(24=$R12,$S12,12)/12,6)+$B$4),BP12-$I12)))))</f>
        <v/>
      </c>
      <c r="BR12" s="68">
        <f>IF($U12=0,0,IF($F12=4,0,IF($F12=3,0,IF(OR(25&gt;$R12,BQ12&lt;=$I12),BQ12,BQ12-MIN(INT(ROUND(IF($F12=1,$C12*$J12,IF(FP12&gt;0,FP12*$K12,BQ12*$J12))*IF(25=$R12,$S12,12)/12,6)+$B$4),BQ12-$I12)))))</f>
        <v/>
      </c>
      <c r="BS12" s="68">
        <f>IF($U12=0,0,IF($F12=4,0,IF($F12=3,0,IF(OR(26&gt;$R12,BR12&lt;=$I12),BR12,BR12-MIN(INT(ROUND(IF($F12=1,$C12*$J12,IF(FQ12&gt;0,FQ12*$K12,BR12*$J12))*IF(26=$R12,$S12,12)/12,6)+$B$4),BR12-$I12)))))</f>
        <v/>
      </c>
      <c r="BT12" s="68">
        <f>IF($U12=0,0,IF($F12=4,0,IF($F12=3,0,IF(OR(27&gt;$R12,BS12&lt;=$I12),BS12,BS12-MIN(INT(ROUND(IF($F12=1,$C12*$J12,IF(FR12&gt;0,FR12*$K12,BS12*$J12))*IF(27=$R12,$S12,12)/12,6)+$B$4),BS12-$I12)))))</f>
        <v/>
      </c>
      <c r="BU12" s="68">
        <f>IF($U12=0,0,IF($F12=4,0,IF($F12=3,0,IF(OR(28&gt;$R12,BT12&lt;=$I12),BT12,BT12-MIN(INT(ROUND(IF($F12=1,$C12*$J12,IF(FS12&gt;0,FS12*$K12,BT12*$J12))*IF(28=$R12,$S12,12)/12,6)+$B$4),BT12-$I12)))))</f>
        <v/>
      </c>
      <c r="BV12" s="68">
        <f>IF($U12=0,0,IF($F12=4,0,IF($F12=3,0,IF(OR(29&gt;$R12,BU12&lt;=$I12),BU12,BU12-MIN(INT(ROUND(IF($F12=1,$C12*$J12,IF(FT12&gt;0,FT12*$K12,BU12*$J12))*IF(29=$R12,$S12,12)/12,6)+$B$4),BU12-$I12)))))</f>
        <v/>
      </c>
      <c r="BW12" s="68">
        <f>IF($U12=0,0,IF($F12=4,0,IF($F12=3,0,IF(OR(30&gt;$R12,BV12&lt;=$I12),BV12,BV12-MIN(INT(ROUND(IF($F12=1,$C12*$J12,IF(FU12&gt;0,FU12*$K12,BV12*$J12))*IF(30=$R12,$S12,12)/12,6)+$B$4),BV12-$I12)))))</f>
        <v/>
      </c>
      <c r="BX12" s="68">
        <f>IF($U12=0,0,IF($F12=4,0,IF($F12=3,0,IF(OR(31&gt;$R12,BW12&lt;=$I12),BW12,BW12-MIN(INT(ROUND(IF($F12=1,$C12*$J12,IF(FV12&gt;0,FV12*$K12,BW12*$J12))*IF(31=$R12,$S12,12)/12,6)+$B$4),BW12-$I12)))))</f>
        <v/>
      </c>
      <c r="BY12" s="68">
        <f>IF($U12=0,0,IF($F12=4,0,IF($F12=3,0,IF(OR(32&gt;$R12,BX12&lt;=$I12),BX12,BX12-MIN(INT(ROUND(IF($F12=1,$C12*$J12,IF(FW12&gt;0,FW12*$K12,BX12*$J12))*IF(32=$R12,$S12,12)/12,6)+$B$4),BX12-$I12)))))</f>
        <v/>
      </c>
      <c r="BZ12" s="68">
        <f>IF($U12=0,0,IF($F12=4,0,IF($F12=3,0,IF(OR(33&gt;$R12,BY12&lt;=$I12),BY12,BY12-MIN(INT(ROUND(IF($F12=1,$C12*$J12,IF(FX12&gt;0,FX12*$K12,BY12*$J12))*IF(33=$R12,$S12,12)/12,6)+$B$4),BY12-$I12)))))</f>
        <v/>
      </c>
      <c r="CA12" s="68">
        <f>IF($U12=0,0,IF($F12=4,0,IF($F12=3,0,IF(OR(34&gt;$R12,BZ12&lt;=$I12),BZ12,BZ12-MIN(INT(ROUND(IF($F12=1,$C12*$J12,IF(FY12&gt;0,FY12*$K12,BZ12*$J12))*IF(34=$R12,$S12,12)/12,6)+$B$4),BZ12-$I12)))))</f>
        <v/>
      </c>
      <c r="CB12" s="68">
        <f>IF($U12=0,0,IF($F12=4,0,IF($F12=3,0,IF(OR(35&gt;$R12,CA12&lt;=$I12),CA12,CA12-MIN(INT(ROUND(IF($F12=1,$C12*$J12,IF(FZ12&gt;0,FZ12*$K12,CA12*$J12))*IF(35=$R12,$S12,12)/12,6)+$B$4),CA12-$I12)))))</f>
        <v/>
      </c>
      <c r="CC12" s="68">
        <f>IF($U12=0,0,IF($F12=4,0,IF($F12=3,0,IF(OR(36&gt;$R12,CB12&lt;=$I12),CB12,CB12-MIN(INT(ROUND(IF($F12=1,$C12*$J12,IF(GA12&gt;0,GA12*$K12,CB12*$J12))*IF(36=$R12,$S12,12)/12,6)+$B$4),CB12-$I12)))))</f>
        <v/>
      </c>
      <c r="CD12" s="68">
        <f>IF($U12=0,0,IF($F12=4,0,IF($F12=3,0,IF(OR(37&gt;$R12,CC12&lt;=$I12),CC12,CC12-MIN(INT(ROUND(IF($F12=1,$C12*$J12,IF(GB12&gt;0,GB12*$K12,CC12*$J12))*IF(37=$R12,$S12,12)/12,6)+$B$4),CC12-$I12)))))</f>
        <v/>
      </c>
      <c r="CE12" s="68">
        <f>IF($U12=0,0,IF($F12=4,0,IF($F12=3,0,IF(OR(38&gt;$R12,CD12&lt;=$I12),CD12,CD12-MIN(INT(ROUND(IF($F12=1,$C12*$J12,IF(GC12&gt;0,GC12*$K12,CD12*$J12))*IF(38=$R12,$S12,12)/12,6)+$B$4),CD12-$I12)))))</f>
        <v/>
      </c>
      <c r="CF12" s="68">
        <f>IF($U12=0,0,IF($F12=4,0,IF($F12=3,0,IF(OR(39&gt;$R12,CE12&lt;=$I12),CE12,CE12-MIN(INT(ROUND(IF($F12=1,$C12*$J12,IF(GD12&gt;0,GD12*$K12,CE12*$J12))*IF(39=$R12,$S12,12)/12,6)+$B$4),CE12-$I12)))))</f>
        <v/>
      </c>
      <c r="CG12" s="68">
        <f>IF($U12=0,0,IF($F12=4,0,IF($F12=3,0,IF(OR(40&gt;$R12,CF12&lt;=$I12),CF12,CF12-MIN(INT(ROUND(IF($F12=1,$C12*$J12,IF(GE12&gt;0,GE12*$K12,CF12*$J12))*IF(40=$R12,$S12,12)/12,6)+$B$4),CF12-$I12)))))</f>
        <v/>
      </c>
      <c r="CH12" s="68">
        <f>IF($U12=0,0,IF($F12=4,0,IF($F12=3,0,IF(OR(41&gt;$R12,CG12&lt;=$I12),CG12,CG12-MIN(INT(ROUND(IF($F12=1,$C12*$J12,IF(GF12&gt;0,GF12*$K12,CG12*$J12))*IF(41=$R12,$S12,12)/12,6)+$B$4),CG12-$I12)))))</f>
        <v/>
      </c>
      <c r="CI12" s="68">
        <f>IF($U12=0,0,IF($F12=4,0,IF($F12=3,0,IF(OR(42&gt;$R12,CH12&lt;=$I12),CH12,CH12-MIN(INT(ROUND(IF($F12=1,$C12*$J12,IF(GG12&gt;0,GG12*$K12,CH12*$J12))*IF(42=$R12,$S12,12)/12,6)+$B$4),CH12-$I12)))))</f>
        <v/>
      </c>
      <c r="CJ12" s="68">
        <f>IF($U12=0,0,IF($F12=4,0,IF($F12=3,0,IF(OR(43&gt;$R12,CI12&lt;=$I12),CI12,CI12-MIN(INT(ROUND(IF($F12=1,$C12*$J12,IF(GH12&gt;0,GH12*$K12,CI12*$J12))*IF(43=$R12,$S12,12)/12,6)+$B$4),CI12-$I12)))))</f>
        <v/>
      </c>
      <c r="CK12" s="68">
        <f>IF($U12=0,0,IF($F12=4,0,IF($F12=3,0,IF(OR(44&gt;$R12,CJ12&lt;=$I12),CJ12,CJ12-MIN(INT(ROUND(IF($F12=1,$C12*$J12,IF(GI12&gt;0,GI12*$K12,CJ12*$J12))*IF(44=$R12,$S12,12)/12,6)+$B$4),CJ12-$I12)))))</f>
        <v/>
      </c>
      <c r="CL12" s="68">
        <f>IF($U12=0,0,IF($F12=4,0,IF($F12=3,0,IF(OR(45&gt;$R12,CK12&lt;=$I12),CK12,CK12-MIN(INT(ROUND(IF($F12=1,$C12*$J12,IF(GJ12&gt;0,GJ12*$K12,CK12*$J12))*IF(45=$R12,$S12,12)/12,6)+$B$4),CK12-$I12)))))</f>
        <v/>
      </c>
      <c r="CM12" s="68">
        <f>IF($U12=0,0,IF($F12=4,0,IF($F12=3,0,IF(OR(46&gt;$R12,CL12&lt;=$I12),CL12,CL12-MIN(INT(ROUND(IF($F12=1,$C12*$J12,IF(GK12&gt;0,GK12*$K12,CL12*$J12))*IF(46=$R12,$S12,12)/12,6)+$B$4),CL12-$I12)))))</f>
        <v/>
      </c>
      <c r="CN12" s="68">
        <f>IF($U12=0,0,IF($F12=4,0,IF($F12=3,0,IF(OR(47&gt;$R12,CM12&lt;=$I12),CM12,CM12-MIN(INT(ROUND(IF($F12=1,$C12*$J12,IF(GL12&gt;0,GL12*$K12,CM12*$J12))*IF(47=$R12,$S12,12)/12,6)+$B$4),CM12-$I12)))))</f>
        <v/>
      </c>
      <c r="CO12" s="68">
        <f>IF($U12=0,0,IF($F12=4,0,IF($F12=3,0,IF(OR(48&gt;$R12,CN12&lt;=$I12),CN12,CN12-MIN(INT(ROUND(IF($F12=1,$C12*$J12,IF(GM12&gt;0,GM12*$K12,CN12*$J12))*IF(48=$R12,$S12,12)/12,6)+$B$4),CN12-$I12)))))</f>
        <v/>
      </c>
      <c r="CP12" s="68">
        <f>IF($U12=0,0,IF($F12=4,0,IF($F12=3,0,IF(OR(49&gt;$R12,CO12&lt;=$I12),CO12,CO12-MIN(INT(ROUND(IF($F12=1,$C12*$J12,IF(GN12&gt;0,GN12*$K12,CO12*$J12))*IF(49=$R12,$S12,12)/12,6)+$B$4),CO12-$I12)))))</f>
        <v/>
      </c>
      <c r="CQ12" s="68">
        <f>IF($U12=0,0,IF($F12=4,0,IF($F12=3,0,IF(OR(50&gt;$R12,CP12&lt;=$I12),CP12,CP12-MIN(INT(ROUND(IF($F12=1,$C12*$J12,IF(GO12&gt;0,GO12*$K12,CP12*$J12))*IF(50=$R12,$S12,12)/12,6)+$B$4),CP12-$I12)))))</f>
        <v/>
      </c>
      <c r="CR12" s="68">
        <f>IF($U12=0,0,IF($F12=4,0,IF($F12=3,0,IF(OR(51&gt;$R12,CQ12&lt;=$I12),CQ12,CQ12-MIN(INT(ROUND(IF($F12=1,$C12*$J12,IF(GP12&gt;0,GP12*$K12,CQ12*$J12))*IF(51=$R12,$S12,12)/12,6)+$B$4),CQ12-$I12)))))</f>
        <v/>
      </c>
      <c r="CS12" s="68">
        <f>IF($U12=0,0,IF($F12=4,0,IF($F12=3,0,IF(OR(52&gt;$R12,CR12&lt;=$I12),CR12,CR12-MIN(INT(ROUND(IF($F12=1,$C12*$J12,IF(GQ12&gt;0,GQ12*$K12,CR12*$J12))*IF(52=$R12,$S12,12)/12,6)+$B$4),CR12-$I12)))))</f>
        <v/>
      </c>
      <c r="CT12" s="68">
        <f>IF($U12=0,0,IF($F12=4,0,IF($F12=3,0,IF(OR(53&gt;$R12,CS12&lt;=$I12),CS12,CS12-MIN(INT(ROUND(IF($F12=1,$C12*$J12,IF(GR12&gt;0,GR12*$K12,CS12*$J12))*IF(53=$R12,$S12,12)/12,6)+$B$4),CS12-$I12)))))</f>
        <v/>
      </c>
      <c r="CU12" s="68">
        <f>IF($U12=0,0,IF($F12=4,0,IF($F12=3,0,IF(OR(54&gt;$R12,CT12&lt;=$I12),CT12,CT12-MIN(INT(ROUND(IF($F12=1,$C12*$J12,IF(GS12&gt;0,GS12*$K12,CT12*$J12))*IF(54=$R12,$S12,12)/12,6)+$B$4),CT12-$I12)))))</f>
        <v/>
      </c>
      <c r="CV12" s="68">
        <f>IF($U12=0,0,IF($F12=4,0,IF($F12=3,0,IF(OR(55&gt;$R12,CU12&lt;=$I12),CU12,CU12-MIN(INT(ROUND(IF($F12=1,$C12*$J12,IF(GT12&gt;0,GT12*$K12,CU12*$J12))*IF(55=$R12,$S12,12)/12,6)+$B$4),CU12-$I12)))))</f>
        <v/>
      </c>
      <c r="CW12" s="68">
        <f>IF($U12=0,0,IF($F12=4,0,IF($F12=3,0,IF(OR(56&gt;$R12,CV12&lt;=$I12),CV12,CV12-MIN(INT(ROUND(IF($F12=1,$C12*$J12,IF(GU12&gt;0,GU12*$K12,CV12*$J12))*IF(56=$R12,$S12,12)/12,6)+$B$4),CV12-$I12)))))</f>
        <v/>
      </c>
      <c r="CX12" s="68">
        <f>IF($U12=0,0,IF($F12=4,0,IF($F12=3,0,IF(OR(57&gt;$R12,CW12&lt;=$I12),CW12,CW12-MIN(INT(ROUND(IF($F12=1,$C12*$J12,IF(GV12&gt;0,GV12*$K12,CW12*$J12))*IF(57=$R12,$S12,12)/12,6)+$B$4),CW12-$I12)))))</f>
        <v/>
      </c>
      <c r="CY12" s="68">
        <f>IF($U12=0,0,IF($F12=4,0,IF($F12=3,0,IF(OR(58&gt;$R12,CX12&lt;=$I12),CX12,CX12-MIN(INT(ROUND(IF($F12=1,$C12*$J12,IF(GW12&gt;0,GW12*$K12,CX12*$J12))*IF(58=$R12,$S12,12)/12,6)+$B$4),CX12-$I12)))))</f>
        <v/>
      </c>
      <c r="CZ12" s="68">
        <f>IF($U12=0,0,IF($F12=4,0,IF($F12=3,0,IF(OR(59&gt;$R12,CY12&lt;=$I12),CY12,CY12-MIN(INT(ROUND(IF($F12=1,$C12*$J12,IF(GX12&gt;0,GX12*$K12,CY12*$J12))*IF(59=$R12,$S12,12)/12,6)+$B$4),CY12-$I12)))))</f>
        <v/>
      </c>
      <c r="DA12" s="68">
        <f>IF($U12=0,0,IF($F12=4,0,IF($F12=3,0,IF(OR(60&gt;$R12,CZ12&lt;=$I12),CZ12,CZ12-MIN(INT(ROUND(IF($F12=1,$C12*$J12,IF(GY12&gt;0,GY12*$K12,CZ12*$J12))*IF(60=$R12,$S12,12)/12,6)+$B$4),CZ12-$I12)))))</f>
        <v/>
      </c>
      <c r="DB12" s="68">
        <f>IF($U12=0,0,IF($F12=4,0,IF($F12=3,0,IF(OR(61&gt;$R12,DA12&lt;=$I12),DA12,DA12-MIN(INT(ROUND(IF($F12=1,$C12*$J12,IF(GZ12&gt;0,GZ12*$K12,DA12*$J12))*IF(61=$R12,$S12,12)/12,6)+$B$4),DA12-$I12)))))</f>
        <v/>
      </c>
      <c r="DC12" s="68">
        <f>IF($U12=0,0,IF($F12=4,0,IF($F12=3,0,IF(OR(62&gt;$R12,DB12&lt;=$I12),DB12,DB12-MIN(INT(ROUND(IF($F12=1,$C12*$J12,IF(HA12&gt;0,HA12*$K12,DB12*$J12))*IF(62=$R12,$S12,12)/12,6)+$B$4),DB12-$I12)))))</f>
        <v/>
      </c>
      <c r="DD12" s="68">
        <f>IF($U12=0,0,IF($F12=4,0,IF($F12=3,0,IF(OR(63&gt;$R12,DC12&lt;=$I12),DC12,DC12-MIN(INT(ROUND(IF($F12=1,$C12*$J12,IF(HB12&gt;0,HB12*$K12,DC12*$J12))*IF(63=$R12,$S12,12)/12,6)+$B$4),DC12-$I12)))))</f>
        <v/>
      </c>
      <c r="DE12" s="68">
        <f>IF($U12=0,0,IF($F12=4,0,IF($F12=3,0,IF(OR(64&gt;$R12,DD12&lt;=$I12),DD12,DD12-MIN(INT(ROUND(IF($F12=1,$C12*$J12,IF(HC12&gt;0,HC12*$K12,DD12*$J12))*IF(64=$R12,$S12,12)/12,6)+$B$4),DD12-$I12)))))</f>
        <v/>
      </c>
      <c r="DF12" s="68">
        <f>IF($U12=0,0,IF($F12=4,0,IF($F12=3,0,IF(OR(65&gt;$R12,DE12&lt;=$I12),DE12,DE12-MIN(INT(ROUND(IF($F12=1,$C12*$J12,IF(HD12&gt;0,HD12*$K12,DE12*$J12))*IF(65=$R12,$S12,12)/12,6)+$B$4),DE12-$I12)))))</f>
        <v/>
      </c>
      <c r="DG12" s="68">
        <f>IF($U12=0,0,IF($F12=4,0,IF($F12=3,0,IF(OR(66&gt;$R12,DF12&lt;=$I12),DF12,DF12-MIN(INT(ROUND(IF($F12=1,$C12*$J12,IF(HE12&gt;0,HE12*$K12,DF12*$J12))*IF(66=$R12,$S12,12)/12,6)+$B$4),DF12-$I12)))))</f>
        <v/>
      </c>
      <c r="DH12" s="68">
        <f>IF($U12=0,0,IF($F12=4,0,IF($F12=3,0,IF(OR(67&gt;$R12,DG12&lt;=$I12),DG12,DG12-MIN(INT(ROUND(IF($F12=1,$C12*$J12,IF(HF12&gt;0,HF12*$K12,DG12*$J12))*IF(67=$R12,$S12,12)/12,6)+$B$4),DG12-$I12)))))</f>
        <v/>
      </c>
      <c r="DI12" s="68">
        <f>IF($U12=0,0,IF($F12=4,0,IF($F12=3,0,IF(OR(68&gt;$R12,DH12&lt;=$I12),DH12,DH12-MIN(INT(ROUND(IF($F12=1,$C12*$J12,IF(HG12&gt;0,HG12*$K12,DH12*$J12))*IF(68=$R12,$S12,12)/12,6)+$B$4),DH12-$I12)))))</f>
        <v/>
      </c>
      <c r="DJ12" s="68">
        <f>IF($U12=0,0,IF($F12=4,0,IF($F12=3,0,IF(OR(69&gt;$R12,DI12&lt;=$I12),DI12,DI12-MIN(INT(ROUND(IF($F12=1,$C12*$J12,IF(HH12&gt;0,HH12*$K12,DI12*$J12))*IF(69=$R12,$S12,12)/12,6)+$B$4),DI12-$I12)))))</f>
        <v/>
      </c>
      <c r="DK12" s="68">
        <f>IF($U12=0,0,IF($F12=4,0,IF($F12=3,0,IF(OR(70&gt;$R12,DJ12&lt;=$I12),DJ12,DJ12-MIN(INT(ROUND(IF($F12=1,$C12*$J12,IF(HI12&gt;0,HI12*$K12,DJ12*$J12))*IF(70=$R12,$S12,12)/12,6)+$B$4),DJ12-$I12)))))</f>
        <v/>
      </c>
      <c r="DL12" s="68">
        <f>IF($U12=0,0,IF($F12=4,0,IF($F12=3,0,IF(OR(71&gt;$R12,DK12&lt;=$I12),DK12,DK12-MIN(INT(ROUND(IF($F12=1,$C12*$J12,IF(HJ12&gt;0,HJ12*$K12,DK12*$J12))*IF(71=$R12,$S12,12)/12,6)+$B$4),DK12-$I12)))))</f>
        <v/>
      </c>
      <c r="DM12" s="68">
        <f>IF($U12=0,0,IF($F12=4,0,IF($F12=3,0,IF(OR(72&gt;$R12,DL12&lt;=$I12),DL12,DL12-MIN(INT(ROUND(IF($F12=1,$C12*$J12,IF(HK12&gt;0,HK12*$K12,DL12*$J12))*IF(72=$R12,$S12,12)/12,6)+$B$4),DL12-$I12)))))</f>
        <v/>
      </c>
      <c r="DN12" s="68">
        <f>IF($U12=0,0,IF($F12=4,0,IF($F12=3,0,IF(OR(73&gt;$R12,DM12&lt;=$I12),DM12,DM12-MIN(INT(ROUND(IF($F12=1,$C12*$J12,IF(HL12&gt;0,HL12*$K12,DM12*$J12))*IF(73=$R12,$S12,12)/12,6)+$B$4),DM12-$I12)))))</f>
        <v/>
      </c>
      <c r="DO12" s="68">
        <f>IF($U12=0,0,IF($F12=4,0,IF($F12=3,0,IF(OR(74&gt;$R12,DN12&lt;=$I12),DN12,DN12-MIN(INT(ROUND(IF($F12=1,$C12*$J12,IF(HM12&gt;0,HM12*$K12,DN12*$J12))*IF(74=$R12,$S12,12)/12,6)+$B$4),DN12-$I12)))))</f>
        <v/>
      </c>
      <c r="DP12" s="68">
        <f>IF($U12=0,0,IF($F12=4,0,IF($F12=3,0,IF(OR(75&gt;$R12,DO12&lt;=$I12),DO12,DO12-MIN(INT(ROUND(IF($F12=1,$C12*$J12,IF(HN12&gt;0,HN12*$K12,DO12*$J12))*IF(75=$R12,$S12,12)/12,6)+$B$4),DO12-$I12)))))</f>
        <v/>
      </c>
      <c r="DQ12" s="68">
        <f>IF($U12=0,0,IF($F12=4,0,IF($F12=3,0,IF(OR(76&gt;$R12,DP12&lt;=$I12),DP12,DP12-MIN(INT(ROUND(IF($F12=1,$C12*$J12,IF(HO12&gt;0,HO12*$K12,DP12*$J12))*IF(76=$R12,$S12,12)/12,6)+$B$4),DP12-$I12)))))</f>
        <v/>
      </c>
      <c r="DR12" s="68">
        <f>IF($U12=0,0,IF($F12=4,0,IF($F12=3,0,IF(OR(77&gt;$R12,DQ12&lt;=$I12),DQ12,DQ12-MIN(INT(ROUND(IF($F12=1,$C12*$J12,IF(HP12&gt;0,HP12*$K12,DQ12*$J12))*IF(77=$R12,$S12,12)/12,6)+$B$4),DQ12-$I12)))))</f>
        <v/>
      </c>
      <c r="DS12" s="68">
        <f>IF($U12=0,0,IF($F12=4,0,IF($F12=3,0,IF(OR(78&gt;$R12,DR12&lt;=$I12),DR12,DR12-MIN(INT(ROUND(IF($F12=1,$C12*$J12,IF(HQ12&gt;0,HQ12*$K12,DR12*$J12))*IF(78=$R12,$S12,12)/12,6)+$B$4),DR12-$I12)))))</f>
        <v/>
      </c>
      <c r="DT12" s="68">
        <f>IF($U12=0,0,IF($F12=4,0,IF($F12=3,0,IF(OR(79&gt;$R12,DS12&lt;=$I12),DS12,DS12-MIN(INT(ROUND(IF($F12=1,$C12*$J12,IF(HR12&gt;0,HR12*$K12,DS12*$J12))*IF(79=$R12,$S12,12)/12,6)+$B$4),DS12-$I12)))))</f>
        <v/>
      </c>
      <c r="DU12" s="68">
        <f>IF($U12=0,0,IF($F12=4,0,IF($F12=3,0,IF(OR(80&gt;$R12,DT12&lt;=$I12),DT12,DT12-MIN(INT(ROUND(IF($F12=1,$C12*$J12,IF(HS12&gt;0,HS12*$K12,DT12*$J12))*IF(80=$R12,$S12,12)/12,6)+$B$4),DT12-$I12)))))</f>
        <v/>
      </c>
      <c r="DV12" s="68">
        <f>IF($U12=0,0,IF($F12=4,0,IF($F12=3,0,IF(OR(81&gt;$R12,DU12&lt;=$I12),DU12,DU12-MIN(INT(ROUND(IF($F12=1,$C12*$J12,IF(HT12&gt;0,HT12*$K12,DU12*$J12))*IF(81=$R12,$S12,12)/12,6)+$B$4),DU12-$I12)))))</f>
        <v/>
      </c>
      <c r="DW12" s="68">
        <f>IF($U12=0,0,IF($F12=4,0,IF($F12=3,0,IF(OR(82&gt;$R12,DV12&lt;=$I12),DV12,DV12-MIN(INT(ROUND(IF($F12=1,$C12*$J12,IF(HU12&gt;0,HU12*$K12,DV12*$J12))*IF(82=$R12,$S12,12)/12,6)+$B$4),DV12-$I12)))))</f>
        <v/>
      </c>
      <c r="DX12" s="68">
        <f>IF($U12=0,0,IF($F12=4,0,IF($F12=3,0,IF(OR(83&gt;$R12,DW12&lt;=$I12),DW12,DW12-MIN(INT(ROUND(IF($F12=1,$C12*$J12,IF(HV12&gt;0,HV12*$K12,DW12*$J12))*IF(83=$R12,$S12,12)/12,6)+$B$4),DW12-$I12)))))</f>
        <v/>
      </c>
      <c r="DY12" s="68">
        <f>IF($U12=0,0,IF($F12=4,0,IF($F12=3,0,IF(OR(84&gt;$R12,DX12&lt;=$I12),DX12,DX12-MIN(INT(ROUND(IF($F12=1,$C12*$J12,IF(HW12&gt;0,HW12*$K12,DX12*$J12))*IF(84=$R12,$S12,12)/12,6)+$B$4),DX12-$I12)))))</f>
        <v/>
      </c>
      <c r="DZ12" s="68">
        <f>IF($U12=0,0,IF($F12=4,0,IF($F12=3,0,IF(OR(85&gt;$R12,DY12&lt;=$I12),DY12,DY12-MIN(INT(ROUND(IF($F12=1,$C12*$J12,IF(HX12&gt;0,HX12*$K12,DY12*$J12))*IF(85=$R12,$S12,12)/12,6)+$B$4),DY12-$I12)))))</f>
        <v/>
      </c>
      <c r="EA12" s="68">
        <f>IF($U12=0,0,IF($F12=4,0,IF($F12=3,0,IF(OR(86&gt;$R12,DZ12&lt;=$I12),DZ12,DZ12-MIN(INT(ROUND(IF($F12=1,$C12*$J12,IF(HY12&gt;0,HY12*$K12,DZ12*$J12))*IF(86=$R12,$S12,12)/12,6)+$B$4),DZ12-$I12)))))</f>
        <v/>
      </c>
      <c r="EB12" s="68">
        <f>IF($U12=0,0,IF($F12=4,0,IF($F12=3,0,IF(OR(87&gt;$R12,EA12&lt;=$I12),EA12,EA12-MIN(INT(ROUND(IF($F12=1,$C12*$J12,IF(HZ12&gt;0,HZ12*$K12,EA12*$J12))*IF(87=$R12,$S12,12)/12,6)+$B$4),EA12-$I12)))))</f>
        <v/>
      </c>
      <c r="EC12" s="68">
        <f>IF($U12=0,0,IF($F12=4,0,IF($F12=3,0,IF(OR(88&gt;$R12,EB12&lt;=$I12),EB12,EB12-MIN(INT(ROUND(IF($F12=1,$C12*$J12,IF(IA12&gt;0,IA12*$K12,EB12*$J12))*IF(88=$R12,$S12,12)/12,6)+$B$4),EB12-$I12)))))</f>
        <v/>
      </c>
      <c r="ED12" s="68">
        <f>IF($U12=0,0,IF($F12=4,0,IF($F12=3,0,IF(OR(89&gt;$R12,EC12&lt;=$I12),EC12,EC12-MIN(INT(ROUND(IF($F12=1,$C12*$J12,IF(IB12&gt;0,IB12*$K12,EC12*$J12))*IF(89=$R12,$S12,12)/12,6)+$B$4),EC12-$I12)))))</f>
        <v/>
      </c>
      <c r="EE12" s="68">
        <f>IF($U12=0,0,IF($F12=4,0,IF($F12=3,0,IF(OR(90&gt;$R12,ED12&lt;=$I12),ED12,ED12-MIN(INT(ROUND(IF($F12=1,$C12*$J12,IF(IC12&gt;0,IC12*$K12,ED12*$J12))*IF(90=$R12,$S12,12)/12,6)+$B$4),ED12-$I12)))))</f>
        <v/>
      </c>
      <c r="EF12" s="68">
        <f>IF($U12=0,0,IF($F12=4,0,IF($F12=3,0,IF(OR(91&gt;$R12,EE12&lt;=$I12),EE12,EE12-MIN(INT(ROUND(IF($F12=1,$C12*$J12,IF(ID12&gt;0,ID12*$K12,EE12*$J12))*IF(91=$R12,$S12,12)/12,6)+$B$4),EE12-$I12)))))</f>
        <v/>
      </c>
      <c r="EG12" s="68">
        <f>IF($U12=0,0,IF($F12=4,0,IF($F12=3,0,IF(OR(92&gt;$R12,EF12&lt;=$I12),EF12,EF12-MIN(INT(ROUND(IF($F12=1,$C12*$J12,IF(IE12&gt;0,IE12*$K12,EF12*$J12))*IF(92=$R12,$S12,12)/12,6)+$B$4),EF12-$I12)))))</f>
        <v/>
      </c>
      <c r="EH12" s="68">
        <f>IF($U12=0,0,IF($F12=4,0,IF($F12=3,0,IF(OR(93&gt;$R12,EG12&lt;=$I12),EG12,EG12-MIN(INT(ROUND(IF($F12=1,$C12*$J12,IF(IF12&gt;0,IF12*$K12,EG12*$J12))*IF(93=$R12,$S12,12)/12,6)+$B$4),EG12-$I12)))))</f>
        <v/>
      </c>
      <c r="EI12" s="68">
        <f>IF($U12=0,0,IF($F12=4,0,IF($F12=3,0,IF(OR(94&gt;$R12,EH12&lt;=$I12),EH12,EH12-MIN(INT(ROUND(IF($F12=1,$C12*$J12,IF(IG12&gt;0,IG12*$K12,EH12*$J12))*IF(94=$R12,$S12,12)/12,6)+$B$4),EH12-$I12)))))</f>
        <v/>
      </c>
      <c r="EJ12" s="68">
        <f>IF($U12=0,0,IF($F12=4,0,IF($F12=3,0,IF(OR(95&gt;$R12,EI12&lt;=$I12),EI12,EI12-MIN(INT(ROUND(IF($F12=1,$C12*$J12,IF(IH12&gt;0,IH12*$K12,EI12*$J12))*IF(95=$R12,$S12,12)/12,6)+$B$4),EI12-$I12)))))</f>
        <v/>
      </c>
      <c r="EK12" s="68">
        <f>IF($U12=0,0,IF($F12=4,0,IF($F12=3,0,IF(OR(96&gt;$R12,EJ12&lt;=$I12),EJ12,EJ12-MIN(INT(ROUND(IF($F12=1,$C12*$J12,IF(II12&gt;0,II12*$K12,EJ12*$J12))*IF(96=$R12,$S12,12)/12,6)+$B$4),EJ12-$I12)))))</f>
        <v/>
      </c>
      <c r="EL12" s="68">
        <f>IF($U12=0,0,IF($F12=4,0,IF($F12=3,0,IF(OR(97&gt;$R12,EK12&lt;=$I12),EK12,EK12-MIN(INT(ROUND(IF($F12=1,$C12*$J12,IF(IJ12&gt;0,IJ12*$K12,EK12*$J12))*IF(97=$R12,$S12,12)/12,6)+$B$4),EK12-$I12)))))</f>
        <v/>
      </c>
      <c r="EM12" s="68">
        <f>IF($U12=0,0,IF($F12=4,0,IF($F12=3,0,IF(OR(98&gt;$R12,EL12&lt;=$I12),EL12,EL12-MIN(INT(ROUND(IF($F12=1,$C12*$J12,IF(IK12&gt;0,IK12*$K12,EL12*$J12))*IF(98=$R12,$S12,12)/12,6)+$B$4),EL12-$I12)))))</f>
        <v/>
      </c>
      <c r="EN12" s="68">
        <f>IF($U12=0,0,IF($F12=4,0,IF($F12=3,0,IF(OR(99&gt;$R12,EM12&lt;=$I12),EM12,EM12-MIN(INT(ROUND(IF($F12=1,$C12*$J12,IF(IL12&gt;0,IL12*$K12,EM12*$J12))*IF(99=$R12,$S12,12)/12,6)+$B$4),EM12-$I12)))))</f>
        <v/>
      </c>
      <c r="EO12" s="68">
        <f>IF($U12=0,0,IF($F12=4,0,IF($F12=3,0,IF(OR(100&gt;$R12,EN12&lt;=$I12),EN12,EN12-MIN(INT(ROUND(IF($F12=1,$C12*$J12,IF(IM12&gt;0,IM12*$K12,EN12*$J12))*IF(100=$R12,$S12,12)/12,6)+$B$4),EN12-$I12)))))</f>
        <v/>
      </c>
      <c r="EP12" s="68">
        <f>IF($U12=0,0,IF($F12=4,0,IF($F12=3,0,IF(OR(101&gt;$R12,EO12&lt;=$I12),EO12,EO12-MIN(INT(ROUND(IF($F12=1,$C12*$J12,IF(IN12&gt;0,IN12*$K12,EO12*$J12))*IF(101=$R12,$S12,12)/12,6)+$B$4),EO12-$I12)))))</f>
        <v/>
      </c>
      <c r="EQ12" s="68" t="n"/>
      <c r="ER12" s="68">
        <f>IF(OR($U12=0,$F12&lt;&gt;2),0,IF(ROUND(AS12*$J12,6)&lt;ROUND($M12,6),AS12,0))</f>
        <v/>
      </c>
      <c r="ES12" s="68">
        <f>IF(OR($U12=0,$F12&lt;&gt;2),0,IF(ER12&gt;0,ER12,IF(ROUND(AT12*$J12,6)&lt;ROUND($M12,6),AT12,0)))</f>
        <v/>
      </c>
      <c r="ET12" s="68">
        <f>IF(OR($U12=0,$F12&lt;&gt;2),0,IF(ES12&gt;0,ES12,IF(ROUND(AU12*$J12,6)&lt;ROUND($M12,6),AU12,0)))</f>
        <v/>
      </c>
      <c r="EU12" s="68">
        <f>IF(OR($U12=0,$F12&lt;&gt;2),0,IF(ET12&gt;0,ET12,IF(ROUND(AV12*$J12,6)&lt;ROUND($M12,6),AV12,0)))</f>
        <v/>
      </c>
      <c r="EV12" s="68">
        <f>IF(OR($U12=0,$F12&lt;&gt;2),0,IF(EU12&gt;0,EU12,IF(ROUND(AW12*$J12,6)&lt;ROUND($M12,6),AW12,0)))</f>
        <v/>
      </c>
      <c r="EW12" s="68">
        <f>IF(OR($U12=0,$F12&lt;&gt;2),0,IF(EV12&gt;0,EV12,IF(ROUND(AX12*$J12,6)&lt;ROUND($M12,6),AX12,0)))</f>
        <v/>
      </c>
      <c r="EX12" s="68">
        <f>IF(OR($U12=0,$F12&lt;&gt;2),0,IF(EW12&gt;0,EW12,IF(ROUND(AY12*$J12,6)&lt;ROUND($M12,6),AY12,0)))</f>
        <v/>
      </c>
      <c r="EY12" s="68">
        <f>IF(OR($U12=0,$F12&lt;&gt;2),0,IF(EX12&gt;0,EX12,IF(ROUND(AZ12*$J12,6)&lt;ROUND($M12,6),AZ12,0)))</f>
        <v/>
      </c>
      <c r="EZ12" s="68">
        <f>IF(OR($U12=0,$F12&lt;&gt;2),0,IF(EY12&gt;0,EY12,IF(ROUND(BA12*$J12,6)&lt;ROUND($M12,6),BA12,0)))</f>
        <v/>
      </c>
      <c r="FA12" s="68">
        <f>IF(OR($U12=0,$F12&lt;&gt;2),0,IF(EZ12&gt;0,EZ12,IF(ROUND(BB12*$J12,6)&lt;ROUND($M12,6),BB12,0)))</f>
        <v/>
      </c>
      <c r="FB12" s="68">
        <f>IF(OR($U12=0,$F12&lt;&gt;2),0,IF(FA12&gt;0,FA12,IF(ROUND(BC12*$J12,6)&lt;ROUND($M12,6),BC12,0)))</f>
        <v/>
      </c>
      <c r="FC12" s="68">
        <f>IF(OR($U12=0,$F12&lt;&gt;2),0,IF(FB12&gt;0,FB12,IF(ROUND(BD12*$J12,6)&lt;ROUND($M12,6),BD12,0)))</f>
        <v/>
      </c>
      <c r="FD12" s="68">
        <f>IF(OR($U12=0,$F12&lt;&gt;2),0,IF(FC12&gt;0,FC12,IF(ROUND(BE12*$J12,6)&lt;ROUND($M12,6),BE12,0)))</f>
        <v/>
      </c>
      <c r="FE12" s="68">
        <f>IF(OR($U12=0,$F12&lt;&gt;2),0,IF(FD12&gt;0,FD12,IF(ROUND(BF12*$J12,6)&lt;ROUND($M12,6),BF12,0)))</f>
        <v/>
      </c>
      <c r="FF12" s="68">
        <f>IF(OR($U12=0,$F12&lt;&gt;2),0,IF(FE12&gt;0,FE12,IF(ROUND(BG12*$J12,6)&lt;ROUND($M12,6),BG12,0)))</f>
        <v/>
      </c>
      <c r="FG12" s="68">
        <f>IF(OR($U12=0,$F12&lt;&gt;2),0,IF(FF12&gt;0,FF12,IF(ROUND(BH12*$J12,6)&lt;ROUND($M12,6),BH12,0)))</f>
        <v/>
      </c>
      <c r="FH12" s="68">
        <f>IF(OR($U12=0,$F12&lt;&gt;2),0,IF(FG12&gt;0,FG12,IF(ROUND(BI12*$J12,6)&lt;ROUND($M12,6),BI12,0)))</f>
        <v/>
      </c>
      <c r="FI12" s="68">
        <f>IF(OR($U12=0,$F12&lt;&gt;2),0,IF(FH12&gt;0,FH12,IF(ROUND(BJ12*$J12,6)&lt;ROUND($M12,6),BJ12,0)))</f>
        <v/>
      </c>
      <c r="FJ12" s="68">
        <f>IF(OR($U12=0,$F12&lt;&gt;2),0,IF(FI12&gt;0,FI12,IF(ROUND(BK12*$J12,6)&lt;ROUND($M12,6),BK12,0)))</f>
        <v/>
      </c>
      <c r="FK12" s="68">
        <f>IF(OR($U12=0,$F12&lt;&gt;2),0,IF(FJ12&gt;0,FJ12,IF(ROUND(BL12*$J12,6)&lt;ROUND($M12,6),BL12,0)))</f>
        <v/>
      </c>
      <c r="FL12" s="68">
        <f>IF(OR($U12=0,$F12&lt;&gt;2),0,IF(FK12&gt;0,FK12,IF(ROUND(BM12*$J12,6)&lt;ROUND($M12,6),BM12,0)))</f>
        <v/>
      </c>
      <c r="FM12" s="68">
        <f>IF(OR($U12=0,$F12&lt;&gt;2),0,IF(FL12&gt;0,FL12,IF(ROUND(BN12*$J12,6)&lt;ROUND($M12,6),BN12,0)))</f>
        <v/>
      </c>
      <c r="FN12" s="68">
        <f>IF(OR($U12=0,$F12&lt;&gt;2),0,IF(FM12&gt;0,FM12,IF(ROUND(BO12*$J12,6)&lt;ROUND($M12,6),BO12,0)))</f>
        <v/>
      </c>
      <c r="FO12" s="68">
        <f>IF(OR($U12=0,$F12&lt;&gt;2),0,IF(FN12&gt;0,FN12,IF(ROUND(BP12*$J12,6)&lt;ROUND($M12,6),BP12,0)))</f>
        <v/>
      </c>
      <c r="FP12" s="68">
        <f>IF(OR($U12=0,$F12&lt;&gt;2),0,IF(FO12&gt;0,FO12,IF(ROUND(BQ12*$J12,6)&lt;ROUND($M12,6),BQ12,0)))</f>
        <v/>
      </c>
      <c r="FQ12" s="68">
        <f>IF(OR($U12=0,$F12&lt;&gt;2),0,IF(FP12&gt;0,FP12,IF(ROUND(BR12*$J12,6)&lt;ROUND($M12,6),BR12,0)))</f>
        <v/>
      </c>
      <c r="FR12" s="68">
        <f>IF(OR($U12=0,$F12&lt;&gt;2),0,IF(FQ12&gt;0,FQ12,IF(ROUND(BS12*$J12,6)&lt;ROUND($M12,6),BS12,0)))</f>
        <v/>
      </c>
      <c r="FS12" s="68">
        <f>IF(OR($U12=0,$F12&lt;&gt;2),0,IF(FR12&gt;0,FR12,IF(ROUND(BT12*$J12,6)&lt;ROUND($M12,6),BT12,0)))</f>
        <v/>
      </c>
      <c r="FT12" s="68">
        <f>IF(OR($U12=0,$F12&lt;&gt;2),0,IF(FS12&gt;0,FS12,IF(ROUND(BU12*$J12,6)&lt;ROUND($M12,6),BU12,0)))</f>
        <v/>
      </c>
      <c r="FU12" s="68">
        <f>IF(OR($U12=0,$F12&lt;&gt;2),0,IF(FT12&gt;0,FT12,IF(ROUND(BV12*$J12,6)&lt;ROUND($M12,6),BV12,0)))</f>
        <v/>
      </c>
      <c r="FV12" s="68">
        <f>IF(OR($U12=0,$F12&lt;&gt;2),0,IF(FU12&gt;0,FU12,IF(ROUND(BW12*$J12,6)&lt;ROUND($M12,6),BW12,0)))</f>
        <v/>
      </c>
      <c r="FW12" s="68">
        <f>IF(OR($U12=0,$F12&lt;&gt;2),0,IF(FV12&gt;0,FV12,IF(ROUND(BX12*$J12,6)&lt;ROUND($M12,6),BX12,0)))</f>
        <v/>
      </c>
      <c r="FX12" s="68">
        <f>IF(OR($U12=0,$F12&lt;&gt;2),0,IF(FW12&gt;0,FW12,IF(ROUND(BY12*$J12,6)&lt;ROUND($M12,6),BY12,0)))</f>
        <v/>
      </c>
      <c r="FY12" s="68">
        <f>IF(OR($U12=0,$F12&lt;&gt;2),0,IF(FX12&gt;0,FX12,IF(ROUND(BZ12*$J12,6)&lt;ROUND($M12,6),BZ12,0)))</f>
        <v/>
      </c>
      <c r="FZ12" s="68">
        <f>IF(OR($U12=0,$F12&lt;&gt;2),0,IF(FY12&gt;0,FY12,IF(ROUND(CA12*$J12,6)&lt;ROUND($M12,6),CA12,0)))</f>
        <v/>
      </c>
      <c r="GA12" s="68">
        <f>IF(OR($U12=0,$F12&lt;&gt;2),0,IF(FZ12&gt;0,FZ12,IF(ROUND(CB12*$J12,6)&lt;ROUND($M12,6),CB12,0)))</f>
        <v/>
      </c>
      <c r="GB12" s="68">
        <f>IF(OR($U12=0,$F12&lt;&gt;2),0,IF(GA12&gt;0,GA12,IF(ROUND(CC12*$J12,6)&lt;ROUND($M12,6),CC12,0)))</f>
        <v/>
      </c>
      <c r="GC12" s="68">
        <f>IF(OR($U12=0,$F12&lt;&gt;2),0,IF(GB12&gt;0,GB12,IF(ROUND(CD12*$J12,6)&lt;ROUND($M12,6),CD12,0)))</f>
        <v/>
      </c>
      <c r="GD12" s="68">
        <f>IF(OR($U12=0,$F12&lt;&gt;2),0,IF(GC12&gt;0,GC12,IF(ROUND(CE12*$J12,6)&lt;ROUND($M12,6),CE12,0)))</f>
        <v/>
      </c>
      <c r="GE12" s="68">
        <f>IF(OR($U12=0,$F12&lt;&gt;2),0,IF(GD12&gt;0,GD12,IF(ROUND(CF12*$J12,6)&lt;ROUND($M12,6),CF12,0)))</f>
        <v/>
      </c>
      <c r="GF12" s="68">
        <f>IF(OR($U12=0,$F12&lt;&gt;2),0,IF(GE12&gt;0,GE12,IF(ROUND(CG12*$J12,6)&lt;ROUND($M12,6),CG12,0)))</f>
        <v/>
      </c>
      <c r="GG12" s="68">
        <f>IF(OR($U12=0,$F12&lt;&gt;2),0,IF(GF12&gt;0,GF12,IF(ROUND(CH12*$J12,6)&lt;ROUND($M12,6),CH12,0)))</f>
        <v/>
      </c>
      <c r="GH12" s="68">
        <f>IF(OR($U12=0,$F12&lt;&gt;2),0,IF(GG12&gt;0,GG12,IF(ROUND(CI12*$J12,6)&lt;ROUND($M12,6),CI12,0)))</f>
        <v/>
      </c>
      <c r="GI12" s="68">
        <f>IF(OR($U12=0,$F12&lt;&gt;2),0,IF(GH12&gt;0,GH12,IF(ROUND(CJ12*$J12,6)&lt;ROUND($M12,6),CJ12,0)))</f>
        <v/>
      </c>
      <c r="GJ12" s="68">
        <f>IF(OR($U12=0,$F12&lt;&gt;2),0,IF(GI12&gt;0,GI12,IF(ROUND(CK12*$J12,6)&lt;ROUND($M12,6),CK12,0)))</f>
        <v/>
      </c>
      <c r="GK12" s="68">
        <f>IF(OR($U12=0,$F12&lt;&gt;2),0,IF(GJ12&gt;0,GJ12,IF(ROUND(CL12*$J12,6)&lt;ROUND($M12,6),CL12,0)))</f>
        <v/>
      </c>
      <c r="GL12" s="68">
        <f>IF(OR($U12=0,$F12&lt;&gt;2),0,IF(GK12&gt;0,GK12,IF(ROUND(CM12*$J12,6)&lt;ROUND($M12,6),CM12,0)))</f>
        <v/>
      </c>
      <c r="GM12" s="68">
        <f>IF(OR($U12=0,$F12&lt;&gt;2),0,IF(GL12&gt;0,GL12,IF(ROUND(CN12*$J12,6)&lt;ROUND($M12,6),CN12,0)))</f>
        <v/>
      </c>
      <c r="GN12" s="68">
        <f>IF(OR($U12=0,$F12&lt;&gt;2),0,IF(GM12&gt;0,GM12,IF(ROUND(CO12*$J12,6)&lt;ROUND($M12,6),CO12,0)))</f>
        <v/>
      </c>
      <c r="GO12" s="68">
        <f>IF(OR($U12=0,$F12&lt;&gt;2),0,IF(GN12&gt;0,GN12,IF(ROUND(CP12*$J12,6)&lt;ROUND($M12,6),CP12,0)))</f>
        <v/>
      </c>
      <c r="GP12" s="68">
        <f>IF(OR($U12=0,$F12&lt;&gt;2),0,IF(GO12&gt;0,GO12,IF(ROUND(CQ12*$J12,6)&lt;ROUND($M12,6),CQ12,0)))</f>
        <v/>
      </c>
      <c r="GQ12" s="68">
        <f>IF(OR($U12=0,$F12&lt;&gt;2),0,IF(GP12&gt;0,GP12,IF(ROUND(CR12*$J12,6)&lt;ROUND($M12,6),CR12,0)))</f>
        <v/>
      </c>
      <c r="GR12" s="68">
        <f>IF(OR($U12=0,$F12&lt;&gt;2),0,IF(GQ12&gt;0,GQ12,IF(ROUND(CS12*$J12,6)&lt;ROUND($M12,6),CS12,0)))</f>
        <v/>
      </c>
      <c r="GS12" s="68">
        <f>IF(OR($U12=0,$F12&lt;&gt;2),0,IF(GR12&gt;0,GR12,IF(ROUND(CT12*$J12,6)&lt;ROUND($M12,6),CT12,0)))</f>
        <v/>
      </c>
      <c r="GT12" s="68">
        <f>IF(OR($U12=0,$F12&lt;&gt;2),0,IF(GS12&gt;0,GS12,IF(ROUND(CU12*$J12,6)&lt;ROUND($M12,6),CU12,0)))</f>
        <v/>
      </c>
      <c r="GU12" s="68">
        <f>IF(OR($U12=0,$F12&lt;&gt;2),0,IF(GT12&gt;0,GT12,IF(ROUND(CV12*$J12,6)&lt;ROUND($M12,6),CV12,0)))</f>
        <v/>
      </c>
      <c r="GV12" s="68">
        <f>IF(OR($U12=0,$F12&lt;&gt;2),0,IF(GU12&gt;0,GU12,IF(ROUND(CW12*$J12,6)&lt;ROUND($M12,6),CW12,0)))</f>
        <v/>
      </c>
      <c r="GW12" s="68">
        <f>IF(OR($U12=0,$F12&lt;&gt;2),0,IF(GV12&gt;0,GV12,IF(ROUND(CX12*$J12,6)&lt;ROUND($M12,6),CX12,0)))</f>
        <v/>
      </c>
      <c r="GX12" s="68">
        <f>IF(OR($U12=0,$F12&lt;&gt;2),0,IF(GW12&gt;0,GW12,IF(ROUND(CY12*$J12,6)&lt;ROUND($M12,6),CY12,0)))</f>
        <v/>
      </c>
      <c r="GY12" s="68">
        <f>IF(OR($U12=0,$F12&lt;&gt;2),0,IF(GX12&gt;0,GX12,IF(ROUND(CZ12*$J12,6)&lt;ROUND($M12,6),CZ12,0)))</f>
        <v/>
      </c>
      <c r="GZ12" s="68">
        <f>IF(OR($U12=0,$F12&lt;&gt;2),0,IF(GY12&gt;0,GY12,IF(ROUND(DA12*$J12,6)&lt;ROUND($M12,6),DA12,0)))</f>
        <v/>
      </c>
      <c r="HA12" s="68">
        <f>IF(OR($U12=0,$F12&lt;&gt;2),0,IF(GZ12&gt;0,GZ12,IF(ROUND(DB12*$J12,6)&lt;ROUND($M12,6),DB12,0)))</f>
        <v/>
      </c>
      <c r="HB12" s="68">
        <f>IF(OR($U12=0,$F12&lt;&gt;2),0,IF(HA12&gt;0,HA12,IF(ROUND(DC12*$J12,6)&lt;ROUND($M12,6),DC12,0)))</f>
        <v/>
      </c>
      <c r="HC12" s="68">
        <f>IF(OR($U12=0,$F12&lt;&gt;2),0,IF(HB12&gt;0,HB12,IF(ROUND(DD12*$J12,6)&lt;ROUND($M12,6),DD12,0)))</f>
        <v/>
      </c>
      <c r="HD12" s="68">
        <f>IF(OR($U12=0,$F12&lt;&gt;2),0,IF(HC12&gt;0,HC12,IF(ROUND(DE12*$J12,6)&lt;ROUND($M12,6),DE12,0)))</f>
        <v/>
      </c>
      <c r="HE12" s="68">
        <f>IF(OR($U12=0,$F12&lt;&gt;2),0,IF(HD12&gt;0,HD12,IF(ROUND(DF12*$J12,6)&lt;ROUND($M12,6),DF12,0)))</f>
        <v/>
      </c>
      <c r="HF12" s="68">
        <f>IF(OR($U12=0,$F12&lt;&gt;2),0,IF(HE12&gt;0,HE12,IF(ROUND(DG12*$J12,6)&lt;ROUND($M12,6),DG12,0)))</f>
        <v/>
      </c>
      <c r="HG12" s="68">
        <f>IF(OR($U12=0,$F12&lt;&gt;2),0,IF(HF12&gt;0,HF12,IF(ROUND(DH12*$J12,6)&lt;ROUND($M12,6),DH12,0)))</f>
        <v/>
      </c>
      <c r="HH12" s="68">
        <f>IF(OR($U12=0,$F12&lt;&gt;2),0,IF(HG12&gt;0,HG12,IF(ROUND(DI12*$J12,6)&lt;ROUND($M12,6),DI12,0)))</f>
        <v/>
      </c>
      <c r="HI12" s="68">
        <f>IF(OR($U12=0,$F12&lt;&gt;2),0,IF(HH12&gt;0,HH12,IF(ROUND(DJ12*$J12,6)&lt;ROUND($M12,6),DJ12,0)))</f>
        <v/>
      </c>
      <c r="HJ12" s="68">
        <f>IF(OR($U12=0,$F12&lt;&gt;2),0,IF(HI12&gt;0,HI12,IF(ROUND(DK12*$J12,6)&lt;ROUND($M12,6),DK12,0)))</f>
        <v/>
      </c>
      <c r="HK12" s="68">
        <f>IF(OR($U12=0,$F12&lt;&gt;2),0,IF(HJ12&gt;0,HJ12,IF(ROUND(DL12*$J12,6)&lt;ROUND($M12,6),DL12,0)))</f>
        <v/>
      </c>
      <c r="HL12" s="68">
        <f>IF(OR($U12=0,$F12&lt;&gt;2),0,IF(HK12&gt;0,HK12,IF(ROUND(DM12*$J12,6)&lt;ROUND($M12,6),DM12,0)))</f>
        <v/>
      </c>
      <c r="HM12" s="68">
        <f>IF(OR($U12=0,$F12&lt;&gt;2),0,IF(HL12&gt;0,HL12,IF(ROUND(DN12*$J12,6)&lt;ROUND($M12,6),DN12,0)))</f>
        <v/>
      </c>
      <c r="HN12" s="68">
        <f>IF(OR($U12=0,$F12&lt;&gt;2),0,IF(HM12&gt;0,HM12,IF(ROUND(DO12*$J12,6)&lt;ROUND($M12,6),DO12,0)))</f>
        <v/>
      </c>
      <c r="HO12" s="68">
        <f>IF(OR($U12=0,$F12&lt;&gt;2),0,IF(HN12&gt;0,HN12,IF(ROUND(DP12*$J12,6)&lt;ROUND($M12,6),DP12,0)))</f>
        <v/>
      </c>
      <c r="HP12" s="68">
        <f>IF(OR($U12=0,$F12&lt;&gt;2),0,IF(HO12&gt;0,HO12,IF(ROUND(DQ12*$J12,6)&lt;ROUND($M12,6),DQ12,0)))</f>
        <v/>
      </c>
      <c r="HQ12" s="68">
        <f>IF(OR($U12=0,$F12&lt;&gt;2),0,IF(HP12&gt;0,HP12,IF(ROUND(DR12*$J12,6)&lt;ROUND($M12,6),DR12,0)))</f>
        <v/>
      </c>
      <c r="HR12" s="68">
        <f>IF(OR($U12=0,$F12&lt;&gt;2),0,IF(HQ12&gt;0,HQ12,IF(ROUND(DS12*$J12,6)&lt;ROUND($M12,6),DS12,0)))</f>
        <v/>
      </c>
      <c r="HS12" s="68">
        <f>IF(OR($U12=0,$F12&lt;&gt;2),0,IF(HR12&gt;0,HR12,IF(ROUND(DT12*$J12,6)&lt;ROUND($M12,6),DT12,0)))</f>
        <v/>
      </c>
      <c r="HT12" s="68">
        <f>IF(OR($U12=0,$F12&lt;&gt;2),0,IF(HS12&gt;0,HS12,IF(ROUND(DU12*$J12,6)&lt;ROUND($M12,6),DU12,0)))</f>
        <v/>
      </c>
      <c r="HU12" s="68">
        <f>IF(OR($U12=0,$F12&lt;&gt;2),0,IF(HT12&gt;0,HT12,IF(ROUND(DV12*$J12,6)&lt;ROUND($M12,6),DV12,0)))</f>
        <v/>
      </c>
      <c r="HV12" s="68">
        <f>IF(OR($U12=0,$F12&lt;&gt;2),0,IF(HU12&gt;0,HU12,IF(ROUND(DW12*$J12,6)&lt;ROUND($M12,6),DW12,0)))</f>
        <v/>
      </c>
      <c r="HW12" s="68">
        <f>IF(OR($U12=0,$F12&lt;&gt;2),0,IF(HV12&gt;0,HV12,IF(ROUND(DX12*$J12,6)&lt;ROUND($M12,6),DX12,0)))</f>
        <v/>
      </c>
      <c r="HX12" s="68">
        <f>IF(OR($U12=0,$F12&lt;&gt;2),0,IF(HW12&gt;0,HW12,IF(ROUND(DY12*$J12,6)&lt;ROUND($M12,6),DY12,0)))</f>
        <v/>
      </c>
      <c r="HY12" s="68">
        <f>IF(OR($U12=0,$F12&lt;&gt;2),0,IF(HX12&gt;0,HX12,IF(ROUND(DZ12*$J12,6)&lt;ROUND($M12,6),DZ12,0)))</f>
        <v/>
      </c>
      <c r="HZ12" s="68">
        <f>IF(OR($U12=0,$F12&lt;&gt;2),0,IF(HY12&gt;0,HY12,IF(ROUND(EA12*$J12,6)&lt;ROUND($M12,6),EA12,0)))</f>
        <v/>
      </c>
      <c r="IA12" s="68">
        <f>IF(OR($U12=0,$F12&lt;&gt;2),0,IF(HZ12&gt;0,HZ12,IF(ROUND(EB12*$J12,6)&lt;ROUND($M12,6),EB12,0)))</f>
        <v/>
      </c>
      <c r="IB12" s="68">
        <f>IF(OR($U12=0,$F12&lt;&gt;2),0,IF(IA12&gt;0,IA12,IF(ROUND(EC12*$J12,6)&lt;ROUND($M12,6),EC12,0)))</f>
        <v/>
      </c>
      <c r="IC12" s="68">
        <f>IF(OR($U12=0,$F12&lt;&gt;2),0,IF(IB12&gt;0,IB12,IF(ROUND(ED12*$J12,6)&lt;ROUND($M12,6),ED12,0)))</f>
        <v/>
      </c>
      <c r="ID12" s="68">
        <f>IF(OR($U12=0,$F12&lt;&gt;2),0,IF(IC12&gt;0,IC12,IF(ROUND(EE12*$J12,6)&lt;ROUND($M12,6),EE12,0)))</f>
        <v/>
      </c>
      <c r="IE12" s="68">
        <f>IF(OR($U12=0,$F12&lt;&gt;2),0,IF(ID12&gt;0,ID12,IF(ROUND(EF12*$J12,6)&lt;ROUND($M12,6),EF12,0)))</f>
        <v/>
      </c>
      <c r="IF12" s="68">
        <f>IF(OR($U12=0,$F12&lt;&gt;2),0,IF(IE12&gt;0,IE12,IF(ROUND(EG12*$J12,6)&lt;ROUND($M12,6),EG12,0)))</f>
        <v/>
      </c>
      <c r="IG12" s="68">
        <f>IF(OR($U12=0,$F12&lt;&gt;2),0,IF(IF12&gt;0,IF12,IF(ROUND(EH12*$J12,6)&lt;ROUND($M12,6),EH12,0)))</f>
        <v/>
      </c>
      <c r="IH12" s="68">
        <f>IF(OR($U12=0,$F12&lt;&gt;2),0,IF(IG12&gt;0,IG12,IF(ROUND(EI12*$J12,6)&lt;ROUND($M12,6),EI12,0)))</f>
        <v/>
      </c>
      <c r="II12" s="68">
        <f>IF(OR($U12=0,$F12&lt;&gt;2),0,IF(IH12&gt;0,IH12,IF(ROUND(EJ12*$J12,6)&lt;ROUND($M12,6),EJ12,0)))</f>
        <v/>
      </c>
      <c r="IJ12" s="68">
        <f>IF(OR($U12=0,$F12&lt;&gt;2),0,IF(II12&gt;0,II12,IF(ROUND(EK12*$J12,6)&lt;ROUND($M12,6),EK12,0)))</f>
        <v/>
      </c>
      <c r="IK12" s="68">
        <f>IF(OR($U12=0,$F12&lt;&gt;2),0,IF(IJ12&gt;0,IJ12,IF(ROUND(EL12*$J12,6)&lt;ROUND($M12,6),EL12,0)))</f>
        <v/>
      </c>
      <c r="IL12" s="68">
        <f>IF(OR($U12=0,$F12&lt;&gt;2),0,IF(IK12&gt;0,IK12,IF(ROUND(EM12*$J12,6)&lt;ROUND($M12,6),EM12,0)))</f>
        <v/>
      </c>
      <c r="IM12" s="68">
        <f>IF(OR($U12=0,$F12&lt;&gt;2),0,IF(IL12&gt;0,IL12,IF(ROUND(EN12*$J12,6)&lt;ROUND($M12,6),EN12,0)))</f>
        <v/>
      </c>
      <c r="IN12" s="68">
        <f>IF(OR($U12=0,$F12&lt;&gt;2),0,IF(IM12&gt;0,IM12,IF(ROUND(EO12*$J12,6)&lt;ROUND($M12,6),EO12,0)))</f>
        <v/>
      </c>
    </row>
    <row r="13">
      <c r="A13" s="68" t="n">
        <v>8</v>
      </c>
      <c r="B13" s="68">
        <f>IF(OR(TRIM('固定資産台帳'!$B13)&lt;&gt;"",'固定資産台帳'!$E13&lt;&gt;"",'固定資産台帳'!$G13&lt;&gt;"",'固定資産台帳'!$H13&lt;&gt;""),1,0)</f>
        <v/>
      </c>
      <c r="C13" s="68">
        <f>IF(ISNUMBER('固定資産台帳'!$G13),MAX(ROUND('固定資産台帳'!$G13,0),0),0)</f>
        <v/>
      </c>
      <c r="D13" s="84">
        <f>IF(ISNUMBER('固定資産台帳'!$E13),INT('固定資産台帳'!$E13),0)</f>
        <v/>
      </c>
      <c r="E13" s="84">
        <f>IF(ISNUMBER('固定資産台帳'!$F13),INT('固定資産台帳'!$F13),$D13)</f>
        <v/>
      </c>
      <c r="F13" s="68">
        <f>IF('固定資産台帳'!$H13="定額法",1,IF(OR('固定資産台帳'!$H13="定率法",'固定資産台帳'!$H13="定率法（200%）",'固定資産台帳'!$H13="定率法（250%）"),2,IF('固定資産台帳'!$H13="一括償却（3年）",3,IF('固定資産台帳'!$H13="少額特例",4,0))))</f>
        <v/>
      </c>
      <c r="G13" s="68">
        <f>IF('固定資産台帳'!$H13="定率法（250%）",250,IF('固定資産台帳'!$H13="定率法（200%）",200,IF($D13&gt;=DATE(2012,4,1),200,250)))</f>
        <v/>
      </c>
      <c r="H13" s="68">
        <f>IF(ISNUMBER('固定資産台帳'!$I13),IF(AND('固定資産台帳'!$I13&gt;=2,'固定資産台帳'!$I13&lt;=100,'固定資産台帳'!$I13=INT('固定資産台帳'!$I13)),'固定資産台帳'!$I13,0),0)</f>
        <v/>
      </c>
      <c r="I13" s="68">
        <f>IF('固定資産台帳'!$C13="無形固定資産",0,1)</f>
        <v/>
      </c>
      <c r="J13" s="68">
        <f>IF(OR($H13=0,$F13=0,$F13&gt;2),0,IF($F13=1,INDEX('償却率表'!$B$6:$B$104,$H13-1),IF($G13=200,INDEX('償却率表'!$C$6:$C$104,$H13-1),INDEX('償却率表'!$F$6:$F$104,$H13-1))))</f>
        <v/>
      </c>
      <c r="K13" s="68">
        <f>IF(AND($F13=2,$H13&gt;0),IF($G13=200,INDEX('償却率表'!$D$6:$D$104,$H13-1),INDEX('償却率表'!$G$6:$G$104,$H13-1)),0)</f>
        <v/>
      </c>
      <c r="L13" s="68">
        <f>IF(AND($F13=2,$H13&gt;0),IF($G13=200,INDEX('償却率表'!$E$6:$E$104,$H13-1),INDEX('償却率表'!$H$6:$H$104,$H13-1)),0)</f>
        <v/>
      </c>
      <c r="M13" s="68">
        <f>$C13*$L13</f>
        <v/>
      </c>
      <c r="N13" s="68">
        <f>IF($B$1=1,1,IF('固定資産台帳'!$J13="",1,IF(ISNUMBER('固定資産台帳'!$J13),IF(AND('固定資産台帳'!$J13&gt;0,'固定資産台帳'!$J13&lt;=1),'固定資産台帳'!$J13,0),0)))</f>
        <v/>
      </c>
      <c r="O13" s="68">
        <f>IF($E13=0,0,YEAR($E13)-IF(MONTH($E13)&lt;$B$2,1,0))</f>
        <v/>
      </c>
      <c r="P13" s="68">
        <f>IF($E13=0,0,12-MOD(MONTH($E13)-$B$2,12))</f>
        <v/>
      </c>
      <c r="Q13" s="84">
        <f>IF(ISNUMBER('固定資産台帳'!$K13),INT('固定資産台帳'!$K13),0)</f>
        <v/>
      </c>
      <c r="R13" s="68">
        <f>IF(OR($Q13=0,$E13=0),999,YEAR($Q13)-IF(MONTH($Q13)&lt;$B$2,1,0)-$O13)</f>
        <v/>
      </c>
      <c r="S13" s="68">
        <f>IF($R13=999,0,MOD(MONTH($Q13)-$B$2,12)+1-IF($R13=0,12-$P13,0))</f>
        <v/>
      </c>
      <c r="T13" s="68">
        <f>IF($B13=0,0,IF($C13&lt;=0,1,IF($D13=0,2,IF($F13=0,3,IF(AND($F13&lt;=2,$H13=0),4,IF(AND($F13&lt;=2,$D13&lt;DATE(2007,4,1)),5,IF($E13&lt;$D13,6,IF(AND($Q13&gt;0,$Q13&lt;$E13),7,IF($N13=0,8,IF($B$3=0,9,0))))))))))</f>
        <v/>
      </c>
      <c r="U13" s="68">
        <f>IF(AND($B13=1,$T13=0),1,0)</f>
        <v/>
      </c>
      <c r="V13" s="68">
        <f>$B$3-$O13</f>
        <v/>
      </c>
      <c r="W13" s="68">
        <f>IF(AND($U13=1,$V13&gt;=0),1,0)</f>
        <v/>
      </c>
      <c r="X13" s="68">
        <f>IF($W13=0,0,IF($V13=0,$C13,INDEX($AS13:$EP13,MIN($V13,102))))</f>
        <v/>
      </c>
      <c r="Y13" s="68">
        <f>IF($W13=0,0,INDEX($AS13:$EP13,MIN($V13,101)+1))</f>
        <v/>
      </c>
      <c r="Z13" s="68">
        <f>$X13-$Y13</f>
        <v/>
      </c>
      <c r="AA13" s="68">
        <f>IF(AND($W13=1,$F13=2,$V13&gt;=1),INDEX($ER13:$IN13,MIN($V13,101)),0)</f>
        <v/>
      </c>
      <c r="AB13" s="68">
        <f>IF(OR($W13=0,$F13&gt;2,$Z13=0),0,IF($V13=0,IF($R13=0,$S13,$P13),IF($V13=$R13,$S13,12)))</f>
        <v/>
      </c>
      <c r="AC13" s="68">
        <f>IF($W13=0,0,INT(ROUND($Z13*$N13,6)+$B$4))</f>
        <v/>
      </c>
      <c r="AD13" s="68">
        <f>IF(AND($W13=1,$F13&lt;=2,$V13=$R13),1,0)</f>
        <v/>
      </c>
      <c r="AE13" s="68">
        <f>IF(AND($W13=1,$F13&lt;=2,$V13&gt;$R13),1,0)</f>
        <v/>
      </c>
      <c r="AF13" s="68">
        <f>IF(AND($W13=1,$AE13=0,OR($Z13&gt;0,$AD13=1)),1,0)</f>
        <v/>
      </c>
      <c r="AG13" s="68">
        <f>IF($AF13=1,SUM($AF$6:$AF13),0)</f>
        <v/>
      </c>
      <c r="AH13" s="68">
        <f>IF($T13=0,"",CHOOSE($T13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3" s="68">
        <f>IF(AND($F13=2,OR('固定資産台帳'!$C13="建物",'固定資産台帳'!$C13="無形固定資産",AND(OR('固定資産台帳'!$C13="建物附属設備",'固定資産台帳'!$C13="構築物"),$D13&gt;=DATE(2016,4,1)))),"この資産は定額法だけです（定率法は使えません）。","")&amp;IF(AND($F13=3,$C13&gt;=200000),"一括償却は20万円未満の資産だけです。","")&amp;IF(AND($F13=3,$B$1=0,$C13&lt;100000),"10万円未満は一括償却にせず、全額をその年の経費にします。","")&amp;IF(AND($F13=4,$C13&lt;100000),"10万円未満は少額特例ではなく、全額をその年の経費にします。","")&amp;IF(AND($F13=4,$D13&lt;DATE(2026,4,1),$C13&gt;=300000),"2026年3月31日までの取得で少額特例が使えるのは30万円未満です。","")&amp;IF(AND($F13=4,$D13&gt;=DATE(2026,4,1),$C13&gt;=400000),"少額特例は40万円未満の資産だけです。","")&amp;IF(AND($F13=4,OR($D13&lt;DATE(2006,4,1),$D13&gt;DATE(2029,3,31))),"少額特例は2006年4月1日〜2029年3月31日に取得した資産だけです。","")&amp;IF(AND($F13=2,$G13=250,$D13&gt;DATE(2012,12,31)),"250%定率法は2012年12月31日までの取得だけです。","")</f>
        <v/>
      </c>
      <c r="AJ13" s="68">
        <f>IF(AND($F13=2,'固定資産台帳'!$H13="定率法（200%）",$D13&lt;DATE(2012,4,1)),"2012年3月31日までの取得に200%を使うのは、経過措置の届出をした場合です。","")&amp;IF(AND($F13=2,'固定資産台帳'!$H13="定率法（250%）",$D13&gt;=DATE(2012,4,1),$D13&lt;=DATE(2012,12,31)),"2012年4〜12月の取得に250%を使うのは、経過措置を選んだ場合です。","")</f>
        <v/>
      </c>
      <c r="AK13" s="68">
        <f>IF($U13=0,"",IF($V13&lt;0,"表示している年より後に使い始める資産です。",IF($AE13=1,"売却・除却済みです。",IF($AD13=1,"この年に売却・除却。期末の帳簿価額 "&amp;TEXT($Y13,"#,##0")&amp;"円を帳簿から外します。",IF($F13=4,IF($V13=0,"少額特例：この年に全額を経費にします。","少額特例で経費にした資産です。"),IF($F13=3,IF($V13&gt;2,"一括償却は終わっています。","一括償却 "&amp;($V13+1)&amp;"年目（3年のうち）。"),IF($Z13=0,"償却済み（帳簿価額 "&amp;TEXT($Y13,"#,##0")&amp;"円）。",IF($AA13&gt;0,"改定償却率で計算（改定取得価額 "&amp;TEXT($AA13,"#,##0")&amp;"円）。",IF($V13=0,"この年に使い始め（"&amp;$AB13&amp;"か月分）。","")))))))))</f>
        <v/>
      </c>
      <c r="AL13" s="68">
        <f>IF(AND($U13=1,$F13=4,$V13=0),$C13,0)</f>
        <v/>
      </c>
      <c r="AM13" s="68">
        <f>IF($F13=2,INT(ROUND($M13,6)+$B$4),0)</f>
        <v/>
      </c>
      <c r="AN13" s="68">
        <f>IF($W13=0,0,IF($F13=2,IF($AA13&gt;0,$AA13,$X13),$C13))</f>
        <v/>
      </c>
      <c r="AO13" s="68">
        <f>IF($W13=0,"",IF($F13=3,"1/3",IF($F13=4,"―",IF($AA13&gt;0,$K13,$J13))))</f>
        <v/>
      </c>
      <c r="AP13" s="68" t="n"/>
      <c r="AQ13" s="68" t="n"/>
      <c r="AR13" s="68" t="n"/>
      <c r="AS13" s="68">
        <f>IF($U13=0,0,IF($F13=4,0,IF($F13=3,MAX($C13-INT(ROUND($C13/3,6)+$B$4),0),$C13-MIN(INT(ROUND($C13*$J13*IF($R13=0,$S13,$P13)/12,6)+$B$4),MAX($C13-$I13,0)))))</f>
        <v/>
      </c>
      <c r="AT13" s="68">
        <f>IF($U13=0,0,IF($F13=4,0,IF($F13=3,AS13-MIN(INT(ROUND($C13/3,6)+$B$4),AS13),IF(OR(1&gt;$R13,AS13&lt;=$I13),AS13,AS13-MIN(INT(ROUND(IF($F13=1,$C13*$J13,IF(ER13&gt;0,ER13*$K13,AS13*$J13))*IF(1=$R13,$S13,12)/12,6)+$B$4),AS13-$I13)))))</f>
        <v/>
      </c>
      <c r="AU13" s="68">
        <f>IF($U13=0,0,IF($F13=4,0,IF($F13=3,0,IF(OR(2&gt;$R13,AT13&lt;=$I13),AT13,AT13-MIN(INT(ROUND(IF($F13=1,$C13*$J13,IF(ES13&gt;0,ES13*$K13,AT13*$J13))*IF(2=$R13,$S13,12)/12,6)+$B$4),AT13-$I13)))))</f>
        <v/>
      </c>
      <c r="AV13" s="68">
        <f>IF($U13=0,0,IF($F13=4,0,IF($F13=3,0,IF(OR(3&gt;$R13,AU13&lt;=$I13),AU13,AU13-MIN(INT(ROUND(IF($F13=1,$C13*$J13,IF(ET13&gt;0,ET13*$K13,AU13*$J13))*IF(3=$R13,$S13,12)/12,6)+$B$4),AU13-$I13)))))</f>
        <v/>
      </c>
      <c r="AW13" s="68">
        <f>IF($U13=0,0,IF($F13=4,0,IF($F13=3,0,IF(OR(4&gt;$R13,AV13&lt;=$I13),AV13,AV13-MIN(INT(ROUND(IF($F13=1,$C13*$J13,IF(EU13&gt;0,EU13*$K13,AV13*$J13))*IF(4=$R13,$S13,12)/12,6)+$B$4),AV13-$I13)))))</f>
        <v/>
      </c>
      <c r="AX13" s="68">
        <f>IF($U13=0,0,IF($F13=4,0,IF($F13=3,0,IF(OR(5&gt;$R13,AW13&lt;=$I13),AW13,AW13-MIN(INT(ROUND(IF($F13=1,$C13*$J13,IF(EV13&gt;0,EV13*$K13,AW13*$J13))*IF(5=$R13,$S13,12)/12,6)+$B$4),AW13-$I13)))))</f>
        <v/>
      </c>
      <c r="AY13" s="68">
        <f>IF($U13=0,0,IF($F13=4,0,IF($F13=3,0,IF(OR(6&gt;$R13,AX13&lt;=$I13),AX13,AX13-MIN(INT(ROUND(IF($F13=1,$C13*$J13,IF(EW13&gt;0,EW13*$K13,AX13*$J13))*IF(6=$R13,$S13,12)/12,6)+$B$4),AX13-$I13)))))</f>
        <v/>
      </c>
      <c r="AZ13" s="68">
        <f>IF($U13=0,0,IF($F13=4,0,IF($F13=3,0,IF(OR(7&gt;$R13,AY13&lt;=$I13),AY13,AY13-MIN(INT(ROUND(IF($F13=1,$C13*$J13,IF(EX13&gt;0,EX13*$K13,AY13*$J13))*IF(7=$R13,$S13,12)/12,6)+$B$4),AY13-$I13)))))</f>
        <v/>
      </c>
      <c r="BA13" s="68">
        <f>IF($U13=0,0,IF($F13=4,0,IF($F13=3,0,IF(OR(8&gt;$R13,AZ13&lt;=$I13),AZ13,AZ13-MIN(INT(ROUND(IF($F13=1,$C13*$J13,IF(EY13&gt;0,EY13*$K13,AZ13*$J13))*IF(8=$R13,$S13,12)/12,6)+$B$4),AZ13-$I13)))))</f>
        <v/>
      </c>
      <c r="BB13" s="68">
        <f>IF($U13=0,0,IF($F13=4,0,IF($F13=3,0,IF(OR(9&gt;$R13,BA13&lt;=$I13),BA13,BA13-MIN(INT(ROUND(IF($F13=1,$C13*$J13,IF(EZ13&gt;0,EZ13*$K13,BA13*$J13))*IF(9=$R13,$S13,12)/12,6)+$B$4),BA13-$I13)))))</f>
        <v/>
      </c>
      <c r="BC13" s="68">
        <f>IF($U13=0,0,IF($F13=4,0,IF($F13=3,0,IF(OR(10&gt;$R13,BB13&lt;=$I13),BB13,BB13-MIN(INT(ROUND(IF($F13=1,$C13*$J13,IF(FA13&gt;0,FA13*$K13,BB13*$J13))*IF(10=$R13,$S13,12)/12,6)+$B$4),BB13-$I13)))))</f>
        <v/>
      </c>
      <c r="BD13" s="68">
        <f>IF($U13=0,0,IF($F13=4,0,IF($F13=3,0,IF(OR(11&gt;$R13,BC13&lt;=$I13),BC13,BC13-MIN(INT(ROUND(IF($F13=1,$C13*$J13,IF(FB13&gt;0,FB13*$K13,BC13*$J13))*IF(11=$R13,$S13,12)/12,6)+$B$4),BC13-$I13)))))</f>
        <v/>
      </c>
      <c r="BE13" s="68">
        <f>IF($U13=0,0,IF($F13=4,0,IF($F13=3,0,IF(OR(12&gt;$R13,BD13&lt;=$I13),BD13,BD13-MIN(INT(ROUND(IF($F13=1,$C13*$J13,IF(FC13&gt;0,FC13*$K13,BD13*$J13))*IF(12=$R13,$S13,12)/12,6)+$B$4),BD13-$I13)))))</f>
        <v/>
      </c>
      <c r="BF13" s="68">
        <f>IF($U13=0,0,IF($F13=4,0,IF($F13=3,0,IF(OR(13&gt;$R13,BE13&lt;=$I13),BE13,BE13-MIN(INT(ROUND(IF($F13=1,$C13*$J13,IF(FD13&gt;0,FD13*$K13,BE13*$J13))*IF(13=$R13,$S13,12)/12,6)+$B$4),BE13-$I13)))))</f>
        <v/>
      </c>
      <c r="BG13" s="68">
        <f>IF($U13=0,0,IF($F13=4,0,IF($F13=3,0,IF(OR(14&gt;$R13,BF13&lt;=$I13),BF13,BF13-MIN(INT(ROUND(IF($F13=1,$C13*$J13,IF(FE13&gt;0,FE13*$K13,BF13*$J13))*IF(14=$R13,$S13,12)/12,6)+$B$4),BF13-$I13)))))</f>
        <v/>
      </c>
      <c r="BH13" s="68">
        <f>IF($U13=0,0,IF($F13=4,0,IF($F13=3,0,IF(OR(15&gt;$R13,BG13&lt;=$I13),BG13,BG13-MIN(INT(ROUND(IF($F13=1,$C13*$J13,IF(FF13&gt;0,FF13*$K13,BG13*$J13))*IF(15=$R13,$S13,12)/12,6)+$B$4),BG13-$I13)))))</f>
        <v/>
      </c>
      <c r="BI13" s="68">
        <f>IF($U13=0,0,IF($F13=4,0,IF($F13=3,0,IF(OR(16&gt;$R13,BH13&lt;=$I13),BH13,BH13-MIN(INT(ROUND(IF($F13=1,$C13*$J13,IF(FG13&gt;0,FG13*$K13,BH13*$J13))*IF(16=$R13,$S13,12)/12,6)+$B$4),BH13-$I13)))))</f>
        <v/>
      </c>
      <c r="BJ13" s="68">
        <f>IF($U13=0,0,IF($F13=4,0,IF($F13=3,0,IF(OR(17&gt;$R13,BI13&lt;=$I13),BI13,BI13-MIN(INT(ROUND(IF($F13=1,$C13*$J13,IF(FH13&gt;0,FH13*$K13,BI13*$J13))*IF(17=$R13,$S13,12)/12,6)+$B$4),BI13-$I13)))))</f>
        <v/>
      </c>
      <c r="BK13" s="68">
        <f>IF($U13=0,0,IF($F13=4,0,IF($F13=3,0,IF(OR(18&gt;$R13,BJ13&lt;=$I13),BJ13,BJ13-MIN(INT(ROUND(IF($F13=1,$C13*$J13,IF(FI13&gt;0,FI13*$K13,BJ13*$J13))*IF(18=$R13,$S13,12)/12,6)+$B$4),BJ13-$I13)))))</f>
        <v/>
      </c>
      <c r="BL13" s="68">
        <f>IF($U13=0,0,IF($F13=4,0,IF($F13=3,0,IF(OR(19&gt;$R13,BK13&lt;=$I13),BK13,BK13-MIN(INT(ROUND(IF($F13=1,$C13*$J13,IF(FJ13&gt;0,FJ13*$K13,BK13*$J13))*IF(19=$R13,$S13,12)/12,6)+$B$4),BK13-$I13)))))</f>
        <v/>
      </c>
      <c r="BM13" s="68">
        <f>IF($U13=0,0,IF($F13=4,0,IF($F13=3,0,IF(OR(20&gt;$R13,BL13&lt;=$I13),BL13,BL13-MIN(INT(ROUND(IF($F13=1,$C13*$J13,IF(FK13&gt;0,FK13*$K13,BL13*$J13))*IF(20=$R13,$S13,12)/12,6)+$B$4),BL13-$I13)))))</f>
        <v/>
      </c>
      <c r="BN13" s="68">
        <f>IF($U13=0,0,IF($F13=4,0,IF($F13=3,0,IF(OR(21&gt;$R13,BM13&lt;=$I13),BM13,BM13-MIN(INT(ROUND(IF($F13=1,$C13*$J13,IF(FL13&gt;0,FL13*$K13,BM13*$J13))*IF(21=$R13,$S13,12)/12,6)+$B$4),BM13-$I13)))))</f>
        <v/>
      </c>
      <c r="BO13" s="68">
        <f>IF($U13=0,0,IF($F13=4,0,IF($F13=3,0,IF(OR(22&gt;$R13,BN13&lt;=$I13),BN13,BN13-MIN(INT(ROUND(IF($F13=1,$C13*$J13,IF(FM13&gt;0,FM13*$K13,BN13*$J13))*IF(22=$R13,$S13,12)/12,6)+$B$4),BN13-$I13)))))</f>
        <v/>
      </c>
      <c r="BP13" s="68">
        <f>IF($U13=0,0,IF($F13=4,0,IF($F13=3,0,IF(OR(23&gt;$R13,BO13&lt;=$I13),BO13,BO13-MIN(INT(ROUND(IF($F13=1,$C13*$J13,IF(FN13&gt;0,FN13*$K13,BO13*$J13))*IF(23=$R13,$S13,12)/12,6)+$B$4),BO13-$I13)))))</f>
        <v/>
      </c>
      <c r="BQ13" s="68">
        <f>IF($U13=0,0,IF($F13=4,0,IF($F13=3,0,IF(OR(24&gt;$R13,BP13&lt;=$I13),BP13,BP13-MIN(INT(ROUND(IF($F13=1,$C13*$J13,IF(FO13&gt;0,FO13*$K13,BP13*$J13))*IF(24=$R13,$S13,12)/12,6)+$B$4),BP13-$I13)))))</f>
        <v/>
      </c>
      <c r="BR13" s="68">
        <f>IF($U13=0,0,IF($F13=4,0,IF($F13=3,0,IF(OR(25&gt;$R13,BQ13&lt;=$I13),BQ13,BQ13-MIN(INT(ROUND(IF($F13=1,$C13*$J13,IF(FP13&gt;0,FP13*$K13,BQ13*$J13))*IF(25=$R13,$S13,12)/12,6)+$B$4),BQ13-$I13)))))</f>
        <v/>
      </c>
      <c r="BS13" s="68">
        <f>IF($U13=0,0,IF($F13=4,0,IF($F13=3,0,IF(OR(26&gt;$R13,BR13&lt;=$I13),BR13,BR13-MIN(INT(ROUND(IF($F13=1,$C13*$J13,IF(FQ13&gt;0,FQ13*$K13,BR13*$J13))*IF(26=$R13,$S13,12)/12,6)+$B$4),BR13-$I13)))))</f>
        <v/>
      </c>
      <c r="BT13" s="68">
        <f>IF($U13=0,0,IF($F13=4,0,IF($F13=3,0,IF(OR(27&gt;$R13,BS13&lt;=$I13),BS13,BS13-MIN(INT(ROUND(IF($F13=1,$C13*$J13,IF(FR13&gt;0,FR13*$K13,BS13*$J13))*IF(27=$R13,$S13,12)/12,6)+$B$4),BS13-$I13)))))</f>
        <v/>
      </c>
      <c r="BU13" s="68">
        <f>IF($U13=0,0,IF($F13=4,0,IF($F13=3,0,IF(OR(28&gt;$R13,BT13&lt;=$I13),BT13,BT13-MIN(INT(ROUND(IF($F13=1,$C13*$J13,IF(FS13&gt;0,FS13*$K13,BT13*$J13))*IF(28=$R13,$S13,12)/12,6)+$B$4),BT13-$I13)))))</f>
        <v/>
      </c>
      <c r="BV13" s="68">
        <f>IF($U13=0,0,IF($F13=4,0,IF($F13=3,0,IF(OR(29&gt;$R13,BU13&lt;=$I13),BU13,BU13-MIN(INT(ROUND(IF($F13=1,$C13*$J13,IF(FT13&gt;0,FT13*$K13,BU13*$J13))*IF(29=$R13,$S13,12)/12,6)+$B$4),BU13-$I13)))))</f>
        <v/>
      </c>
      <c r="BW13" s="68">
        <f>IF($U13=0,0,IF($F13=4,0,IF($F13=3,0,IF(OR(30&gt;$R13,BV13&lt;=$I13),BV13,BV13-MIN(INT(ROUND(IF($F13=1,$C13*$J13,IF(FU13&gt;0,FU13*$K13,BV13*$J13))*IF(30=$R13,$S13,12)/12,6)+$B$4),BV13-$I13)))))</f>
        <v/>
      </c>
      <c r="BX13" s="68">
        <f>IF($U13=0,0,IF($F13=4,0,IF($F13=3,0,IF(OR(31&gt;$R13,BW13&lt;=$I13),BW13,BW13-MIN(INT(ROUND(IF($F13=1,$C13*$J13,IF(FV13&gt;0,FV13*$K13,BW13*$J13))*IF(31=$R13,$S13,12)/12,6)+$B$4),BW13-$I13)))))</f>
        <v/>
      </c>
      <c r="BY13" s="68">
        <f>IF($U13=0,0,IF($F13=4,0,IF($F13=3,0,IF(OR(32&gt;$R13,BX13&lt;=$I13),BX13,BX13-MIN(INT(ROUND(IF($F13=1,$C13*$J13,IF(FW13&gt;0,FW13*$K13,BX13*$J13))*IF(32=$R13,$S13,12)/12,6)+$B$4),BX13-$I13)))))</f>
        <v/>
      </c>
      <c r="BZ13" s="68">
        <f>IF($U13=0,0,IF($F13=4,0,IF($F13=3,0,IF(OR(33&gt;$R13,BY13&lt;=$I13),BY13,BY13-MIN(INT(ROUND(IF($F13=1,$C13*$J13,IF(FX13&gt;0,FX13*$K13,BY13*$J13))*IF(33=$R13,$S13,12)/12,6)+$B$4),BY13-$I13)))))</f>
        <v/>
      </c>
      <c r="CA13" s="68">
        <f>IF($U13=0,0,IF($F13=4,0,IF($F13=3,0,IF(OR(34&gt;$R13,BZ13&lt;=$I13),BZ13,BZ13-MIN(INT(ROUND(IF($F13=1,$C13*$J13,IF(FY13&gt;0,FY13*$K13,BZ13*$J13))*IF(34=$R13,$S13,12)/12,6)+$B$4),BZ13-$I13)))))</f>
        <v/>
      </c>
      <c r="CB13" s="68">
        <f>IF($U13=0,0,IF($F13=4,0,IF($F13=3,0,IF(OR(35&gt;$R13,CA13&lt;=$I13),CA13,CA13-MIN(INT(ROUND(IF($F13=1,$C13*$J13,IF(FZ13&gt;0,FZ13*$K13,CA13*$J13))*IF(35=$R13,$S13,12)/12,6)+$B$4),CA13-$I13)))))</f>
        <v/>
      </c>
      <c r="CC13" s="68">
        <f>IF($U13=0,0,IF($F13=4,0,IF($F13=3,0,IF(OR(36&gt;$R13,CB13&lt;=$I13),CB13,CB13-MIN(INT(ROUND(IF($F13=1,$C13*$J13,IF(GA13&gt;0,GA13*$K13,CB13*$J13))*IF(36=$R13,$S13,12)/12,6)+$B$4),CB13-$I13)))))</f>
        <v/>
      </c>
      <c r="CD13" s="68">
        <f>IF($U13=0,0,IF($F13=4,0,IF($F13=3,0,IF(OR(37&gt;$R13,CC13&lt;=$I13),CC13,CC13-MIN(INT(ROUND(IF($F13=1,$C13*$J13,IF(GB13&gt;0,GB13*$K13,CC13*$J13))*IF(37=$R13,$S13,12)/12,6)+$B$4),CC13-$I13)))))</f>
        <v/>
      </c>
      <c r="CE13" s="68">
        <f>IF($U13=0,0,IF($F13=4,0,IF($F13=3,0,IF(OR(38&gt;$R13,CD13&lt;=$I13),CD13,CD13-MIN(INT(ROUND(IF($F13=1,$C13*$J13,IF(GC13&gt;0,GC13*$K13,CD13*$J13))*IF(38=$R13,$S13,12)/12,6)+$B$4),CD13-$I13)))))</f>
        <v/>
      </c>
      <c r="CF13" s="68">
        <f>IF($U13=0,0,IF($F13=4,0,IF($F13=3,0,IF(OR(39&gt;$R13,CE13&lt;=$I13),CE13,CE13-MIN(INT(ROUND(IF($F13=1,$C13*$J13,IF(GD13&gt;0,GD13*$K13,CE13*$J13))*IF(39=$R13,$S13,12)/12,6)+$B$4),CE13-$I13)))))</f>
        <v/>
      </c>
      <c r="CG13" s="68">
        <f>IF($U13=0,0,IF($F13=4,0,IF($F13=3,0,IF(OR(40&gt;$R13,CF13&lt;=$I13),CF13,CF13-MIN(INT(ROUND(IF($F13=1,$C13*$J13,IF(GE13&gt;0,GE13*$K13,CF13*$J13))*IF(40=$R13,$S13,12)/12,6)+$B$4),CF13-$I13)))))</f>
        <v/>
      </c>
      <c r="CH13" s="68">
        <f>IF($U13=0,0,IF($F13=4,0,IF($F13=3,0,IF(OR(41&gt;$R13,CG13&lt;=$I13),CG13,CG13-MIN(INT(ROUND(IF($F13=1,$C13*$J13,IF(GF13&gt;0,GF13*$K13,CG13*$J13))*IF(41=$R13,$S13,12)/12,6)+$B$4),CG13-$I13)))))</f>
        <v/>
      </c>
      <c r="CI13" s="68">
        <f>IF($U13=0,0,IF($F13=4,0,IF($F13=3,0,IF(OR(42&gt;$R13,CH13&lt;=$I13),CH13,CH13-MIN(INT(ROUND(IF($F13=1,$C13*$J13,IF(GG13&gt;0,GG13*$K13,CH13*$J13))*IF(42=$R13,$S13,12)/12,6)+$B$4),CH13-$I13)))))</f>
        <v/>
      </c>
      <c r="CJ13" s="68">
        <f>IF($U13=0,0,IF($F13=4,0,IF($F13=3,0,IF(OR(43&gt;$R13,CI13&lt;=$I13),CI13,CI13-MIN(INT(ROUND(IF($F13=1,$C13*$J13,IF(GH13&gt;0,GH13*$K13,CI13*$J13))*IF(43=$R13,$S13,12)/12,6)+$B$4),CI13-$I13)))))</f>
        <v/>
      </c>
      <c r="CK13" s="68">
        <f>IF($U13=0,0,IF($F13=4,0,IF($F13=3,0,IF(OR(44&gt;$R13,CJ13&lt;=$I13),CJ13,CJ13-MIN(INT(ROUND(IF($F13=1,$C13*$J13,IF(GI13&gt;0,GI13*$K13,CJ13*$J13))*IF(44=$R13,$S13,12)/12,6)+$B$4),CJ13-$I13)))))</f>
        <v/>
      </c>
      <c r="CL13" s="68">
        <f>IF($U13=0,0,IF($F13=4,0,IF($F13=3,0,IF(OR(45&gt;$R13,CK13&lt;=$I13),CK13,CK13-MIN(INT(ROUND(IF($F13=1,$C13*$J13,IF(GJ13&gt;0,GJ13*$K13,CK13*$J13))*IF(45=$R13,$S13,12)/12,6)+$B$4),CK13-$I13)))))</f>
        <v/>
      </c>
      <c r="CM13" s="68">
        <f>IF($U13=0,0,IF($F13=4,0,IF($F13=3,0,IF(OR(46&gt;$R13,CL13&lt;=$I13),CL13,CL13-MIN(INT(ROUND(IF($F13=1,$C13*$J13,IF(GK13&gt;0,GK13*$K13,CL13*$J13))*IF(46=$R13,$S13,12)/12,6)+$B$4),CL13-$I13)))))</f>
        <v/>
      </c>
      <c r="CN13" s="68">
        <f>IF($U13=0,0,IF($F13=4,0,IF($F13=3,0,IF(OR(47&gt;$R13,CM13&lt;=$I13),CM13,CM13-MIN(INT(ROUND(IF($F13=1,$C13*$J13,IF(GL13&gt;0,GL13*$K13,CM13*$J13))*IF(47=$R13,$S13,12)/12,6)+$B$4),CM13-$I13)))))</f>
        <v/>
      </c>
      <c r="CO13" s="68">
        <f>IF($U13=0,0,IF($F13=4,0,IF($F13=3,0,IF(OR(48&gt;$R13,CN13&lt;=$I13),CN13,CN13-MIN(INT(ROUND(IF($F13=1,$C13*$J13,IF(GM13&gt;0,GM13*$K13,CN13*$J13))*IF(48=$R13,$S13,12)/12,6)+$B$4),CN13-$I13)))))</f>
        <v/>
      </c>
      <c r="CP13" s="68">
        <f>IF($U13=0,0,IF($F13=4,0,IF($F13=3,0,IF(OR(49&gt;$R13,CO13&lt;=$I13),CO13,CO13-MIN(INT(ROUND(IF($F13=1,$C13*$J13,IF(GN13&gt;0,GN13*$K13,CO13*$J13))*IF(49=$R13,$S13,12)/12,6)+$B$4),CO13-$I13)))))</f>
        <v/>
      </c>
      <c r="CQ13" s="68">
        <f>IF($U13=0,0,IF($F13=4,0,IF($F13=3,0,IF(OR(50&gt;$R13,CP13&lt;=$I13),CP13,CP13-MIN(INT(ROUND(IF($F13=1,$C13*$J13,IF(GO13&gt;0,GO13*$K13,CP13*$J13))*IF(50=$R13,$S13,12)/12,6)+$B$4),CP13-$I13)))))</f>
        <v/>
      </c>
      <c r="CR13" s="68">
        <f>IF($U13=0,0,IF($F13=4,0,IF($F13=3,0,IF(OR(51&gt;$R13,CQ13&lt;=$I13),CQ13,CQ13-MIN(INT(ROUND(IF($F13=1,$C13*$J13,IF(GP13&gt;0,GP13*$K13,CQ13*$J13))*IF(51=$R13,$S13,12)/12,6)+$B$4),CQ13-$I13)))))</f>
        <v/>
      </c>
      <c r="CS13" s="68">
        <f>IF($U13=0,0,IF($F13=4,0,IF($F13=3,0,IF(OR(52&gt;$R13,CR13&lt;=$I13),CR13,CR13-MIN(INT(ROUND(IF($F13=1,$C13*$J13,IF(GQ13&gt;0,GQ13*$K13,CR13*$J13))*IF(52=$R13,$S13,12)/12,6)+$B$4),CR13-$I13)))))</f>
        <v/>
      </c>
      <c r="CT13" s="68">
        <f>IF($U13=0,0,IF($F13=4,0,IF($F13=3,0,IF(OR(53&gt;$R13,CS13&lt;=$I13),CS13,CS13-MIN(INT(ROUND(IF($F13=1,$C13*$J13,IF(GR13&gt;0,GR13*$K13,CS13*$J13))*IF(53=$R13,$S13,12)/12,6)+$B$4),CS13-$I13)))))</f>
        <v/>
      </c>
      <c r="CU13" s="68">
        <f>IF($U13=0,0,IF($F13=4,0,IF($F13=3,0,IF(OR(54&gt;$R13,CT13&lt;=$I13),CT13,CT13-MIN(INT(ROUND(IF($F13=1,$C13*$J13,IF(GS13&gt;0,GS13*$K13,CT13*$J13))*IF(54=$R13,$S13,12)/12,6)+$B$4),CT13-$I13)))))</f>
        <v/>
      </c>
      <c r="CV13" s="68">
        <f>IF($U13=0,0,IF($F13=4,0,IF($F13=3,0,IF(OR(55&gt;$R13,CU13&lt;=$I13),CU13,CU13-MIN(INT(ROUND(IF($F13=1,$C13*$J13,IF(GT13&gt;0,GT13*$K13,CU13*$J13))*IF(55=$R13,$S13,12)/12,6)+$B$4),CU13-$I13)))))</f>
        <v/>
      </c>
      <c r="CW13" s="68">
        <f>IF($U13=0,0,IF($F13=4,0,IF($F13=3,0,IF(OR(56&gt;$R13,CV13&lt;=$I13),CV13,CV13-MIN(INT(ROUND(IF($F13=1,$C13*$J13,IF(GU13&gt;0,GU13*$K13,CV13*$J13))*IF(56=$R13,$S13,12)/12,6)+$B$4),CV13-$I13)))))</f>
        <v/>
      </c>
      <c r="CX13" s="68">
        <f>IF($U13=0,0,IF($F13=4,0,IF($F13=3,0,IF(OR(57&gt;$R13,CW13&lt;=$I13),CW13,CW13-MIN(INT(ROUND(IF($F13=1,$C13*$J13,IF(GV13&gt;0,GV13*$K13,CW13*$J13))*IF(57=$R13,$S13,12)/12,6)+$B$4),CW13-$I13)))))</f>
        <v/>
      </c>
      <c r="CY13" s="68">
        <f>IF($U13=0,0,IF($F13=4,0,IF($F13=3,0,IF(OR(58&gt;$R13,CX13&lt;=$I13),CX13,CX13-MIN(INT(ROUND(IF($F13=1,$C13*$J13,IF(GW13&gt;0,GW13*$K13,CX13*$J13))*IF(58=$R13,$S13,12)/12,6)+$B$4),CX13-$I13)))))</f>
        <v/>
      </c>
      <c r="CZ13" s="68">
        <f>IF($U13=0,0,IF($F13=4,0,IF($F13=3,0,IF(OR(59&gt;$R13,CY13&lt;=$I13),CY13,CY13-MIN(INT(ROUND(IF($F13=1,$C13*$J13,IF(GX13&gt;0,GX13*$K13,CY13*$J13))*IF(59=$R13,$S13,12)/12,6)+$B$4),CY13-$I13)))))</f>
        <v/>
      </c>
      <c r="DA13" s="68">
        <f>IF($U13=0,0,IF($F13=4,0,IF($F13=3,0,IF(OR(60&gt;$R13,CZ13&lt;=$I13),CZ13,CZ13-MIN(INT(ROUND(IF($F13=1,$C13*$J13,IF(GY13&gt;0,GY13*$K13,CZ13*$J13))*IF(60=$R13,$S13,12)/12,6)+$B$4),CZ13-$I13)))))</f>
        <v/>
      </c>
      <c r="DB13" s="68">
        <f>IF($U13=0,0,IF($F13=4,0,IF($F13=3,0,IF(OR(61&gt;$R13,DA13&lt;=$I13),DA13,DA13-MIN(INT(ROUND(IF($F13=1,$C13*$J13,IF(GZ13&gt;0,GZ13*$K13,DA13*$J13))*IF(61=$R13,$S13,12)/12,6)+$B$4),DA13-$I13)))))</f>
        <v/>
      </c>
      <c r="DC13" s="68">
        <f>IF($U13=0,0,IF($F13=4,0,IF($F13=3,0,IF(OR(62&gt;$R13,DB13&lt;=$I13),DB13,DB13-MIN(INT(ROUND(IF($F13=1,$C13*$J13,IF(HA13&gt;0,HA13*$K13,DB13*$J13))*IF(62=$R13,$S13,12)/12,6)+$B$4),DB13-$I13)))))</f>
        <v/>
      </c>
      <c r="DD13" s="68">
        <f>IF($U13=0,0,IF($F13=4,0,IF($F13=3,0,IF(OR(63&gt;$R13,DC13&lt;=$I13),DC13,DC13-MIN(INT(ROUND(IF($F13=1,$C13*$J13,IF(HB13&gt;0,HB13*$K13,DC13*$J13))*IF(63=$R13,$S13,12)/12,6)+$B$4),DC13-$I13)))))</f>
        <v/>
      </c>
      <c r="DE13" s="68">
        <f>IF($U13=0,0,IF($F13=4,0,IF($F13=3,0,IF(OR(64&gt;$R13,DD13&lt;=$I13),DD13,DD13-MIN(INT(ROUND(IF($F13=1,$C13*$J13,IF(HC13&gt;0,HC13*$K13,DD13*$J13))*IF(64=$R13,$S13,12)/12,6)+$B$4),DD13-$I13)))))</f>
        <v/>
      </c>
      <c r="DF13" s="68">
        <f>IF($U13=0,0,IF($F13=4,0,IF($F13=3,0,IF(OR(65&gt;$R13,DE13&lt;=$I13),DE13,DE13-MIN(INT(ROUND(IF($F13=1,$C13*$J13,IF(HD13&gt;0,HD13*$K13,DE13*$J13))*IF(65=$R13,$S13,12)/12,6)+$B$4),DE13-$I13)))))</f>
        <v/>
      </c>
      <c r="DG13" s="68">
        <f>IF($U13=0,0,IF($F13=4,0,IF($F13=3,0,IF(OR(66&gt;$R13,DF13&lt;=$I13),DF13,DF13-MIN(INT(ROUND(IF($F13=1,$C13*$J13,IF(HE13&gt;0,HE13*$K13,DF13*$J13))*IF(66=$R13,$S13,12)/12,6)+$B$4),DF13-$I13)))))</f>
        <v/>
      </c>
      <c r="DH13" s="68">
        <f>IF($U13=0,0,IF($F13=4,0,IF($F13=3,0,IF(OR(67&gt;$R13,DG13&lt;=$I13),DG13,DG13-MIN(INT(ROUND(IF($F13=1,$C13*$J13,IF(HF13&gt;0,HF13*$K13,DG13*$J13))*IF(67=$R13,$S13,12)/12,6)+$B$4),DG13-$I13)))))</f>
        <v/>
      </c>
      <c r="DI13" s="68">
        <f>IF($U13=0,0,IF($F13=4,0,IF($F13=3,0,IF(OR(68&gt;$R13,DH13&lt;=$I13),DH13,DH13-MIN(INT(ROUND(IF($F13=1,$C13*$J13,IF(HG13&gt;0,HG13*$K13,DH13*$J13))*IF(68=$R13,$S13,12)/12,6)+$B$4),DH13-$I13)))))</f>
        <v/>
      </c>
      <c r="DJ13" s="68">
        <f>IF($U13=0,0,IF($F13=4,0,IF($F13=3,0,IF(OR(69&gt;$R13,DI13&lt;=$I13),DI13,DI13-MIN(INT(ROUND(IF($F13=1,$C13*$J13,IF(HH13&gt;0,HH13*$K13,DI13*$J13))*IF(69=$R13,$S13,12)/12,6)+$B$4),DI13-$I13)))))</f>
        <v/>
      </c>
      <c r="DK13" s="68">
        <f>IF($U13=0,0,IF($F13=4,0,IF($F13=3,0,IF(OR(70&gt;$R13,DJ13&lt;=$I13),DJ13,DJ13-MIN(INT(ROUND(IF($F13=1,$C13*$J13,IF(HI13&gt;0,HI13*$K13,DJ13*$J13))*IF(70=$R13,$S13,12)/12,6)+$B$4),DJ13-$I13)))))</f>
        <v/>
      </c>
      <c r="DL13" s="68">
        <f>IF($U13=0,0,IF($F13=4,0,IF($F13=3,0,IF(OR(71&gt;$R13,DK13&lt;=$I13),DK13,DK13-MIN(INT(ROUND(IF($F13=1,$C13*$J13,IF(HJ13&gt;0,HJ13*$K13,DK13*$J13))*IF(71=$R13,$S13,12)/12,6)+$B$4),DK13-$I13)))))</f>
        <v/>
      </c>
      <c r="DM13" s="68">
        <f>IF($U13=0,0,IF($F13=4,0,IF($F13=3,0,IF(OR(72&gt;$R13,DL13&lt;=$I13),DL13,DL13-MIN(INT(ROUND(IF($F13=1,$C13*$J13,IF(HK13&gt;0,HK13*$K13,DL13*$J13))*IF(72=$R13,$S13,12)/12,6)+$B$4),DL13-$I13)))))</f>
        <v/>
      </c>
      <c r="DN13" s="68">
        <f>IF($U13=0,0,IF($F13=4,0,IF($F13=3,0,IF(OR(73&gt;$R13,DM13&lt;=$I13),DM13,DM13-MIN(INT(ROUND(IF($F13=1,$C13*$J13,IF(HL13&gt;0,HL13*$K13,DM13*$J13))*IF(73=$R13,$S13,12)/12,6)+$B$4),DM13-$I13)))))</f>
        <v/>
      </c>
      <c r="DO13" s="68">
        <f>IF($U13=0,0,IF($F13=4,0,IF($F13=3,0,IF(OR(74&gt;$R13,DN13&lt;=$I13),DN13,DN13-MIN(INT(ROUND(IF($F13=1,$C13*$J13,IF(HM13&gt;0,HM13*$K13,DN13*$J13))*IF(74=$R13,$S13,12)/12,6)+$B$4),DN13-$I13)))))</f>
        <v/>
      </c>
      <c r="DP13" s="68">
        <f>IF($U13=0,0,IF($F13=4,0,IF($F13=3,0,IF(OR(75&gt;$R13,DO13&lt;=$I13),DO13,DO13-MIN(INT(ROUND(IF($F13=1,$C13*$J13,IF(HN13&gt;0,HN13*$K13,DO13*$J13))*IF(75=$R13,$S13,12)/12,6)+$B$4),DO13-$I13)))))</f>
        <v/>
      </c>
      <c r="DQ13" s="68">
        <f>IF($U13=0,0,IF($F13=4,0,IF($F13=3,0,IF(OR(76&gt;$R13,DP13&lt;=$I13),DP13,DP13-MIN(INT(ROUND(IF($F13=1,$C13*$J13,IF(HO13&gt;0,HO13*$K13,DP13*$J13))*IF(76=$R13,$S13,12)/12,6)+$B$4),DP13-$I13)))))</f>
        <v/>
      </c>
      <c r="DR13" s="68">
        <f>IF($U13=0,0,IF($F13=4,0,IF($F13=3,0,IF(OR(77&gt;$R13,DQ13&lt;=$I13),DQ13,DQ13-MIN(INT(ROUND(IF($F13=1,$C13*$J13,IF(HP13&gt;0,HP13*$K13,DQ13*$J13))*IF(77=$R13,$S13,12)/12,6)+$B$4),DQ13-$I13)))))</f>
        <v/>
      </c>
      <c r="DS13" s="68">
        <f>IF($U13=0,0,IF($F13=4,0,IF($F13=3,0,IF(OR(78&gt;$R13,DR13&lt;=$I13),DR13,DR13-MIN(INT(ROUND(IF($F13=1,$C13*$J13,IF(HQ13&gt;0,HQ13*$K13,DR13*$J13))*IF(78=$R13,$S13,12)/12,6)+$B$4),DR13-$I13)))))</f>
        <v/>
      </c>
      <c r="DT13" s="68">
        <f>IF($U13=0,0,IF($F13=4,0,IF($F13=3,0,IF(OR(79&gt;$R13,DS13&lt;=$I13),DS13,DS13-MIN(INT(ROUND(IF($F13=1,$C13*$J13,IF(HR13&gt;0,HR13*$K13,DS13*$J13))*IF(79=$R13,$S13,12)/12,6)+$B$4),DS13-$I13)))))</f>
        <v/>
      </c>
      <c r="DU13" s="68">
        <f>IF($U13=0,0,IF($F13=4,0,IF($F13=3,0,IF(OR(80&gt;$R13,DT13&lt;=$I13),DT13,DT13-MIN(INT(ROUND(IF($F13=1,$C13*$J13,IF(HS13&gt;0,HS13*$K13,DT13*$J13))*IF(80=$R13,$S13,12)/12,6)+$B$4),DT13-$I13)))))</f>
        <v/>
      </c>
      <c r="DV13" s="68">
        <f>IF($U13=0,0,IF($F13=4,0,IF($F13=3,0,IF(OR(81&gt;$R13,DU13&lt;=$I13),DU13,DU13-MIN(INT(ROUND(IF($F13=1,$C13*$J13,IF(HT13&gt;0,HT13*$K13,DU13*$J13))*IF(81=$R13,$S13,12)/12,6)+$B$4),DU13-$I13)))))</f>
        <v/>
      </c>
      <c r="DW13" s="68">
        <f>IF($U13=0,0,IF($F13=4,0,IF($F13=3,0,IF(OR(82&gt;$R13,DV13&lt;=$I13),DV13,DV13-MIN(INT(ROUND(IF($F13=1,$C13*$J13,IF(HU13&gt;0,HU13*$K13,DV13*$J13))*IF(82=$R13,$S13,12)/12,6)+$B$4),DV13-$I13)))))</f>
        <v/>
      </c>
      <c r="DX13" s="68">
        <f>IF($U13=0,0,IF($F13=4,0,IF($F13=3,0,IF(OR(83&gt;$R13,DW13&lt;=$I13),DW13,DW13-MIN(INT(ROUND(IF($F13=1,$C13*$J13,IF(HV13&gt;0,HV13*$K13,DW13*$J13))*IF(83=$R13,$S13,12)/12,6)+$B$4),DW13-$I13)))))</f>
        <v/>
      </c>
      <c r="DY13" s="68">
        <f>IF($U13=0,0,IF($F13=4,0,IF($F13=3,0,IF(OR(84&gt;$R13,DX13&lt;=$I13),DX13,DX13-MIN(INT(ROUND(IF($F13=1,$C13*$J13,IF(HW13&gt;0,HW13*$K13,DX13*$J13))*IF(84=$R13,$S13,12)/12,6)+$B$4),DX13-$I13)))))</f>
        <v/>
      </c>
      <c r="DZ13" s="68">
        <f>IF($U13=0,0,IF($F13=4,0,IF($F13=3,0,IF(OR(85&gt;$R13,DY13&lt;=$I13),DY13,DY13-MIN(INT(ROUND(IF($F13=1,$C13*$J13,IF(HX13&gt;0,HX13*$K13,DY13*$J13))*IF(85=$R13,$S13,12)/12,6)+$B$4),DY13-$I13)))))</f>
        <v/>
      </c>
      <c r="EA13" s="68">
        <f>IF($U13=0,0,IF($F13=4,0,IF($F13=3,0,IF(OR(86&gt;$R13,DZ13&lt;=$I13),DZ13,DZ13-MIN(INT(ROUND(IF($F13=1,$C13*$J13,IF(HY13&gt;0,HY13*$K13,DZ13*$J13))*IF(86=$R13,$S13,12)/12,6)+$B$4),DZ13-$I13)))))</f>
        <v/>
      </c>
      <c r="EB13" s="68">
        <f>IF($U13=0,0,IF($F13=4,0,IF($F13=3,0,IF(OR(87&gt;$R13,EA13&lt;=$I13),EA13,EA13-MIN(INT(ROUND(IF($F13=1,$C13*$J13,IF(HZ13&gt;0,HZ13*$K13,EA13*$J13))*IF(87=$R13,$S13,12)/12,6)+$B$4),EA13-$I13)))))</f>
        <v/>
      </c>
      <c r="EC13" s="68">
        <f>IF($U13=0,0,IF($F13=4,0,IF($F13=3,0,IF(OR(88&gt;$R13,EB13&lt;=$I13),EB13,EB13-MIN(INT(ROUND(IF($F13=1,$C13*$J13,IF(IA13&gt;0,IA13*$K13,EB13*$J13))*IF(88=$R13,$S13,12)/12,6)+$B$4),EB13-$I13)))))</f>
        <v/>
      </c>
      <c r="ED13" s="68">
        <f>IF($U13=0,0,IF($F13=4,0,IF($F13=3,0,IF(OR(89&gt;$R13,EC13&lt;=$I13),EC13,EC13-MIN(INT(ROUND(IF($F13=1,$C13*$J13,IF(IB13&gt;0,IB13*$K13,EC13*$J13))*IF(89=$R13,$S13,12)/12,6)+$B$4),EC13-$I13)))))</f>
        <v/>
      </c>
      <c r="EE13" s="68">
        <f>IF($U13=0,0,IF($F13=4,0,IF($F13=3,0,IF(OR(90&gt;$R13,ED13&lt;=$I13),ED13,ED13-MIN(INT(ROUND(IF($F13=1,$C13*$J13,IF(IC13&gt;0,IC13*$K13,ED13*$J13))*IF(90=$R13,$S13,12)/12,6)+$B$4),ED13-$I13)))))</f>
        <v/>
      </c>
      <c r="EF13" s="68">
        <f>IF($U13=0,0,IF($F13=4,0,IF($F13=3,0,IF(OR(91&gt;$R13,EE13&lt;=$I13),EE13,EE13-MIN(INT(ROUND(IF($F13=1,$C13*$J13,IF(ID13&gt;0,ID13*$K13,EE13*$J13))*IF(91=$R13,$S13,12)/12,6)+$B$4),EE13-$I13)))))</f>
        <v/>
      </c>
      <c r="EG13" s="68">
        <f>IF($U13=0,0,IF($F13=4,0,IF($F13=3,0,IF(OR(92&gt;$R13,EF13&lt;=$I13),EF13,EF13-MIN(INT(ROUND(IF($F13=1,$C13*$J13,IF(IE13&gt;0,IE13*$K13,EF13*$J13))*IF(92=$R13,$S13,12)/12,6)+$B$4),EF13-$I13)))))</f>
        <v/>
      </c>
      <c r="EH13" s="68">
        <f>IF($U13=0,0,IF($F13=4,0,IF($F13=3,0,IF(OR(93&gt;$R13,EG13&lt;=$I13),EG13,EG13-MIN(INT(ROUND(IF($F13=1,$C13*$J13,IF(IF13&gt;0,IF13*$K13,EG13*$J13))*IF(93=$R13,$S13,12)/12,6)+$B$4),EG13-$I13)))))</f>
        <v/>
      </c>
      <c r="EI13" s="68">
        <f>IF($U13=0,0,IF($F13=4,0,IF($F13=3,0,IF(OR(94&gt;$R13,EH13&lt;=$I13),EH13,EH13-MIN(INT(ROUND(IF($F13=1,$C13*$J13,IF(IG13&gt;0,IG13*$K13,EH13*$J13))*IF(94=$R13,$S13,12)/12,6)+$B$4),EH13-$I13)))))</f>
        <v/>
      </c>
      <c r="EJ13" s="68">
        <f>IF($U13=0,0,IF($F13=4,0,IF($F13=3,0,IF(OR(95&gt;$R13,EI13&lt;=$I13),EI13,EI13-MIN(INT(ROUND(IF($F13=1,$C13*$J13,IF(IH13&gt;0,IH13*$K13,EI13*$J13))*IF(95=$R13,$S13,12)/12,6)+$B$4),EI13-$I13)))))</f>
        <v/>
      </c>
      <c r="EK13" s="68">
        <f>IF($U13=0,0,IF($F13=4,0,IF($F13=3,0,IF(OR(96&gt;$R13,EJ13&lt;=$I13),EJ13,EJ13-MIN(INT(ROUND(IF($F13=1,$C13*$J13,IF(II13&gt;0,II13*$K13,EJ13*$J13))*IF(96=$R13,$S13,12)/12,6)+$B$4),EJ13-$I13)))))</f>
        <v/>
      </c>
      <c r="EL13" s="68">
        <f>IF($U13=0,0,IF($F13=4,0,IF($F13=3,0,IF(OR(97&gt;$R13,EK13&lt;=$I13),EK13,EK13-MIN(INT(ROUND(IF($F13=1,$C13*$J13,IF(IJ13&gt;0,IJ13*$K13,EK13*$J13))*IF(97=$R13,$S13,12)/12,6)+$B$4),EK13-$I13)))))</f>
        <v/>
      </c>
      <c r="EM13" s="68">
        <f>IF($U13=0,0,IF($F13=4,0,IF($F13=3,0,IF(OR(98&gt;$R13,EL13&lt;=$I13),EL13,EL13-MIN(INT(ROUND(IF($F13=1,$C13*$J13,IF(IK13&gt;0,IK13*$K13,EL13*$J13))*IF(98=$R13,$S13,12)/12,6)+$B$4),EL13-$I13)))))</f>
        <v/>
      </c>
      <c r="EN13" s="68">
        <f>IF($U13=0,0,IF($F13=4,0,IF($F13=3,0,IF(OR(99&gt;$R13,EM13&lt;=$I13),EM13,EM13-MIN(INT(ROUND(IF($F13=1,$C13*$J13,IF(IL13&gt;0,IL13*$K13,EM13*$J13))*IF(99=$R13,$S13,12)/12,6)+$B$4),EM13-$I13)))))</f>
        <v/>
      </c>
      <c r="EO13" s="68">
        <f>IF($U13=0,0,IF($F13=4,0,IF($F13=3,0,IF(OR(100&gt;$R13,EN13&lt;=$I13),EN13,EN13-MIN(INT(ROUND(IF($F13=1,$C13*$J13,IF(IM13&gt;0,IM13*$K13,EN13*$J13))*IF(100=$R13,$S13,12)/12,6)+$B$4),EN13-$I13)))))</f>
        <v/>
      </c>
      <c r="EP13" s="68">
        <f>IF($U13=0,0,IF($F13=4,0,IF($F13=3,0,IF(OR(101&gt;$R13,EO13&lt;=$I13),EO13,EO13-MIN(INT(ROUND(IF($F13=1,$C13*$J13,IF(IN13&gt;0,IN13*$K13,EO13*$J13))*IF(101=$R13,$S13,12)/12,6)+$B$4),EO13-$I13)))))</f>
        <v/>
      </c>
      <c r="EQ13" s="68" t="n"/>
      <c r="ER13" s="68">
        <f>IF(OR($U13=0,$F13&lt;&gt;2),0,IF(ROUND(AS13*$J13,6)&lt;ROUND($M13,6),AS13,0))</f>
        <v/>
      </c>
      <c r="ES13" s="68">
        <f>IF(OR($U13=0,$F13&lt;&gt;2),0,IF(ER13&gt;0,ER13,IF(ROUND(AT13*$J13,6)&lt;ROUND($M13,6),AT13,0)))</f>
        <v/>
      </c>
      <c r="ET13" s="68">
        <f>IF(OR($U13=0,$F13&lt;&gt;2),0,IF(ES13&gt;0,ES13,IF(ROUND(AU13*$J13,6)&lt;ROUND($M13,6),AU13,0)))</f>
        <v/>
      </c>
      <c r="EU13" s="68">
        <f>IF(OR($U13=0,$F13&lt;&gt;2),0,IF(ET13&gt;0,ET13,IF(ROUND(AV13*$J13,6)&lt;ROUND($M13,6),AV13,0)))</f>
        <v/>
      </c>
      <c r="EV13" s="68">
        <f>IF(OR($U13=0,$F13&lt;&gt;2),0,IF(EU13&gt;0,EU13,IF(ROUND(AW13*$J13,6)&lt;ROUND($M13,6),AW13,0)))</f>
        <v/>
      </c>
      <c r="EW13" s="68">
        <f>IF(OR($U13=0,$F13&lt;&gt;2),0,IF(EV13&gt;0,EV13,IF(ROUND(AX13*$J13,6)&lt;ROUND($M13,6),AX13,0)))</f>
        <v/>
      </c>
      <c r="EX13" s="68">
        <f>IF(OR($U13=0,$F13&lt;&gt;2),0,IF(EW13&gt;0,EW13,IF(ROUND(AY13*$J13,6)&lt;ROUND($M13,6),AY13,0)))</f>
        <v/>
      </c>
      <c r="EY13" s="68">
        <f>IF(OR($U13=0,$F13&lt;&gt;2),0,IF(EX13&gt;0,EX13,IF(ROUND(AZ13*$J13,6)&lt;ROUND($M13,6),AZ13,0)))</f>
        <v/>
      </c>
      <c r="EZ13" s="68">
        <f>IF(OR($U13=0,$F13&lt;&gt;2),0,IF(EY13&gt;0,EY13,IF(ROUND(BA13*$J13,6)&lt;ROUND($M13,6),BA13,0)))</f>
        <v/>
      </c>
      <c r="FA13" s="68">
        <f>IF(OR($U13=0,$F13&lt;&gt;2),0,IF(EZ13&gt;0,EZ13,IF(ROUND(BB13*$J13,6)&lt;ROUND($M13,6),BB13,0)))</f>
        <v/>
      </c>
      <c r="FB13" s="68">
        <f>IF(OR($U13=0,$F13&lt;&gt;2),0,IF(FA13&gt;0,FA13,IF(ROUND(BC13*$J13,6)&lt;ROUND($M13,6),BC13,0)))</f>
        <v/>
      </c>
      <c r="FC13" s="68">
        <f>IF(OR($U13=0,$F13&lt;&gt;2),0,IF(FB13&gt;0,FB13,IF(ROUND(BD13*$J13,6)&lt;ROUND($M13,6),BD13,0)))</f>
        <v/>
      </c>
      <c r="FD13" s="68">
        <f>IF(OR($U13=0,$F13&lt;&gt;2),0,IF(FC13&gt;0,FC13,IF(ROUND(BE13*$J13,6)&lt;ROUND($M13,6),BE13,0)))</f>
        <v/>
      </c>
      <c r="FE13" s="68">
        <f>IF(OR($U13=0,$F13&lt;&gt;2),0,IF(FD13&gt;0,FD13,IF(ROUND(BF13*$J13,6)&lt;ROUND($M13,6),BF13,0)))</f>
        <v/>
      </c>
      <c r="FF13" s="68">
        <f>IF(OR($U13=0,$F13&lt;&gt;2),0,IF(FE13&gt;0,FE13,IF(ROUND(BG13*$J13,6)&lt;ROUND($M13,6),BG13,0)))</f>
        <v/>
      </c>
      <c r="FG13" s="68">
        <f>IF(OR($U13=0,$F13&lt;&gt;2),0,IF(FF13&gt;0,FF13,IF(ROUND(BH13*$J13,6)&lt;ROUND($M13,6),BH13,0)))</f>
        <v/>
      </c>
      <c r="FH13" s="68">
        <f>IF(OR($U13=0,$F13&lt;&gt;2),0,IF(FG13&gt;0,FG13,IF(ROUND(BI13*$J13,6)&lt;ROUND($M13,6),BI13,0)))</f>
        <v/>
      </c>
      <c r="FI13" s="68">
        <f>IF(OR($U13=0,$F13&lt;&gt;2),0,IF(FH13&gt;0,FH13,IF(ROUND(BJ13*$J13,6)&lt;ROUND($M13,6),BJ13,0)))</f>
        <v/>
      </c>
      <c r="FJ13" s="68">
        <f>IF(OR($U13=0,$F13&lt;&gt;2),0,IF(FI13&gt;0,FI13,IF(ROUND(BK13*$J13,6)&lt;ROUND($M13,6),BK13,0)))</f>
        <v/>
      </c>
      <c r="FK13" s="68">
        <f>IF(OR($U13=0,$F13&lt;&gt;2),0,IF(FJ13&gt;0,FJ13,IF(ROUND(BL13*$J13,6)&lt;ROUND($M13,6),BL13,0)))</f>
        <v/>
      </c>
      <c r="FL13" s="68">
        <f>IF(OR($U13=0,$F13&lt;&gt;2),0,IF(FK13&gt;0,FK13,IF(ROUND(BM13*$J13,6)&lt;ROUND($M13,6),BM13,0)))</f>
        <v/>
      </c>
      <c r="FM13" s="68">
        <f>IF(OR($U13=0,$F13&lt;&gt;2),0,IF(FL13&gt;0,FL13,IF(ROUND(BN13*$J13,6)&lt;ROUND($M13,6),BN13,0)))</f>
        <v/>
      </c>
      <c r="FN13" s="68">
        <f>IF(OR($U13=0,$F13&lt;&gt;2),0,IF(FM13&gt;0,FM13,IF(ROUND(BO13*$J13,6)&lt;ROUND($M13,6),BO13,0)))</f>
        <v/>
      </c>
      <c r="FO13" s="68">
        <f>IF(OR($U13=0,$F13&lt;&gt;2),0,IF(FN13&gt;0,FN13,IF(ROUND(BP13*$J13,6)&lt;ROUND($M13,6),BP13,0)))</f>
        <v/>
      </c>
      <c r="FP13" s="68">
        <f>IF(OR($U13=0,$F13&lt;&gt;2),0,IF(FO13&gt;0,FO13,IF(ROUND(BQ13*$J13,6)&lt;ROUND($M13,6),BQ13,0)))</f>
        <v/>
      </c>
      <c r="FQ13" s="68">
        <f>IF(OR($U13=0,$F13&lt;&gt;2),0,IF(FP13&gt;0,FP13,IF(ROUND(BR13*$J13,6)&lt;ROUND($M13,6),BR13,0)))</f>
        <v/>
      </c>
      <c r="FR13" s="68">
        <f>IF(OR($U13=0,$F13&lt;&gt;2),0,IF(FQ13&gt;0,FQ13,IF(ROUND(BS13*$J13,6)&lt;ROUND($M13,6),BS13,0)))</f>
        <v/>
      </c>
      <c r="FS13" s="68">
        <f>IF(OR($U13=0,$F13&lt;&gt;2),0,IF(FR13&gt;0,FR13,IF(ROUND(BT13*$J13,6)&lt;ROUND($M13,6),BT13,0)))</f>
        <v/>
      </c>
      <c r="FT13" s="68">
        <f>IF(OR($U13=0,$F13&lt;&gt;2),0,IF(FS13&gt;0,FS13,IF(ROUND(BU13*$J13,6)&lt;ROUND($M13,6),BU13,0)))</f>
        <v/>
      </c>
      <c r="FU13" s="68">
        <f>IF(OR($U13=0,$F13&lt;&gt;2),0,IF(FT13&gt;0,FT13,IF(ROUND(BV13*$J13,6)&lt;ROUND($M13,6),BV13,0)))</f>
        <v/>
      </c>
      <c r="FV13" s="68">
        <f>IF(OR($U13=0,$F13&lt;&gt;2),0,IF(FU13&gt;0,FU13,IF(ROUND(BW13*$J13,6)&lt;ROUND($M13,6),BW13,0)))</f>
        <v/>
      </c>
      <c r="FW13" s="68">
        <f>IF(OR($U13=0,$F13&lt;&gt;2),0,IF(FV13&gt;0,FV13,IF(ROUND(BX13*$J13,6)&lt;ROUND($M13,6),BX13,0)))</f>
        <v/>
      </c>
      <c r="FX13" s="68">
        <f>IF(OR($U13=0,$F13&lt;&gt;2),0,IF(FW13&gt;0,FW13,IF(ROUND(BY13*$J13,6)&lt;ROUND($M13,6),BY13,0)))</f>
        <v/>
      </c>
      <c r="FY13" s="68">
        <f>IF(OR($U13=0,$F13&lt;&gt;2),0,IF(FX13&gt;0,FX13,IF(ROUND(BZ13*$J13,6)&lt;ROUND($M13,6),BZ13,0)))</f>
        <v/>
      </c>
      <c r="FZ13" s="68">
        <f>IF(OR($U13=0,$F13&lt;&gt;2),0,IF(FY13&gt;0,FY13,IF(ROUND(CA13*$J13,6)&lt;ROUND($M13,6),CA13,0)))</f>
        <v/>
      </c>
      <c r="GA13" s="68">
        <f>IF(OR($U13=0,$F13&lt;&gt;2),0,IF(FZ13&gt;0,FZ13,IF(ROUND(CB13*$J13,6)&lt;ROUND($M13,6),CB13,0)))</f>
        <v/>
      </c>
      <c r="GB13" s="68">
        <f>IF(OR($U13=0,$F13&lt;&gt;2),0,IF(GA13&gt;0,GA13,IF(ROUND(CC13*$J13,6)&lt;ROUND($M13,6),CC13,0)))</f>
        <v/>
      </c>
      <c r="GC13" s="68">
        <f>IF(OR($U13=0,$F13&lt;&gt;2),0,IF(GB13&gt;0,GB13,IF(ROUND(CD13*$J13,6)&lt;ROUND($M13,6),CD13,0)))</f>
        <v/>
      </c>
      <c r="GD13" s="68">
        <f>IF(OR($U13=0,$F13&lt;&gt;2),0,IF(GC13&gt;0,GC13,IF(ROUND(CE13*$J13,6)&lt;ROUND($M13,6),CE13,0)))</f>
        <v/>
      </c>
      <c r="GE13" s="68">
        <f>IF(OR($U13=0,$F13&lt;&gt;2),0,IF(GD13&gt;0,GD13,IF(ROUND(CF13*$J13,6)&lt;ROUND($M13,6),CF13,0)))</f>
        <v/>
      </c>
      <c r="GF13" s="68">
        <f>IF(OR($U13=0,$F13&lt;&gt;2),0,IF(GE13&gt;0,GE13,IF(ROUND(CG13*$J13,6)&lt;ROUND($M13,6),CG13,0)))</f>
        <v/>
      </c>
      <c r="GG13" s="68">
        <f>IF(OR($U13=0,$F13&lt;&gt;2),0,IF(GF13&gt;0,GF13,IF(ROUND(CH13*$J13,6)&lt;ROUND($M13,6),CH13,0)))</f>
        <v/>
      </c>
      <c r="GH13" s="68">
        <f>IF(OR($U13=0,$F13&lt;&gt;2),0,IF(GG13&gt;0,GG13,IF(ROUND(CI13*$J13,6)&lt;ROUND($M13,6),CI13,0)))</f>
        <v/>
      </c>
      <c r="GI13" s="68">
        <f>IF(OR($U13=0,$F13&lt;&gt;2),0,IF(GH13&gt;0,GH13,IF(ROUND(CJ13*$J13,6)&lt;ROUND($M13,6),CJ13,0)))</f>
        <v/>
      </c>
      <c r="GJ13" s="68">
        <f>IF(OR($U13=0,$F13&lt;&gt;2),0,IF(GI13&gt;0,GI13,IF(ROUND(CK13*$J13,6)&lt;ROUND($M13,6),CK13,0)))</f>
        <v/>
      </c>
      <c r="GK13" s="68">
        <f>IF(OR($U13=0,$F13&lt;&gt;2),0,IF(GJ13&gt;0,GJ13,IF(ROUND(CL13*$J13,6)&lt;ROUND($M13,6),CL13,0)))</f>
        <v/>
      </c>
      <c r="GL13" s="68">
        <f>IF(OR($U13=0,$F13&lt;&gt;2),0,IF(GK13&gt;0,GK13,IF(ROUND(CM13*$J13,6)&lt;ROUND($M13,6),CM13,0)))</f>
        <v/>
      </c>
      <c r="GM13" s="68">
        <f>IF(OR($U13=0,$F13&lt;&gt;2),0,IF(GL13&gt;0,GL13,IF(ROUND(CN13*$J13,6)&lt;ROUND($M13,6),CN13,0)))</f>
        <v/>
      </c>
      <c r="GN13" s="68">
        <f>IF(OR($U13=0,$F13&lt;&gt;2),0,IF(GM13&gt;0,GM13,IF(ROUND(CO13*$J13,6)&lt;ROUND($M13,6),CO13,0)))</f>
        <v/>
      </c>
      <c r="GO13" s="68">
        <f>IF(OR($U13=0,$F13&lt;&gt;2),0,IF(GN13&gt;0,GN13,IF(ROUND(CP13*$J13,6)&lt;ROUND($M13,6),CP13,0)))</f>
        <v/>
      </c>
      <c r="GP13" s="68">
        <f>IF(OR($U13=0,$F13&lt;&gt;2),0,IF(GO13&gt;0,GO13,IF(ROUND(CQ13*$J13,6)&lt;ROUND($M13,6),CQ13,0)))</f>
        <v/>
      </c>
      <c r="GQ13" s="68">
        <f>IF(OR($U13=0,$F13&lt;&gt;2),0,IF(GP13&gt;0,GP13,IF(ROUND(CR13*$J13,6)&lt;ROUND($M13,6),CR13,0)))</f>
        <v/>
      </c>
      <c r="GR13" s="68">
        <f>IF(OR($U13=0,$F13&lt;&gt;2),0,IF(GQ13&gt;0,GQ13,IF(ROUND(CS13*$J13,6)&lt;ROUND($M13,6),CS13,0)))</f>
        <v/>
      </c>
      <c r="GS13" s="68">
        <f>IF(OR($U13=0,$F13&lt;&gt;2),0,IF(GR13&gt;0,GR13,IF(ROUND(CT13*$J13,6)&lt;ROUND($M13,6),CT13,0)))</f>
        <v/>
      </c>
      <c r="GT13" s="68">
        <f>IF(OR($U13=0,$F13&lt;&gt;2),0,IF(GS13&gt;0,GS13,IF(ROUND(CU13*$J13,6)&lt;ROUND($M13,6),CU13,0)))</f>
        <v/>
      </c>
      <c r="GU13" s="68">
        <f>IF(OR($U13=0,$F13&lt;&gt;2),0,IF(GT13&gt;0,GT13,IF(ROUND(CV13*$J13,6)&lt;ROUND($M13,6),CV13,0)))</f>
        <v/>
      </c>
      <c r="GV13" s="68">
        <f>IF(OR($U13=0,$F13&lt;&gt;2),0,IF(GU13&gt;0,GU13,IF(ROUND(CW13*$J13,6)&lt;ROUND($M13,6),CW13,0)))</f>
        <v/>
      </c>
      <c r="GW13" s="68">
        <f>IF(OR($U13=0,$F13&lt;&gt;2),0,IF(GV13&gt;0,GV13,IF(ROUND(CX13*$J13,6)&lt;ROUND($M13,6),CX13,0)))</f>
        <v/>
      </c>
      <c r="GX13" s="68">
        <f>IF(OR($U13=0,$F13&lt;&gt;2),0,IF(GW13&gt;0,GW13,IF(ROUND(CY13*$J13,6)&lt;ROUND($M13,6),CY13,0)))</f>
        <v/>
      </c>
      <c r="GY13" s="68">
        <f>IF(OR($U13=0,$F13&lt;&gt;2),0,IF(GX13&gt;0,GX13,IF(ROUND(CZ13*$J13,6)&lt;ROUND($M13,6),CZ13,0)))</f>
        <v/>
      </c>
      <c r="GZ13" s="68">
        <f>IF(OR($U13=0,$F13&lt;&gt;2),0,IF(GY13&gt;0,GY13,IF(ROUND(DA13*$J13,6)&lt;ROUND($M13,6),DA13,0)))</f>
        <v/>
      </c>
      <c r="HA13" s="68">
        <f>IF(OR($U13=0,$F13&lt;&gt;2),0,IF(GZ13&gt;0,GZ13,IF(ROUND(DB13*$J13,6)&lt;ROUND($M13,6),DB13,0)))</f>
        <v/>
      </c>
      <c r="HB13" s="68">
        <f>IF(OR($U13=0,$F13&lt;&gt;2),0,IF(HA13&gt;0,HA13,IF(ROUND(DC13*$J13,6)&lt;ROUND($M13,6),DC13,0)))</f>
        <v/>
      </c>
      <c r="HC13" s="68">
        <f>IF(OR($U13=0,$F13&lt;&gt;2),0,IF(HB13&gt;0,HB13,IF(ROUND(DD13*$J13,6)&lt;ROUND($M13,6),DD13,0)))</f>
        <v/>
      </c>
      <c r="HD13" s="68">
        <f>IF(OR($U13=0,$F13&lt;&gt;2),0,IF(HC13&gt;0,HC13,IF(ROUND(DE13*$J13,6)&lt;ROUND($M13,6),DE13,0)))</f>
        <v/>
      </c>
      <c r="HE13" s="68">
        <f>IF(OR($U13=0,$F13&lt;&gt;2),0,IF(HD13&gt;0,HD13,IF(ROUND(DF13*$J13,6)&lt;ROUND($M13,6),DF13,0)))</f>
        <v/>
      </c>
      <c r="HF13" s="68">
        <f>IF(OR($U13=0,$F13&lt;&gt;2),0,IF(HE13&gt;0,HE13,IF(ROUND(DG13*$J13,6)&lt;ROUND($M13,6),DG13,0)))</f>
        <v/>
      </c>
      <c r="HG13" s="68">
        <f>IF(OR($U13=0,$F13&lt;&gt;2),0,IF(HF13&gt;0,HF13,IF(ROUND(DH13*$J13,6)&lt;ROUND($M13,6),DH13,0)))</f>
        <v/>
      </c>
      <c r="HH13" s="68">
        <f>IF(OR($U13=0,$F13&lt;&gt;2),0,IF(HG13&gt;0,HG13,IF(ROUND(DI13*$J13,6)&lt;ROUND($M13,6),DI13,0)))</f>
        <v/>
      </c>
      <c r="HI13" s="68">
        <f>IF(OR($U13=0,$F13&lt;&gt;2),0,IF(HH13&gt;0,HH13,IF(ROUND(DJ13*$J13,6)&lt;ROUND($M13,6),DJ13,0)))</f>
        <v/>
      </c>
      <c r="HJ13" s="68">
        <f>IF(OR($U13=0,$F13&lt;&gt;2),0,IF(HI13&gt;0,HI13,IF(ROUND(DK13*$J13,6)&lt;ROUND($M13,6),DK13,0)))</f>
        <v/>
      </c>
      <c r="HK13" s="68">
        <f>IF(OR($U13=0,$F13&lt;&gt;2),0,IF(HJ13&gt;0,HJ13,IF(ROUND(DL13*$J13,6)&lt;ROUND($M13,6),DL13,0)))</f>
        <v/>
      </c>
      <c r="HL13" s="68">
        <f>IF(OR($U13=0,$F13&lt;&gt;2),0,IF(HK13&gt;0,HK13,IF(ROUND(DM13*$J13,6)&lt;ROUND($M13,6),DM13,0)))</f>
        <v/>
      </c>
      <c r="HM13" s="68">
        <f>IF(OR($U13=0,$F13&lt;&gt;2),0,IF(HL13&gt;0,HL13,IF(ROUND(DN13*$J13,6)&lt;ROUND($M13,6),DN13,0)))</f>
        <v/>
      </c>
      <c r="HN13" s="68">
        <f>IF(OR($U13=0,$F13&lt;&gt;2),0,IF(HM13&gt;0,HM13,IF(ROUND(DO13*$J13,6)&lt;ROUND($M13,6),DO13,0)))</f>
        <v/>
      </c>
      <c r="HO13" s="68">
        <f>IF(OR($U13=0,$F13&lt;&gt;2),0,IF(HN13&gt;0,HN13,IF(ROUND(DP13*$J13,6)&lt;ROUND($M13,6),DP13,0)))</f>
        <v/>
      </c>
      <c r="HP13" s="68">
        <f>IF(OR($U13=0,$F13&lt;&gt;2),0,IF(HO13&gt;0,HO13,IF(ROUND(DQ13*$J13,6)&lt;ROUND($M13,6),DQ13,0)))</f>
        <v/>
      </c>
      <c r="HQ13" s="68">
        <f>IF(OR($U13=0,$F13&lt;&gt;2),0,IF(HP13&gt;0,HP13,IF(ROUND(DR13*$J13,6)&lt;ROUND($M13,6),DR13,0)))</f>
        <v/>
      </c>
      <c r="HR13" s="68">
        <f>IF(OR($U13=0,$F13&lt;&gt;2),0,IF(HQ13&gt;0,HQ13,IF(ROUND(DS13*$J13,6)&lt;ROUND($M13,6),DS13,0)))</f>
        <v/>
      </c>
      <c r="HS13" s="68">
        <f>IF(OR($U13=0,$F13&lt;&gt;2),0,IF(HR13&gt;0,HR13,IF(ROUND(DT13*$J13,6)&lt;ROUND($M13,6),DT13,0)))</f>
        <v/>
      </c>
      <c r="HT13" s="68">
        <f>IF(OR($U13=0,$F13&lt;&gt;2),0,IF(HS13&gt;0,HS13,IF(ROUND(DU13*$J13,6)&lt;ROUND($M13,6),DU13,0)))</f>
        <v/>
      </c>
      <c r="HU13" s="68">
        <f>IF(OR($U13=0,$F13&lt;&gt;2),0,IF(HT13&gt;0,HT13,IF(ROUND(DV13*$J13,6)&lt;ROUND($M13,6),DV13,0)))</f>
        <v/>
      </c>
      <c r="HV13" s="68">
        <f>IF(OR($U13=0,$F13&lt;&gt;2),0,IF(HU13&gt;0,HU13,IF(ROUND(DW13*$J13,6)&lt;ROUND($M13,6),DW13,0)))</f>
        <v/>
      </c>
      <c r="HW13" s="68">
        <f>IF(OR($U13=0,$F13&lt;&gt;2),0,IF(HV13&gt;0,HV13,IF(ROUND(DX13*$J13,6)&lt;ROUND($M13,6),DX13,0)))</f>
        <v/>
      </c>
      <c r="HX13" s="68">
        <f>IF(OR($U13=0,$F13&lt;&gt;2),0,IF(HW13&gt;0,HW13,IF(ROUND(DY13*$J13,6)&lt;ROUND($M13,6),DY13,0)))</f>
        <v/>
      </c>
      <c r="HY13" s="68">
        <f>IF(OR($U13=0,$F13&lt;&gt;2),0,IF(HX13&gt;0,HX13,IF(ROUND(DZ13*$J13,6)&lt;ROUND($M13,6),DZ13,0)))</f>
        <v/>
      </c>
      <c r="HZ13" s="68">
        <f>IF(OR($U13=0,$F13&lt;&gt;2),0,IF(HY13&gt;0,HY13,IF(ROUND(EA13*$J13,6)&lt;ROUND($M13,6),EA13,0)))</f>
        <v/>
      </c>
      <c r="IA13" s="68">
        <f>IF(OR($U13=0,$F13&lt;&gt;2),0,IF(HZ13&gt;0,HZ13,IF(ROUND(EB13*$J13,6)&lt;ROUND($M13,6),EB13,0)))</f>
        <v/>
      </c>
      <c r="IB13" s="68">
        <f>IF(OR($U13=0,$F13&lt;&gt;2),0,IF(IA13&gt;0,IA13,IF(ROUND(EC13*$J13,6)&lt;ROUND($M13,6),EC13,0)))</f>
        <v/>
      </c>
      <c r="IC13" s="68">
        <f>IF(OR($U13=0,$F13&lt;&gt;2),0,IF(IB13&gt;0,IB13,IF(ROUND(ED13*$J13,6)&lt;ROUND($M13,6),ED13,0)))</f>
        <v/>
      </c>
      <c r="ID13" s="68">
        <f>IF(OR($U13=0,$F13&lt;&gt;2),0,IF(IC13&gt;0,IC13,IF(ROUND(EE13*$J13,6)&lt;ROUND($M13,6),EE13,0)))</f>
        <v/>
      </c>
      <c r="IE13" s="68">
        <f>IF(OR($U13=0,$F13&lt;&gt;2),0,IF(ID13&gt;0,ID13,IF(ROUND(EF13*$J13,6)&lt;ROUND($M13,6),EF13,0)))</f>
        <v/>
      </c>
      <c r="IF13" s="68">
        <f>IF(OR($U13=0,$F13&lt;&gt;2),0,IF(IE13&gt;0,IE13,IF(ROUND(EG13*$J13,6)&lt;ROUND($M13,6),EG13,0)))</f>
        <v/>
      </c>
      <c r="IG13" s="68">
        <f>IF(OR($U13=0,$F13&lt;&gt;2),0,IF(IF13&gt;0,IF13,IF(ROUND(EH13*$J13,6)&lt;ROUND($M13,6),EH13,0)))</f>
        <v/>
      </c>
      <c r="IH13" s="68">
        <f>IF(OR($U13=0,$F13&lt;&gt;2),0,IF(IG13&gt;0,IG13,IF(ROUND(EI13*$J13,6)&lt;ROUND($M13,6),EI13,0)))</f>
        <v/>
      </c>
      <c r="II13" s="68">
        <f>IF(OR($U13=0,$F13&lt;&gt;2),0,IF(IH13&gt;0,IH13,IF(ROUND(EJ13*$J13,6)&lt;ROUND($M13,6),EJ13,0)))</f>
        <v/>
      </c>
      <c r="IJ13" s="68">
        <f>IF(OR($U13=0,$F13&lt;&gt;2),0,IF(II13&gt;0,II13,IF(ROUND(EK13*$J13,6)&lt;ROUND($M13,6),EK13,0)))</f>
        <v/>
      </c>
      <c r="IK13" s="68">
        <f>IF(OR($U13=0,$F13&lt;&gt;2),0,IF(IJ13&gt;0,IJ13,IF(ROUND(EL13*$J13,6)&lt;ROUND($M13,6),EL13,0)))</f>
        <v/>
      </c>
      <c r="IL13" s="68">
        <f>IF(OR($U13=0,$F13&lt;&gt;2),0,IF(IK13&gt;0,IK13,IF(ROUND(EM13*$J13,6)&lt;ROUND($M13,6),EM13,0)))</f>
        <v/>
      </c>
      <c r="IM13" s="68">
        <f>IF(OR($U13=0,$F13&lt;&gt;2),0,IF(IL13&gt;0,IL13,IF(ROUND(EN13*$J13,6)&lt;ROUND($M13,6),EN13,0)))</f>
        <v/>
      </c>
      <c r="IN13" s="68">
        <f>IF(OR($U13=0,$F13&lt;&gt;2),0,IF(IM13&gt;0,IM13,IF(ROUND(EO13*$J13,6)&lt;ROUND($M13,6),EO13,0)))</f>
        <v/>
      </c>
    </row>
    <row r="14">
      <c r="A14" s="68" t="n">
        <v>9</v>
      </c>
      <c r="B14" s="68">
        <f>IF(OR(TRIM('固定資産台帳'!$B14)&lt;&gt;"",'固定資産台帳'!$E14&lt;&gt;"",'固定資産台帳'!$G14&lt;&gt;"",'固定資産台帳'!$H14&lt;&gt;""),1,0)</f>
        <v/>
      </c>
      <c r="C14" s="68">
        <f>IF(ISNUMBER('固定資産台帳'!$G14),MAX(ROUND('固定資産台帳'!$G14,0),0),0)</f>
        <v/>
      </c>
      <c r="D14" s="84">
        <f>IF(ISNUMBER('固定資産台帳'!$E14),INT('固定資産台帳'!$E14),0)</f>
        <v/>
      </c>
      <c r="E14" s="84">
        <f>IF(ISNUMBER('固定資産台帳'!$F14),INT('固定資産台帳'!$F14),$D14)</f>
        <v/>
      </c>
      <c r="F14" s="68">
        <f>IF('固定資産台帳'!$H14="定額法",1,IF(OR('固定資産台帳'!$H14="定率法",'固定資産台帳'!$H14="定率法（200%）",'固定資産台帳'!$H14="定率法（250%）"),2,IF('固定資産台帳'!$H14="一括償却（3年）",3,IF('固定資産台帳'!$H14="少額特例",4,0))))</f>
        <v/>
      </c>
      <c r="G14" s="68">
        <f>IF('固定資産台帳'!$H14="定率法（250%）",250,IF('固定資産台帳'!$H14="定率法（200%）",200,IF($D14&gt;=DATE(2012,4,1),200,250)))</f>
        <v/>
      </c>
      <c r="H14" s="68">
        <f>IF(ISNUMBER('固定資産台帳'!$I14),IF(AND('固定資産台帳'!$I14&gt;=2,'固定資産台帳'!$I14&lt;=100,'固定資産台帳'!$I14=INT('固定資産台帳'!$I14)),'固定資産台帳'!$I14,0),0)</f>
        <v/>
      </c>
      <c r="I14" s="68">
        <f>IF('固定資産台帳'!$C14="無形固定資産",0,1)</f>
        <v/>
      </c>
      <c r="J14" s="68">
        <f>IF(OR($H14=0,$F14=0,$F14&gt;2),0,IF($F14=1,INDEX('償却率表'!$B$6:$B$104,$H14-1),IF($G14=200,INDEX('償却率表'!$C$6:$C$104,$H14-1),INDEX('償却率表'!$F$6:$F$104,$H14-1))))</f>
        <v/>
      </c>
      <c r="K14" s="68">
        <f>IF(AND($F14=2,$H14&gt;0),IF($G14=200,INDEX('償却率表'!$D$6:$D$104,$H14-1),INDEX('償却率表'!$G$6:$G$104,$H14-1)),0)</f>
        <v/>
      </c>
      <c r="L14" s="68">
        <f>IF(AND($F14=2,$H14&gt;0),IF($G14=200,INDEX('償却率表'!$E$6:$E$104,$H14-1),INDEX('償却率表'!$H$6:$H$104,$H14-1)),0)</f>
        <v/>
      </c>
      <c r="M14" s="68">
        <f>$C14*$L14</f>
        <v/>
      </c>
      <c r="N14" s="68">
        <f>IF($B$1=1,1,IF('固定資産台帳'!$J14="",1,IF(ISNUMBER('固定資産台帳'!$J14),IF(AND('固定資産台帳'!$J14&gt;0,'固定資産台帳'!$J14&lt;=1),'固定資産台帳'!$J14,0),0)))</f>
        <v/>
      </c>
      <c r="O14" s="68">
        <f>IF($E14=0,0,YEAR($E14)-IF(MONTH($E14)&lt;$B$2,1,0))</f>
        <v/>
      </c>
      <c r="P14" s="68">
        <f>IF($E14=0,0,12-MOD(MONTH($E14)-$B$2,12))</f>
        <v/>
      </c>
      <c r="Q14" s="84">
        <f>IF(ISNUMBER('固定資産台帳'!$K14),INT('固定資産台帳'!$K14),0)</f>
        <v/>
      </c>
      <c r="R14" s="68">
        <f>IF(OR($Q14=0,$E14=0),999,YEAR($Q14)-IF(MONTH($Q14)&lt;$B$2,1,0)-$O14)</f>
        <v/>
      </c>
      <c r="S14" s="68">
        <f>IF($R14=999,0,MOD(MONTH($Q14)-$B$2,12)+1-IF($R14=0,12-$P14,0))</f>
        <v/>
      </c>
      <c r="T14" s="68">
        <f>IF($B14=0,0,IF($C14&lt;=0,1,IF($D14=0,2,IF($F14=0,3,IF(AND($F14&lt;=2,$H14=0),4,IF(AND($F14&lt;=2,$D14&lt;DATE(2007,4,1)),5,IF($E14&lt;$D14,6,IF(AND($Q14&gt;0,$Q14&lt;$E14),7,IF($N14=0,8,IF($B$3=0,9,0))))))))))</f>
        <v/>
      </c>
      <c r="U14" s="68">
        <f>IF(AND($B14=1,$T14=0),1,0)</f>
        <v/>
      </c>
      <c r="V14" s="68">
        <f>$B$3-$O14</f>
        <v/>
      </c>
      <c r="W14" s="68">
        <f>IF(AND($U14=1,$V14&gt;=0),1,0)</f>
        <v/>
      </c>
      <c r="X14" s="68">
        <f>IF($W14=0,0,IF($V14=0,$C14,INDEX($AS14:$EP14,MIN($V14,102))))</f>
        <v/>
      </c>
      <c r="Y14" s="68">
        <f>IF($W14=0,0,INDEX($AS14:$EP14,MIN($V14,101)+1))</f>
        <v/>
      </c>
      <c r="Z14" s="68">
        <f>$X14-$Y14</f>
        <v/>
      </c>
      <c r="AA14" s="68">
        <f>IF(AND($W14=1,$F14=2,$V14&gt;=1),INDEX($ER14:$IN14,MIN($V14,101)),0)</f>
        <v/>
      </c>
      <c r="AB14" s="68">
        <f>IF(OR($W14=0,$F14&gt;2,$Z14=0),0,IF($V14=0,IF($R14=0,$S14,$P14),IF($V14=$R14,$S14,12)))</f>
        <v/>
      </c>
      <c r="AC14" s="68">
        <f>IF($W14=0,0,INT(ROUND($Z14*$N14,6)+$B$4))</f>
        <v/>
      </c>
      <c r="AD14" s="68">
        <f>IF(AND($W14=1,$F14&lt;=2,$V14=$R14),1,0)</f>
        <v/>
      </c>
      <c r="AE14" s="68">
        <f>IF(AND($W14=1,$F14&lt;=2,$V14&gt;$R14),1,0)</f>
        <v/>
      </c>
      <c r="AF14" s="68">
        <f>IF(AND($W14=1,$AE14=0,OR($Z14&gt;0,$AD14=1)),1,0)</f>
        <v/>
      </c>
      <c r="AG14" s="68">
        <f>IF($AF14=1,SUM($AF$6:$AF14),0)</f>
        <v/>
      </c>
      <c r="AH14" s="68">
        <f>IF($T14=0,"",CHOOSE($T14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4" s="68">
        <f>IF(AND($F14=2,OR('固定資産台帳'!$C14="建物",'固定資産台帳'!$C14="無形固定資産",AND(OR('固定資産台帳'!$C14="建物附属設備",'固定資産台帳'!$C14="構築物"),$D14&gt;=DATE(2016,4,1)))),"この資産は定額法だけです（定率法は使えません）。","")&amp;IF(AND($F14=3,$C14&gt;=200000),"一括償却は20万円未満の資産だけです。","")&amp;IF(AND($F14=3,$B$1=0,$C14&lt;100000),"10万円未満は一括償却にせず、全額をその年の経費にします。","")&amp;IF(AND($F14=4,$C14&lt;100000),"10万円未満は少額特例ではなく、全額をその年の経費にします。","")&amp;IF(AND($F14=4,$D14&lt;DATE(2026,4,1),$C14&gt;=300000),"2026年3月31日までの取得で少額特例が使えるのは30万円未満です。","")&amp;IF(AND($F14=4,$D14&gt;=DATE(2026,4,1),$C14&gt;=400000),"少額特例は40万円未満の資産だけです。","")&amp;IF(AND($F14=4,OR($D14&lt;DATE(2006,4,1),$D14&gt;DATE(2029,3,31))),"少額特例は2006年4月1日〜2029年3月31日に取得した資産だけです。","")&amp;IF(AND($F14=2,$G14=250,$D14&gt;DATE(2012,12,31)),"250%定率法は2012年12月31日までの取得だけです。","")</f>
        <v/>
      </c>
      <c r="AJ14" s="68">
        <f>IF(AND($F14=2,'固定資産台帳'!$H14="定率法（200%）",$D14&lt;DATE(2012,4,1)),"2012年3月31日までの取得に200%を使うのは、経過措置の届出をした場合です。","")&amp;IF(AND($F14=2,'固定資産台帳'!$H14="定率法（250%）",$D14&gt;=DATE(2012,4,1),$D14&lt;=DATE(2012,12,31)),"2012年4〜12月の取得に250%を使うのは、経過措置を選んだ場合です。","")</f>
        <v/>
      </c>
      <c r="AK14" s="68">
        <f>IF($U14=0,"",IF($V14&lt;0,"表示している年より後に使い始める資産です。",IF($AE14=1,"売却・除却済みです。",IF($AD14=1,"この年に売却・除却。期末の帳簿価額 "&amp;TEXT($Y14,"#,##0")&amp;"円を帳簿から外します。",IF($F14=4,IF($V14=0,"少額特例：この年に全額を経費にします。","少額特例で経費にした資産です。"),IF($F14=3,IF($V14&gt;2,"一括償却は終わっています。","一括償却 "&amp;($V14+1)&amp;"年目（3年のうち）。"),IF($Z14=0,"償却済み（帳簿価額 "&amp;TEXT($Y14,"#,##0")&amp;"円）。",IF($AA14&gt;0,"改定償却率で計算（改定取得価額 "&amp;TEXT($AA14,"#,##0")&amp;"円）。",IF($V14=0,"この年に使い始め（"&amp;$AB14&amp;"か月分）。","")))))))))</f>
        <v/>
      </c>
      <c r="AL14" s="68">
        <f>IF(AND($U14=1,$F14=4,$V14=0),$C14,0)</f>
        <v/>
      </c>
      <c r="AM14" s="68">
        <f>IF($F14=2,INT(ROUND($M14,6)+$B$4),0)</f>
        <v/>
      </c>
      <c r="AN14" s="68">
        <f>IF($W14=0,0,IF($F14=2,IF($AA14&gt;0,$AA14,$X14),$C14))</f>
        <v/>
      </c>
      <c r="AO14" s="68">
        <f>IF($W14=0,"",IF($F14=3,"1/3",IF($F14=4,"―",IF($AA14&gt;0,$K14,$J14))))</f>
        <v/>
      </c>
      <c r="AP14" s="68" t="n"/>
      <c r="AQ14" s="68" t="n"/>
      <c r="AR14" s="68" t="n"/>
      <c r="AS14" s="68">
        <f>IF($U14=0,0,IF($F14=4,0,IF($F14=3,MAX($C14-INT(ROUND($C14/3,6)+$B$4),0),$C14-MIN(INT(ROUND($C14*$J14*IF($R14=0,$S14,$P14)/12,6)+$B$4),MAX($C14-$I14,0)))))</f>
        <v/>
      </c>
      <c r="AT14" s="68">
        <f>IF($U14=0,0,IF($F14=4,0,IF($F14=3,AS14-MIN(INT(ROUND($C14/3,6)+$B$4),AS14),IF(OR(1&gt;$R14,AS14&lt;=$I14),AS14,AS14-MIN(INT(ROUND(IF($F14=1,$C14*$J14,IF(ER14&gt;0,ER14*$K14,AS14*$J14))*IF(1=$R14,$S14,12)/12,6)+$B$4),AS14-$I14)))))</f>
        <v/>
      </c>
      <c r="AU14" s="68">
        <f>IF($U14=0,0,IF($F14=4,0,IF($F14=3,0,IF(OR(2&gt;$R14,AT14&lt;=$I14),AT14,AT14-MIN(INT(ROUND(IF($F14=1,$C14*$J14,IF(ES14&gt;0,ES14*$K14,AT14*$J14))*IF(2=$R14,$S14,12)/12,6)+$B$4),AT14-$I14)))))</f>
        <v/>
      </c>
      <c r="AV14" s="68">
        <f>IF($U14=0,0,IF($F14=4,0,IF($F14=3,0,IF(OR(3&gt;$R14,AU14&lt;=$I14),AU14,AU14-MIN(INT(ROUND(IF($F14=1,$C14*$J14,IF(ET14&gt;0,ET14*$K14,AU14*$J14))*IF(3=$R14,$S14,12)/12,6)+$B$4),AU14-$I14)))))</f>
        <v/>
      </c>
      <c r="AW14" s="68">
        <f>IF($U14=0,0,IF($F14=4,0,IF($F14=3,0,IF(OR(4&gt;$R14,AV14&lt;=$I14),AV14,AV14-MIN(INT(ROUND(IF($F14=1,$C14*$J14,IF(EU14&gt;0,EU14*$K14,AV14*$J14))*IF(4=$R14,$S14,12)/12,6)+$B$4),AV14-$I14)))))</f>
        <v/>
      </c>
      <c r="AX14" s="68">
        <f>IF($U14=0,0,IF($F14=4,0,IF($F14=3,0,IF(OR(5&gt;$R14,AW14&lt;=$I14),AW14,AW14-MIN(INT(ROUND(IF($F14=1,$C14*$J14,IF(EV14&gt;0,EV14*$K14,AW14*$J14))*IF(5=$R14,$S14,12)/12,6)+$B$4),AW14-$I14)))))</f>
        <v/>
      </c>
      <c r="AY14" s="68">
        <f>IF($U14=0,0,IF($F14=4,0,IF($F14=3,0,IF(OR(6&gt;$R14,AX14&lt;=$I14),AX14,AX14-MIN(INT(ROUND(IF($F14=1,$C14*$J14,IF(EW14&gt;0,EW14*$K14,AX14*$J14))*IF(6=$R14,$S14,12)/12,6)+$B$4),AX14-$I14)))))</f>
        <v/>
      </c>
      <c r="AZ14" s="68">
        <f>IF($U14=0,0,IF($F14=4,0,IF($F14=3,0,IF(OR(7&gt;$R14,AY14&lt;=$I14),AY14,AY14-MIN(INT(ROUND(IF($F14=1,$C14*$J14,IF(EX14&gt;0,EX14*$K14,AY14*$J14))*IF(7=$R14,$S14,12)/12,6)+$B$4),AY14-$I14)))))</f>
        <v/>
      </c>
      <c r="BA14" s="68">
        <f>IF($U14=0,0,IF($F14=4,0,IF($F14=3,0,IF(OR(8&gt;$R14,AZ14&lt;=$I14),AZ14,AZ14-MIN(INT(ROUND(IF($F14=1,$C14*$J14,IF(EY14&gt;0,EY14*$K14,AZ14*$J14))*IF(8=$R14,$S14,12)/12,6)+$B$4),AZ14-$I14)))))</f>
        <v/>
      </c>
      <c r="BB14" s="68">
        <f>IF($U14=0,0,IF($F14=4,0,IF($F14=3,0,IF(OR(9&gt;$R14,BA14&lt;=$I14),BA14,BA14-MIN(INT(ROUND(IF($F14=1,$C14*$J14,IF(EZ14&gt;0,EZ14*$K14,BA14*$J14))*IF(9=$R14,$S14,12)/12,6)+$B$4),BA14-$I14)))))</f>
        <v/>
      </c>
      <c r="BC14" s="68">
        <f>IF($U14=0,0,IF($F14=4,0,IF($F14=3,0,IF(OR(10&gt;$R14,BB14&lt;=$I14),BB14,BB14-MIN(INT(ROUND(IF($F14=1,$C14*$J14,IF(FA14&gt;0,FA14*$K14,BB14*$J14))*IF(10=$R14,$S14,12)/12,6)+$B$4),BB14-$I14)))))</f>
        <v/>
      </c>
      <c r="BD14" s="68">
        <f>IF($U14=0,0,IF($F14=4,0,IF($F14=3,0,IF(OR(11&gt;$R14,BC14&lt;=$I14),BC14,BC14-MIN(INT(ROUND(IF($F14=1,$C14*$J14,IF(FB14&gt;0,FB14*$K14,BC14*$J14))*IF(11=$R14,$S14,12)/12,6)+$B$4),BC14-$I14)))))</f>
        <v/>
      </c>
      <c r="BE14" s="68">
        <f>IF($U14=0,0,IF($F14=4,0,IF($F14=3,0,IF(OR(12&gt;$R14,BD14&lt;=$I14),BD14,BD14-MIN(INT(ROUND(IF($F14=1,$C14*$J14,IF(FC14&gt;0,FC14*$K14,BD14*$J14))*IF(12=$R14,$S14,12)/12,6)+$B$4),BD14-$I14)))))</f>
        <v/>
      </c>
      <c r="BF14" s="68">
        <f>IF($U14=0,0,IF($F14=4,0,IF($F14=3,0,IF(OR(13&gt;$R14,BE14&lt;=$I14),BE14,BE14-MIN(INT(ROUND(IF($F14=1,$C14*$J14,IF(FD14&gt;0,FD14*$K14,BE14*$J14))*IF(13=$R14,$S14,12)/12,6)+$B$4),BE14-$I14)))))</f>
        <v/>
      </c>
      <c r="BG14" s="68">
        <f>IF($U14=0,0,IF($F14=4,0,IF($F14=3,0,IF(OR(14&gt;$R14,BF14&lt;=$I14),BF14,BF14-MIN(INT(ROUND(IF($F14=1,$C14*$J14,IF(FE14&gt;0,FE14*$K14,BF14*$J14))*IF(14=$R14,$S14,12)/12,6)+$B$4),BF14-$I14)))))</f>
        <v/>
      </c>
      <c r="BH14" s="68">
        <f>IF($U14=0,0,IF($F14=4,0,IF($F14=3,0,IF(OR(15&gt;$R14,BG14&lt;=$I14),BG14,BG14-MIN(INT(ROUND(IF($F14=1,$C14*$J14,IF(FF14&gt;0,FF14*$K14,BG14*$J14))*IF(15=$R14,$S14,12)/12,6)+$B$4),BG14-$I14)))))</f>
        <v/>
      </c>
      <c r="BI14" s="68">
        <f>IF($U14=0,0,IF($F14=4,0,IF($F14=3,0,IF(OR(16&gt;$R14,BH14&lt;=$I14),BH14,BH14-MIN(INT(ROUND(IF($F14=1,$C14*$J14,IF(FG14&gt;0,FG14*$K14,BH14*$J14))*IF(16=$R14,$S14,12)/12,6)+$B$4),BH14-$I14)))))</f>
        <v/>
      </c>
      <c r="BJ14" s="68">
        <f>IF($U14=0,0,IF($F14=4,0,IF($F14=3,0,IF(OR(17&gt;$R14,BI14&lt;=$I14),BI14,BI14-MIN(INT(ROUND(IF($F14=1,$C14*$J14,IF(FH14&gt;0,FH14*$K14,BI14*$J14))*IF(17=$R14,$S14,12)/12,6)+$B$4),BI14-$I14)))))</f>
        <v/>
      </c>
      <c r="BK14" s="68">
        <f>IF($U14=0,0,IF($F14=4,0,IF($F14=3,0,IF(OR(18&gt;$R14,BJ14&lt;=$I14),BJ14,BJ14-MIN(INT(ROUND(IF($F14=1,$C14*$J14,IF(FI14&gt;0,FI14*$K14,BJ14*$J14))*IF(18=$R14,$S14,12)/12,6)+$B$4),BJ14-$I14)))))</f>
        <v/>
      </c>
      <c r="BL14" s="68">
        <f>IF($U14=0,0,IF($F14=4,0,IF($F14=3,0,IF(OR(19&gt;$R14,BK14&lt;=$I14),BK14,BK14-MIN(INT(ROUND(IF($F14=1,$C14*$J14,IF(FJ14&gt;0,FJ14*$K14,BK14*$J14))*IF(19=$R14,$S14,12)/12,6)+$B$4),BK14-$I14)))))</f>
        <v/>
      </c>
      <c r="BM14" s="68">
        <f>IF($U14=0,0,IF($F14=4,0,IF($F14=3,0,IF(OR(20&gt;$R14,BL14&lt;=$I14),BL14,BL14-MIN(INT(ROUND(IF($F14=1,$C14*$J14,IF(FK14&gt;0,FK14*$K14,BL14*$J14))*IF(20=$R14,$S14,12)/12,6)+$B$4),BL14-$I14)))))</f>
        <v/>
      </c>
      <c r="BN14" s="68">
        <f>IF($U14=0,0,IF($F14=4,0,IF($F14=3,0,IF(OR(21&gt;$R14,BM14&lt;=$I14),BM14,BM14-MIN(INT(ROUND(IF($F14=1,$C14*$J14,IF(FL14&gt;0,FL14*$K14,BM14*$J14))*IF(21=$R14,$S14,12)/12,6)+$B$4),BM14-$I14)))))</f>
        <v/>
      </c>
      <c r="BO14" s="68">
        <f>IF($U14=0,0,IF($F14=4,0,IF($F14=3,0,IF(OR(22&gt;$R14,BN14&lt;=$I14),BN14,BN14-MIN(INT(ROUND(IF($F14=1,$C14*$J14,IF(FM14&gt;0,FM14*$K14,BN14*$J14))*IF(22=$R14,$S14,12)/12,6)+$B$4),BN14-$I14)))))</f>
        <v/>
      </c>
      <c r="BP14" s="68">
        <f>IF($U14=0,0,IF($F14=4,0,IF($F14=3,0,IF(OR(23&gt;$R14,BO14&lt;=$I14),BO14,BO14-MIN(INT(ROUND(IF($F14=1,$C14*$J14,IF(FN14&gt;0,FN14*$K14,BO14*$J14))*IF(23=$R14,$S14,12)/12,6)+$B$4),BO14-$I14)))))</f>
        <v/>
      </c>
      <c r="BQ14" s="68">
        <f>IF($U14=0,0,IF($F14=4,0,IF($F14=3,0,IF(OR(24&gt;$R14,BP14&lt;=$I14),BP14,BP14-MIN(INT(ROUND(IF($F14=1,$C14*$J14,IF(FO14&gt;0,FO14*$K14,BP14*$J14))*IF(24=$R14,$S14,12)/12,6)+$B$4),BP14-$I14)))))</f>
        <v/>
      </c>
      <c r="BR14" s="68">
        <f>IF($U14=0,0,IF($F14=4,0,IF($F14=3,0,IF(OR(25&gt;$R14,BQ14&lt;=$I14),BQ14,BQ14-MIN(INT(ROUND(IF($F14=1,$C14*$J14,IF(FP14&gt;0,FP14*$K14,BQ14*$J14))*IF(25=$R14,$S14,12)/12,6)+$B$4),BQ14-$I14)))))</f>
        <v/>
      </c>
      <c r="BS14" s="68">
        <f>IF($U14=0,0,IF($F14=4,0,IF($F14=3,0,IF(OR(26&gt;$R14,BR14&lt;=$I14),BR14,BR14-MIN(INT(ROUND(IF($F14=1,$C14*$J14,IF(FQ14&gt;0,FQ14*$K14,BR14*$J14))*IF(26=$R14,$S14,12)/12,6)+$B$4),BR14-$I14)))))</f>
        <v/>
      </c>
      <c r="BT14" s="68">
        <f>IF($U14=0,0,IF($F14=4,0,IF($F14=3,0,IF(OR(27&gt;$R14,BS14&lt;=$I14),BS14,BS14-MIN(INT(ROUND(IF($F14=1,$C14*$J14,IF(FR14&gt;0,FR14*$K14,BS14*$J14))*IF(27=$R14,$S14,12)/12,6)+$B$4),BS14-$I14)))))</f>
        <v/>
      </c>
      <c r="BU14" s="68">
        <f>IF($U14=0,0,IF($F14=4,0,IF($F14=3,0,IF(OR(28&gt;$R14,BT14&lt;=$I14),BT14,BT14-MIN(INT(ROUND(IF($F14=1,$C14*$J14,IF(FS14&gt;0,FS14*$K14,BT14*$J14))*IF(28=$R14,$S14,12)/12,6)+$B$4),BT14-$I14)))))</f>
        <v/>
      </c>
      <c r="BV14" s="68">
        <f>IF($U14=0,0,IF($F14=4,0,IF($F14=3,0,IF(OR(29&gt;$R14,BU14&lt;=$I14),BU14,BU14-MIN(INT(ROUND(IF($F14=1,$C14*$J14,IF(FT14&gt;0,FT14*$K14,BU14*$J14))*IF(29=$R14,$S14,12)/12,6)+$B$4),BU14-$I14)))))</f>
        <v/>
      </c>
      <c r="BW14" s="68">
        <f>IF($U14=0,0,IF($F14=4,0,IF($F14=3,0,IF(OR(30&gt;$R14,BV14&lt;=$I14),BV14,BV14-MIN(INT(ROUND(IF($F14=1,$C14*$J14,IF(FU14&gt;0,FU14*$K14,BV14*$J14))*IF(30=$R14,$S14,12)/12,6)+$B$4),BV14-$I14)))))</f>
        <v/>
      </c>
      <c r="BX14" s="68">
        <f>IF($U14=0,0,IF($F14=4,0,IF($F14=3,0,IF(OR(31&gt;$R14,BW14&lt;=$I14),BW14,BW14-MIN(INT(ROUND(IF($F14=1,$C14*$J14,IF(FV14&gt;0,FV14*$K14,BW14*$J14))*IF(31=$R14,$S14,12)/12,6)+$B$4),BW14-$I14)))))</f>
        <v/>
      </c>
      <c r="BY14" s="68">
        <f>IF($U14=0,0,IF($F14=4,0,IF($F14=3,0,IF(OR(32&gt;$R14,BX14&lt;=$I14),BX14,BX14-MIN(INT(ROUND(IF($F14=1,$C14*$J14,IF(FW14&gt;0,FW14*$K14,BX14*$J14))*IF(32=$R14,$S14,12)/12,6)+$B$4),BX14-$I14)))))</f>
        <v/>
      </c>
      <c r="BZ14" s="68">
        <f>IF($U14=0,0,IF($F14=4,0,IF($F14=3,0,IF(OR(33&gt;$R14,BY14&lt;=$I14),BY14,BY14-MIN(INT(ROUND(IF($F14=1,$C14*$J14,IF(FX14&gt;0,FX14*$K14,BY14*$J14))*IF(33=$R14,$S14,12)/12,6)+$B$4),BY14-$I14)))))</f>
        <v/>
      </c>
      <c r="CA14" s="68">
        <f>IF($U14=0,0,IF($F14=4,0,IF($F14=3,0,IF(OR(34&gt;$R14,BZ14&lt;=$I14),BZ14,BZ14-MIN(INT(ROUND(IF($F14=1,$C14*$J14,IF(FY14&gt;0,FY14*$K14,BZ14*$J14))*IF(34=$R14,$S14,12)/12,6)+$B$4),BZ14-$I14)))))</f>
        <v/>
      </c>
      <c r="CB14" s="68">
        <f>IF($U14=0,0,IF($F14=4,0,IF($F14=3,0,IF(OR(35&gt;$R14,CA14&lt;=$I14),CA14,CA14-MIN(INT(ROUND(IF($F14=1,$C14*$J14,IF(FZ14&gt;0,FZ14*$K14,CA14*$J14))*IF(35=$R14,$S14,12)/12,6)+$B$4),CA14-$I14)))))</f>
        <v/>
      </c>
      <c r="CC14" s="68">
        <f>IF($U14=0,0,IF($F14=4,0,IF($F14=3,0,IF(OR(36&gt;$R14,CB14&lt;=$I14),CB14,CB14-MIN(INT(ROUND(IF($F14=1,$C14*$J14,IF(GA14&gt;0,GA14*$K14,CB14*$J14))*IF(36=$R14,$S14,12)/12,6)+$B$4),CB14-$I14)))))</f>
        <v/>
      </c>
      <c r="CD14" s="68">
        <f>IF($U14=0,0,IF($F14=4,0,IF($F14=3,0,IF(OR(37&gt;$R14,CC14&lt;=$I14),CC14,CC14-MIN(INT(ROUND(IF($F14=1,$C14*$J14,IF(GB14&gt;0,GB14*$K14,CC14*$J14))*IF(37=$R14,$S14,12)/12,6)+$B$4),CC14-$I14)))))</f>
        <v/>
      </c>
      <c r="CE14" s="68">
        <f>IF($U14=0,0,IF($F14=4,0,IF($F14=3,0,IF(OR(38&gt;$R14,CD14&lt;=$I14),CD14,CD14-MIN(INT(ROUND(IF($F14=1,$C14*$J14,IF(GC14&gt;0,GC14*$K14,CD14*$J14))*IF(38=$R14,$S14,12)/12,6)+$B$4),CD14-$I14)))))</f>
        <v/>
      </c>
      <c r="CF14" s="68">
        <f>IF($U14=0,0,IF($F14=4,0,IF($F14=3,0,IF(OR(39&gt;$R14,CE14&lt;=$I14),CE14,CE14-MIN(INT(ROUND(IF($F14=1,$C14*$J14,IF(GD14&gt;0,GD14*$K14,CE14*$J14))*IF(39=$R14,$S14,12)/12,6)+$B$4),CE14-$I14)))))</f>
        <v/>
      </c>
      <c r="CG14" s="68">
        <f>IF($U14=0,0,IF($F14=4,0,IF($F14=3,0,IF(OR(40&gt;$R14,CF14&lt;=$I14),CF14,CF14-MIN(INT(ROUND(IF($F14=1,$C14*$J14,IF(GE14&gt;0,GE14*$K14,CF14*$J14))*IF(40=$R14,$S14,12)/12,6)+$B$4),CF14-$I14)))))</f>
        <v/>
      </c>
      <c r="CH14" s="68">
        <f>IF($U14=0,0,IF($F14=4,0,IF($F14=3,0,IF(OR(41&gt;$R14,CG14&lt;=$I14),CG14,CG14-MIN(INT(ROUND(IF($F14=1,$C14*$J14,IF(GF14&gt;0,GF14*$K14,CG14*$J14))*IF(41=$R14,$S14,12)/12,6)+$B$4),CG14-$I14)))))</f>
        <v/>
      </c>
      <c r="CI14" s="68">
        <f>IF($U14=0,0,IF($F14=4,0,IF($F14=3,0,IF(OR(42&gt;$R14,CH14&lt;=$I14),CH14,CH14-MIN(INT(ROUND(IF($F14=1,$C14*$J14,IF(GG14&gt;0,GG14*$K14,CH14*$J14))*IF(42=$R14,$S14,12)/12,6)+$B$4),CH14-$I14)))))</f>
        <v/>
      </c>
      <c r="CJ14" s="68">
        <f>IF($U14=0,0,IF($F14=4,0,IF($F14=3,0,IF(OR(43&gt;$R14,CI14&lt;=$I14),CI14,CI14-MIN(INT(ROUND(IF($F14=1,$C14*$J14,IF(GH14&gt;0,GH14*$K14,CI14*$J14))*IF(43=$R14,$S14,12)/12,6)+$B$4),CI14-$I14)))))</f>
        <v/>
      </c>
      <c r="CK14" s="68">
        <f>IF($U14=0,0,IF($F14=4,0,IF($F14=3,0,IF(OR(44&gt;$R14,CJ14&lt;=$I14),CJ14,CJ14-MIN(INT(ROUND(IF($F14=1,$C14*$J14,IF(GI14&gt;0,GI14*$K14,CJ14*$J14))*IF(44=$R14,$S14,12)/12,6)+$B$4),CJ14-$I14)))))</f>
        <v/>
      </c>
      <c r="CL14" s="68">
        <f>IF($U14=0,0,IF($F14=4,0,IF($F14=3,0,IF(OR(45&gt;$R14,CK14&lt;=$I14),CK14,CK14-MIN(INT(ROUND(IF($F14=1,$C14*$J14,IF(GJ14&gt;0,GJ14*$K14,CK14*$J14))*IF(45=$R14,$S14,12)/12,6)+$B$4),CK14-$I14)))))</f>
        <v/>
      </c>
      <c r="CM14" s="68">
        <f>IF($U14=0,0,IF($F14=4,0,IF($F14=3,0,IF(OR(46&gt;$R14,CL14&lt;=$I14),CL14,CL14-MIN(INT(ROUND(IF($F14=1,$C14*$J14,IF(GK14&gt;0,GK14*$K14,CL14*$J14))*IF(46=$R14,$S14,12)/12,6)+$B$4),CL14-$I14)))))</f>
        <v/>
      </c>
      <c r="CN14" s="68">
        <f>IF($U14=0,0,IF($F14=4,0,IF($F14=3,0,IF(OR(47&gt;$R14,CM14&lt;=$I14),CM14,CM14-MIN(INT(ROUND(IF($F14=1,$C14*$J14,IF(GL14&gt;0,GL14*$K14,CM14*$J14))*IF(47=$R14,$S14,12)/12,6)+$B$4),CM14-$I14)))))</f>
        <v/>
      </c>
      <c r="CO14" s="68">
        <f>IF($U14=0,0,IF($F14=4,0,IF($F14=3,0,IF(OR(48&gt;$R14,CN14&lt;=$I14),CN14,CN14-MIN(INT(ROUND(IF($F14=1,$C14*$J14,IF(GM14&gt;0,GM14*$K14,CN14*$J14))*IF(48=$R14,$S14,12)/12,6)+$B$4),CN14-$I14)))))</f>
        <v/>
      </c>
      <c r="CP14" s="68">
        <f>IF($U14=0,0,IF($F14=4,0,IF($F14=3,0,IF(OR(49&gt;$R14,CO14&lt;=$I14),CO14,CO14-MIN(INT(ROUND(IF($F14=1,$C14*$J14,IF(GN14&gt;0,GN14*$K14,CO14*$J14))*IF(49=$R14,$S14,12)/12,6)+$B$4),CO14-$I14)))))</f>
        <v/>
      </c>
      <c r="CQ14" s="68">
        <f>IF($U14=0,0,IF($F14=4,0,IF($F14=3,0,IF(OR(50&gt;$R14,CP14&lt;=$I14),CP14,CP14-MIN(INT(ROUND(IF($F14=1,$C14*$J14,IF(GO14&gt;0,GO14*$K14,CP14*$J14))*IF(50=$R14,$S14,12)/12,6)+$B$4),CP14-$I14)))))</f>
        <v/>
      </c>
      <c r="CR14" s="68">
        <f>IF($U14=0,0,IF($F14=4,0,IF($F14=3,0,IF(OR(51&gt;$R14,CQ14&lt;=$I14),CQ14,CQ14-MIN(INT(ROUND(IF($F14=1,$C14*$J14,IF(GP14&gt;0,GP14*$K14,CQ14*$J14))*IF(51=$R14,$S14,12)/12,6)+$B$4),CQ14-$I14)))))</f>
        <v/>
      </c>
      <c r="CS14" s="68">
        <f>IF($U14=0,0,IF($F14=4,0,IF($F14=3,0,IF(OR(52&gt;$R14,CR14&lt;=$I14),CR14,CR14-MIN(INT(ROUND(IF($F14=1,$C14*$J14,IF(GQ14&gt;0,GQ14*$K14,CR14*$J14))*IF(52=$R14,$S14,12)/12,6)+$B$4),CR14-$I14)))))</f>
        <v/>
      </c>
      <c r="CT14" s="68">
        <f>IF($U14=0,0,IF($F14=4,0,IF($F14=3,0,IF(OR(53&gt;$R14,CS14&lt;=$I14),CS14,CS14-MIN(INT(ROUND(IF($F14=1,$C14*$J14,IF(GR14&gt;0,GR14*$K14,CS14*$J14))*IF(53=$R14,$S14,12)/12,6)+$B$4),CS14-$I14)))))</f>
        <v/>
      </c>
      <c r="CU14" s="68">
        <f>IF($U14=0,0,IF($F14=4,0,IF($F14=3,0,IF(OR(54&gt;$R14,CT14&lt;=$I14),CT14,CT14-MIN(INT(ROUND(IF($F14=1,$C14*$J14,IF(GS14&gt;0,GS14*$K14,CT14*$J14))*IF(54=$R14,$S14,12)/12,6)+$B$4),CT14-$I14)))))</f>
        <v/>
      </c>
      <c r="CV14" s="68">
        <f>IF($U14=0,0,IF($F14=4,0,IF($F14=3,0,IF(OR(55&gt;$R14,CU14&lt;=$I14),CU14,CU14-MIN(INT(ROUND(IF($F14=1,$C14*$J14,IF(GT14&gt;0,GT14*$K14,CU14*$J14))*IF(55=$R14,$S14,12)/12,6)+$B$4),CU14-$I14)))))</f>
        <v/>
      </c>
      <c r="CW14" s="68">
        <f>IF($U14=0,0,IF($F14=4,0,IF($F14=3,0,IF(OR(56&gt;$R14,CV14&lt;=$I14),CV14,CV14-MIN(INT(ROUND(IF($F14=1,$C14*$J14,IF(GU14&gt;0,GU14*$K14,CV14*$J14))*IF(56=$R14,$S14,12)/12,6)+$B$4),CV14-$I14)))))</f>
        <v/>
      </c>
      <c r="CX14" s="68">
        <f>IF($U14=0,0,IF($F14=4,0,IF($F14=3,0,IF(OR(57&gt;$R14,CW14&lt;=$I14),CW14,CW14-MIN(INT(ROUND(IF($F14=1,$C14*$J14,IF(GV14&gt;0,GV14*$K14,CW14*$J14))*IF(57=$R14,$S14,12)/12,6)+$B$4),CW14-$I14)))))</f>
        <v/>
      </c>
      <c r="CY14" s="68">
        <f>IF($U14=0,0,IF($F14=4,0,IF($F14=3,0,IF(OR(58&gt;$R14,CX14&lt;=$I14),CX14,CX14-MIN(INT(ROUND(IF($F14=1,$C14*$J14,IF(GW14&gt;0,GW14*$K14,CX14*$J14))*IF(58=$R14,$S14,12)/12,6)+$B$4),CX14-$I14)))))</f>
        <v/>
      </c>
      <c r="CZ14" s="68">
        <f>IF($U14=0,0,IF($F14=4,0,IF($F14=3,0,IF(OR(59&gt;$R14,CY14&lt;=$I14),CY14,CY14-MIN(INT(ROUND(IF($F14=1,$C14*$J14,IF(GX14&gt;0,GX14*$K14,CY14*$J14))*IF(59=$R14,$S14,12)/12,6)+$B$4),CY14-$I14)))))</f>
        <v/>
      </c>
      <c r="DA14" s="68">
        <f>IF($U14=0,0,IF($F14=4,0,IF($F14=3,0,IF(OR(60&gt;$R14,CZ14&lt;=$I14),CZ14,CZ14-MIN(INT(ROUND(IF($F14=1,$C14*$J14,IF(GY14&gt;0,GY14*$K14,CZ14*$J14))*IF(60=$R14,$S14,12)/12,6)+$B$4),CZ14-$I14)))))</f>
        <v/>
      </c>
      <c r="DB14" s="68">
        <f>IF($U14=0,0,IF($F14=4,0,IF($F14=3,0,IF(OR(61&gt;$R14,DA14&lt;=$I14),DA14,DA14-MIN(INT(ROUND(IF($F14=1,$C14*$J14,IF(GZ14&gt;0,GZ14*$K14,DA14*$J14))*IF(61=$R14,$S14,12)/12,6)+$B$4),DA14-$I14)))))</f>
        <v/>
      </c>
      <c r="DC14" s="68">
        <f>IF($U14=0,0,IF($F14=4,0,IF($F14=3,0,IF(OR(62&gt;$R14,DB14&lt;=$I14),DB14,DB14-MIN(INT(ROUND(IF($F14=1,$C14*$J14,IF(HA14&gt;0,HA14*$K14,DB14*$J14))*IF(62=$R14,$S14,12)/12,6)+$B$4),DB14-$I14)))))</f>
        <v/>
      </c>
      <c r="DD14" s="68">
        <f>IF($U14=0,0,IF($F14=4,0,IF($F14=3,0,IF(OR(63&gt;$R14,DC14&lt;=$I14),DC14,DC14-MIN(INT(ROUND(IF($F14=1,$C14*$J14,IF(HB14&gt;0,HB14*$K14,DC14*$J14))*IF(63=$R14,$S14,12)/12,6)+$B$4),DC14-$I14)))))</f>
        <v/>
      </c>
      <c r="DE14" s="68">
        <f>IF($U14=0,0,IF($F14=4,0,IF($F14=3,0,IF(OR(64&gt;$R14,DD14&lt;=$I14),DD14,DD14-MIN(INT(ROUND(IF($F14=1,$C14*$J14,IF(HC14&gt;0,HC14*$K14,DD14*$J14))*IF(64=$R14,$S14,12)/12,6)+$B$4),DD14-$I14)))))</f>
        <v/>
      </c>
      <c r="DF14" s="68">
        <f>IF($U14=0,0,IF($F14=4,0,IF($F14=3,0,IF(OR(65&gt;$R14,DE14&lt;=$I14),DE14,DE14-MIN(INT(ROUND(IF($F14=1,$C14*$J14,IF(HD14&gt;0,HD14*$K14,DE14*$J14))*IF(65=$R14,$S14,12)/12,6)+$B$4),DE14-$I14)))))</f>
        <v/>
      </c>
      <c r="DG14" s="68">
        <f>IF($U14=0,0,IF($F14=4,0,IF($F14=3,0,IF(OR(66&gt;$R14,DF14&lt;=$I14),DF14,DF14-MIN(INT(ROUND(IF($F14=1,$C14*$J14,IF(HE14&gt;0,HE14*$K14,DF14*$J14))*IF(66=$R14,$S14,12)/12,6)+$B$4),DF14-$I14)))))</f>
        <v/>
      </c>
      <c r="DH14" s="68">
        <f>IF($U14=0,0,IF($F14=4,0,IF($F14=3,0,IF(OR(67&gt;$R14,DG14&lt;=$I14),DG14,DG14-MIN(INT(ROUND(IF($F14=1,$C14*$J14,IF(HF14&gt;0,HF14*$K14,DG14*$J14))*IF(67=$R14,$S14,12)/12,6)+$B$4),DG14-$I14)))))</f>
        <v/>
      </c>
      <c r="DI14" s="68">
        <f>IF($U14=0,0,IF($F14=4,0,IF($F14=3,0,IF(OR(68&gt;$R14,DH14&lt;=$I14),DH14,DH14-MIN(INT(ROUND(IF($F14=1,$C14*$J14,IF(HG14&gt;0,HG14*$K14,DH14*$J14))*IF(68=$R14,$S14,12)/12,6)+$B$4),DH14-$I14)))))</f>
        <v/>
      </c>
      <c r="DJ14" s="68">
        <f>IF($U14=0,0,IF($F14=4,0,IF($F14=3,0,IF(OR(69&gt;$R14,DI14&lt;=$I14),DI14,DI14-MIN(INT(ROUND(IF($F14=1,$C14*$J14,IF(HH14&gt;0,HH14*$K14,DI14*$J14))*IF(69=$R14,$S14,12)/12,6)+$B$4),DI14-$I14)))))</f>
        <v/>
      </c>
      <c r="DK14" s="68">
        <f>IF($U14=0,0,IF($F14=4,0,IF($F14=3,0,IF(OR(70&gt;$R14,DJ14&lt;=$I14),DJ14,DJ14-MIN(INT(ROUND(IF($F14=1,$C14*$J14,IF(HI14&gt;0,HI14*$K14,DJ14*$J14))*IF(70=$R14,$S14,12)/12,6)+$B$4),DJ14-$I14)))))</f>
        <v/>
      </c>
      <c r="DL14" s="68">
        <f>IF($U14=0,0,IF($F14=4,0,IF($F14=3,0,IF(OR(71&gt;$R14,DK14&lt;=$I14),DK14,DK14-MIN(INT(ROUND(IF($F14=1,$C14*$J14,IF(HJ14&gt;0,HJ14*$K14,DK14*$J14))*IF(71=$R14,$S14,12)/12,6)+$B$4),DK14-$I14)))))</f>
        <v/>
      </c>
      <c r="DM14" s="68">
        <f>IF($U14=0,0,IF($F14=4,0,IF($F14=3,0,IF(OR(72&gt;$R14,DL14&lt;=$I14),DL14,DL14-MIN(INT(ROUND(IF($F14=1,$C14*$J14,IF(HK14&gt;0,HK14*$K14,DL14*$J14))*IF(72=$R14,$S14,12)/12,6)+$B$4),DL14-$I14)))))</f>
        <v/>
      </c>
      <c r="DN14" s="68">
        <f>IF($U14=0,0,IF($F14=4,0,IF($F14=3,0,IF(OR(73&gt;$R14,DM14&lt;=$I14),DM14,DM14-MIN(INT(ROUND(IF($F14=1,$C14*$J14,IF(HL14&gt;0,HL14*$K14,DM14*$J14))*IF(73=$R14,$S14,12)/12,6)+$B$4),DM14-$I14)))))</f>
        <v/>
      </c>
      <c r="DO14" s="68">
        <f>IF($U14=0,0,IF($F14=4,0,IF($F14=3,0,IF(OR(74&gt;$R14,DN14&lt;=$I14),DN14,DN14-MIN(INT(ROUND(IF($F14=1,$C14*$J14,IF(HM14&gt;0,HM14*$K14,DN14*$J14))*IF(74=$R14,$S14,12)/12,6)+$B$4),DN14-$I14)))))</f>
        <v/>
      </c>
      <c r="DP14" s="68">
        <f>IF($U14=0,0,IF($F14=4,0,IF($F14=3,0,IF(OR(75&gt;$R14,DO14&lt;=$I14),DO14,DO14-MIN(INT(ROUND(IF($F14=1,$C14*$J14,IF(HN14&gt;0,HN14*$K14,DO14*$J14))*IF(75=$R14,$S14,12)/12,6)+$B$4),DO14-$I14)))))</f>
        <v/>
      </c>
      <c r="DQ14" s="68">
        <f>IF($U14=0,0,IF($F14=4,0,IF($F14=3,0,IF(OR(76&gt;$R14,DP14&lt;=$I14),DP14,DP14-MIN(INT(ROUND(IF($F14=1,$C14*$J14,IF(HO14&gt;0,HO14*$K14,DP14*$J14))*IF(76=$R14,$S14,12)/12,6)+$B$4),DP14-$I14)))))</f>
        <v/>
      </c>
      <c r="DR14" s="68">
        <f>IF($U14=0,0,IF($F14=4,0,IF($F14=3,0,IF(OR(77&gt;$R14,DQ14&lt;=$I14),DQ14,DQ14-MIN(INT(ROUND(IF($F14=1,$C14*$J14,IF(HP14&gt;0,HP14*$K14,DQ14*$J14))*IF(77=$R14,$S14,12)/12,6)+$B$4),DQ14-$I14)))))</f>
        <v/>
      </c>
      <c r="DS14" s="68">
        <f>IF($U14=0,0,IF($F14=4,0,IF($F14=3,0,IF(OR(78&gt;$R14,DR14&lt;=$I14),DR14,DR14-MIN(INT(ROUND(IF($F14=1,$C14*$J14,IF(HQ14&gt;0,HQ14*$K14,DR14*$J14))*IF(78=$R14,$S14,12)/12,6)+$B$4),DR14-$I14)))))</f>
        <v/>
      </c>
      <c r="DT14" s="68">
        <f>IF($U14=0,0,IF($F14=4,0,IF($F14=3,0,IF(OR(79&gt;$R14,DS14&lt;=$I14),DS14,DS14-MIN(INT(ROUND(IF($F14=1,$C14*$J14,IF(HR14&gt;0,HR14*$K14,DS14*$J14))*IF(79=$R14,$S14,12)/12,6)+$B$4),DS14-$I14)))))</f>
        <v/>
      </c>
      <c r="DU14" s="68">
        <f>IF($U14=0,0,IF($F14=4,0,IF($F14=3,0,IF(OR(80&gt;$R14,DT14&lt;=$I14),DT14,DT14-MIN(INT(ROUND(IF($F14=1,$C14*$J14,IF(HS14&gt;0,HS14*$K14,DT14*$J14))*IF(80=$R14,$S14,12)/12,6)+$B$4),DT14-$I14)))))</f>
        <v/>
      </c>
      <c r="DV14" s="68">
        <f>IF($U14=0,0,IF($F14=4,0,IF($F14=3,0,IF(OR(81&gt;$R14,DU14&lt;=$I14),DU14,DU14-MIN(INT(ROUND(IF($F14=1,$C14*$J14,IF(HT14&gt;0,HT14*$K14,DU14*$J14))*IF(81=$R14,$S14,12)/12,6)+$B$4),DU14-$I14)))))</f>
        <v/>
      </c>
      <c r="DW14" s="68">
        <f>IF($U14=0,0,IF($F14=4,0,IF($F14=3,0,IF(OR(82&gt;$R14,DV14&lt;=$I14),DV14,DV14-MIN(INT(ROUND(IF($F14=1,$C14*$J14,IF(HU14&gt;0,HU14*$K14,DV14*$J14))*IF(82=$R14,$S14,12)/12,6)+$B$4),DV14-$I14)))))</f>
        <v/>
      </c>
      <c r="DX14" s="68">
        <f>IF($U14=0,0,IF($F14=4,0,IF($F14=3,0,IF(OR(83&gt;$R14,DW14&lt;=$I14),DW14,DW14-MIN(INT(ROUND(IF($F14=1,$C14*$J14,IF(HV14&gt;0,HV14*$K14,DW14*$J14))*IF(83=$R14,$S14,12)/12,6)+$B$4),DW14-$I14)))))</f>
        <v/>
      </c>
      <c r="DY14" s="68">
        <f>IF($U14=0,0,IF($F14=4,0,IF($F14=3,0,IF(OR(84&gt;$R14,DX14&lt;=$I14),DX14,DX14-MIN(INT(ROUND(IF($F14=1,$C14*$J14,IF(HW14&gt;0,HW14*$K14,DX14*$J14))*IF(84=$R14,$S14,12)/12,6)+$B$4),DX14-$I14)))))</f>
        <v/>
      </c>
      <c r="DZ14" s="68">
        <f>IF($U14=0,0,IF($F14=4,0,IF($F14=3,0,IF(OR(85&gt;$R14,DY14&lt;=$I14),DY14,DY14-MIN(INT(ROUND(IF($F14=1,$C14*$J14,IF(HX14&gt;0,HX14*$K14,DY14*$J14))*IF(85=$R14,$S14,12)/12,6)+$B$4),DY14-$I14)))))</f>
        <v/>
      </c>
      <c r="EA14" s="68">
        <f>IF($U14=0,0,IF($F14=4,0,IF($F14=3,0,IF(OR(86&gt;$R14,DZ14&lt;=$I14),DZ14,DZ14-MIN(INT(ROUND(IF($F14=1,$C14*$J14,IF(HY14&gt;0,HY14*$K14,DZ14*$J14))*IF(86=$R14,$S14,12)/12,6)+$B$4),DZ14-$I14)))))</f>
        <v/>
      </c>
      <c r="EB14" s="68">
        <f>IF($U14=0,0,IF($F14=4,0,IF($F14=3,0,IF(OR(87&gt;$R14,EA14&lt;=$I14),EA14,EA14-MIN(INT(ROUND(IF($F14=1,$C14*$J14,IF(HZ14&gt;0,HZ14*$K14,EA14*$J14))*IF(87=$R14,$S14,12)/12,6)+$B$4),EA14-$I14)))))</f>
        <v/>
      </c>
      <c r="EC14" s="68">
        <f>IF($U14=0,0,IF($F14=4,0,IF($F14=3,0,IF(OR(88&gt;$R14,EB14&lt;=$I14),EB14,EB14-MIN(INT(ROUND(IF($F14=1,$C14*$J14,IF(IA14&gt;0,IA14*$K14,EB14*$J14))*IF(88=$R14,$S14,12)/12,6)+$B$4),EB14-$I14)))))</f>
        <v/>
      </c>
      <c r="ED14" s="68">
        <f>IF($U14=0,0,IF($F14=4,0,IF($F14=3,0,IF(OR(89&gt;$R14,EC14&lt;=$I14),EC14,EC14-MIN(INT(ROUND(IF($F14=1,$C14*$J14,IF(IB14&gt;0,IB14*$K14,EC14*$J14))*IF(89=$R14,$S14,12)/12,6)+$B$4),EC14-$I14)))))</f>
        <v/>
      </c>
      <c r="EE14" s="68">
        <f>IF($U14=0,0,IF($F14=4,0,IF($F14=3,0,IF(OR(90&gt;$R14,ED14&lt;=$I14),ED14,ED14-MIN(INT(ROUND(IF($F14=1,$C14*$J14,IF(IC14&gt;0,IC14*$K14,ED14*$J14))*IF(90=$R14,$S14,12)/12,6)+$B$4),ED14-$I14)))))</f>
        <v/>
      </c>
      <c r="EF14" s="68">
        <f>IF($U14=0,0,IF($F14=4,0,IF($F14=3,0,IF(OR(91&gt;$R14,EE14&lt;=$I14),EE14,EE14-MIN(INT(ROUND(IF($F14=1,$C14*$J14,IF(ID14&gt;0,ID14*$K14,EE14*$J14))*IF(91=$R14,$S14,12)/12,6)+$B$4),EE14-$I14)))))</f>
        <v/>
      </c>
      <c r="EG14" s="68">
        <f>IF($U14=0,0,IF($F14=4,0,IF($F14=3,0,IF(OR(92&gt;$R14,EF14&lt;=$I14),EF14,EF14-MIN(INT(ROUND(IF($F14=1,$C14*$J14,IF(IE14&gt;0,IE14*$K14,EF14*$J14))*IF(92=$R14,$S14,12)/12,6)+$B$4),EF14-$I14)))))</f>
        <v/>
      </c>
      <c r="EH14" s="68">
        <f>IF($U14=0,0,IF($F14=4,0,IF($F14=3,0,IF(OR(93&gt;$R14,EG14&lt;=$I14),EG14,EG14-MIN(INT(ROUND(IF($F14=1,$C14*$J14,IF(IF14&gt;0,IF14*$K14,EG14*$J14))*IF(93=$R14,$S14,12)/12,6)+$B$4),EG14-$I14)))))</f>
        <v/>
      </c>
      <c r="EI14" s="68">
        <f>IF($U14=0,0,IF($F14=4,0,IF($F14=3,0,IF(OR(94&gt;$R14,EH14&lt;=$I14),EH14,EH14-MIN(INT(ROUND(IF($F14=1,$C14*$J14,IF(IG14&gt;0,IG14*$K14,EH14*$J14))*IF(94=$R14,$S14,12)/12,6)+$B$4),EH14-$I14)))))</f>
        <v/>
      </c>
      <c r="EJ14" s="68">
        <f>IF($U14=0,0,IF($F14=4,0,IF($F14=3,0,IF(OR(95&gt;$R14,EI14&lt;=$I14),EI14,EI14-MIN(INT(ROUND(IF($F14=1,$C14*$J14,IF(IH14&gt;0,IH14*$K14,EI14*$J14))*IF(95=$R14,$S14,12)/12,6)+$B$4),EI14-$I14)))))</f>
        <v/>
      </c>
      <c r="EK14" s="68">
        <f>IF($U14=0,0,IF($F14=4,0,IF($F14=3,0,IF(OR(96&gt;$R14,EJ14&lt;=$I14),EJ14,EJ14-MIN(INT(ROUND(IF($F14=1,$C14*$J14,IF(II14&gt;0,II14*$K14,EJ14*$J14))*IF(96=$R14,$S14,12)/12,6)+$B$4),EJ14-$I14)))))</f>
        <v/>
      </c>
      <c r="EL14" s="68">
        <f>IF($U14=0,0,IF($F14=4,0,IF($F14=3,0,IF(OR(97&gt;$R14,EK14&lt;=$I14),EK14,EK14-MIN(INT(ROUND(IF($F14=1,$C14*$J14,IF(IJ14&gt;0,IJ14*$K14,EK14*$J14))*IF(97=$R14,$S14,12)/12,6)+$B$4),EK14-$I14)))))</f>
        <v/>
      </c>
      <c r="EM14" s="68">
        <f>IF($U14=0,0,IF($F14=4,0,IF($F14=3,0,IF(OR(98&gt;$R14,EL14&lt;=$I14),EL14,EL14-MIN(INT(ROUND(IF($F14=1,$C14*$J14,IF(IK14&gt;0,IK14*$K14,EL14*$J14))*IF(98=$R14,$S14,12)/12,6)+$B$4),EL14-$I14)))))</f>
        <v/>
      </c>
      <c r="EN14" s="68">
        <f>IF($U14=0,0,IF($F14=4,0,IF($F14=3,0,IF(OR(99&gt;$R14,EM14&lt;=$I14),EM14,EM14-MIN(INT(ROUND(IF($F14=1,$C14*$J14,IF(IL14&gt;0,IL14*$K14,EM14*$J14))*IF(99=$R14,$S14,12)/12,6)+$B$4),EM14-$I14)))))</f>
        <v/>
      </c>
      <c r="EO14" s="68">
        <f>IF($U14=0,0,IF($F14=4,0,IF($F14=3,0,IF(OR(100&gt;$R14,EN14&lt;=$I14),EN14,EN14-MIN(INT(ROUND(IF($F14=1,$C14*$J14,IF(IM14&gt;0,IM14*$K14,EN14*$J14))*IF(100=$R14,$S14,12)/12,6)+$B$4),EN14-$I14)))))</f>
        <v/>
      </c>
      <c r="EP14" s="68">
        <f>IF($U14=0,0,IF($F14=4,0,IF($F14=3,0,IF(OR(101&gt;$R14,EO14&lt;=$I14),EO14,EO14-MIN(INT(ROUND(IF($F14=1,$C14*$J14,IF(IN14&gt;0,IN14*$K14,EO14*$J14))*IF(101=$R14,$S14,12)/12,6)+$B$4),EO14-$I14)))))</f>
        <v/>
      </c>
      <c r="EQ14" s="68" t="n"/>
      <c r="ER14" s="68">
        <f>IF(OR($U14=0,$F14&lt;&gt;2),0,IF(ROUND(AS14*$J14,6)&lt;ROUND($M14,6),AS14,0))</f>
        <v/>
      </c>
      <c r="ES14" s="68">
        <f>IF(OR($U14=0,$F14&lt;&gt;2),0,IF(ER14&gt;0,ER14,IF(ROUND(AT14*$J14,6)&lt;ROUND($M14,6),AT14,0)))</f>
        <v/>
      </c>
      <c r="ET14" s="68">
        <f>IF(OR($U14=0,$F14&lt;&gt;2),0,IF(ES14&gt;0,ES14,IF(ROUND(AU14*$J14,6)&lt;ROUND($M14,6),AU14,0)))</f>
        <v/>
      </c>
      <c r="EU14" s="68">
        <f>IF(OR($U14=0,$F14&lt;&gt;2),0,IF(ET14&gt;0,ET14,IF(ROUND(AV14*$J14,6)&lt;ROUND($M14,6),AV14,0)))</f>
        <v/>
      </c>
      <c r="EV14" s="68">
        <f>IF(OR($U14=0,$F14&lt;&gt;2),0,IF(EU14&gt;0,EU14,IF(ROUND(AW14*$J14,6)&lt;ROUND($M14,6),AW14,0)))</f>
        <v/>
      </c>
      <c r="EW14" s="68">
        <f>IF(OR($U14=0,$F14&lt;&gt;2),0,IF(EV14&gt;0,EV14,IF(ROUND(AX14*$J14,6)&lt;ROUND($M14,6),AX14,0)))</f>
        <v/>
      </c>
      <c r="EX14" s="68">
        <f>IF(OR($U14=0,$F14&lt;&gt;2),0,IF(EW14&gt;0,EW14,IF(ROUND(AY14*$J14,6)&lt;ROUND($M14,6),AY14,0)))</f>
        <v/>
      </c>
      <c r="EY14" s="68">
        <f>IF(OR($U14=0,$F14&lt;&gt;2),0,IF(EX14&gt;0,EX14,IF(ROUND(AZ14*$J14,6)&lt;ROUND($M14,6),AZ14,0)))</f>
        <v/>
      </c>
      <c r="EZ14" s="68">
        <f>IF(OR($U14=0,$F14&lt;&gt;2),0,IF(EY14&gt;0,EY14,IF(ROUND(BA14*$J14,6)&lt;ROUND($M14,6),BA14,0)))</f>
        <v/>
      </c>
      <c r="FA14" s="68">
        <f>IF(OR($U14=0,$F14&lt;&gt;2),0,IF(EZ14&gt;0,EZ14,IF(ROUND(BB14*$J14,6)&lt;ROUND($M14,6),BB14,0)))</f>
        <v/>
      </c>
      <c r="FB14" s="68">
        <f>IF(OR($U14=0,$F14&lt;&gt;2),0,IF(FA14&gt;0,FA14,IF(ROUND(BC14*$J14,6)&lt;ROUND($M14,6),BC14,0)))</f>
        <v/>
      </c>
      <c r="FC14" s="68">
        <f>IF(OR($U14=0,$F14&lt;&gt;2),0,IF(FB14&gt;0,FB14,IF(ROUND(BD14*$J14,6)&lt;ROUND($M14,6),BD14,0)))</f>
        <v/>
      </c>
      <c r="FD14" s="68">
        <f>IF(OR($U14=0,$F14&lt;&gt;2),0,IF(FC14&gt;0,FC14,IF(ROUND(BE14*$J14,6)&lt;ROUND($M14,6),BE14,0)))</f>
        <v/>
      </c>
      <c r="FE14" s="68">
        <f>IF(OR($U14=0,$F14&lt;&gt;2),0,IF(FD14&gt;0,FD14,IF(ROUND(BF14*$J14,6)&lt;ROUND($M14,6),BF14,0)))</f>
        <v/>
      </c>
      <c r="FF14" s="68">
        <f>IF(OR($U14=0,$F14&lt;&gt;2),0,IF(FE14&gt;0,FE14,IF(ROUND(BG14*$J14,6)&lt;ROUND($M14,6),BG14,0)))</f>
        <v/>
      </c>
      <c r="FG14" s="68">
        <f>IF(OR($U14=0,$F14&lt;&gt;2),0,IF(FF14&gt;0,FF14,IF(ROUND(BH14*$J14,6)&lt;ROUND($M14,6),BH14,0)))</f>
        <v/>
      </c>
      <c r="FH14" s="68">
        <f>IF(OR($U14=0,$F14&lt;&gt;2),0,IF(FG14&gt;0,FG14,IF(ROUND(BI14*$J14,6)&lt;ROUND($M14,6),BI14,0)))</f>
        <v/>
      </c>
      <c r="FI14" s="68">
        <f>IF(OR($U14=0,$F14&lt;&gt;2),0,IF(FH14&gt;0,FH14,IF(ROUND(BJ14*$J14,6)&lt;ROUND($M14,6),BJ14,0)))</f>
        <v/>
      </c>
      <c r="FJ14" s="68">
        <f>IF(OR($U14=0,$F14&lt;&gt;2),0,IF(FI14&gt;0,FI14,IF(ROUND(BK14*$J14,6)&lt;ROUND($M14,6),BK14,0)))</f>
        <v/>
      </c>
      <c r="FK14" s="68">
        <f>IF(OR($U14=0,$F14&lt;&gt;2),0,IF(FJ14&gt;0,FJ14,IF(ROUND(BL14*$J14,6)&lt;ROUND($M14,6),BL14,0)))</f>
        <v/>
      </c>
      <c r="FL14" s="68">
        <f>IF(OR($U14=0,$F14&lt;&gt;2),0,IF(FK14&gt;0,FK14,IF(ROUND(BM14*$J14,6)&lt;ROUND($M14,6),BM14,0)))</f>
        <v/>
      </c>
      <c r="FM14" s="68">
        <f>IF(OR($U14=0,$F14&lt;&gt;2),0,IF(FL14&gt;0,FL14,IF(ROUND(BN14*$J14,6)&lt;ROUND($M14,6),BN14,0)))</f>
        <v/>
      </c>
      <c r="FN14" s="68">
        <f>IF(OR($U14=0,$F14&lt;&gt;2),0,IF(FM14&gt;0,FM14,IF(ROUND(BO14*$J14,6)&lt;ROUND($M14,6),BO14,0)))</f>
        <v/>
      </c>
      <c r="FO14" s="68">
        <f>IF(OR($U14=0,$F14&lt;&gt;2),0,IF(FN14&gt;0,FN14,IF(ROUND(BP14*$J14,6)&lt;ROUND($M14,6),BP14,0)))</f>
        <v/>
      </c>
      <c r="FP14" s="68">
        <f>IF(OR($U14=0,$F14&lt;&gt;2),0,IF(FO14&gt;0,FO14,IF(ROUND(BQ14*$J14,6)&lt;ROUND($M14,6),BQ14,0)))</f>
        <v/>
      </c>
      <c r="FQ14" s="68">
        <f>IF(OR($U14=0,$F14&lt;&gt;2),0,IF(FP14&gt;0,FP14,IF(ROUND(BR14*$J14,6)&lt;ROUND($M14,6),BR14,0)))</f>
        <v/>
      </c>
      <c r="FR14" s="68">
        <f>IF(OR($U14=0,$F14&lt;&gt;2),0,IF(FQ14&gt;0,FQ14,IF(ROUND(BS14*$J14,6)&lt;ROUND($M14,6),BS14,0)))</f>
        <v/>
      </c>
      <c r="FS14" s="68">
        <f>IF(OR($U14=0,$F14&lt;&gt;2),0,IF(FR14&gt;0,FR14,IF(ROUND(BT14*$J14,6)&lt;ROUND($M14,6),BT14,0)))</f>
        <v/>
      </c>
      <c r="FT14" s="68">
        <f>IF(OR($U14=0,$F14&lt;&gt;2),0,IF(FS14&gt;0,FS14,IF(ROUND(BU14*$J14,6)&lt;ROUND($M14,6),BU14,0)))</f>
        <v/>
      </c>
      <c r="FU14" s="68">
        <f>IF(OR($U14=0,$F14&lt;&gt;2),0,IF(FT14&gt;0,FT14,IF(ROUND(BV14*$J14,6)&lt;ROUND($M14,6),BV14,0)))</f>
        <v/>
      </c>
      <c r="FV14" s="68">
        <f>IF(OR($U14=0,$F14&lt;&gt;2),0,IF(FU14&gt;0,FU14,IF(ROUND(BW14*$J14,6)&lt;ROUND($M14,6),BW14,0)))</f>
        <v/>
      </c>
      <c r="FW14" s="68">
        <f>IF(OR($U14=0,$F14&lt;&gt;2),0,IF(FV14&gt;0,FV14,IF(ROUND(BX14*$J14,6)&lt;ROUND($M14,6),BX14,0)))</f>
        <v/>
      </c>
      <c r="FX14" s="68">
        <f>IF(OR($U14=0,$F14&lt;&gt;2),0,IF(FW14&gt;0,FW14,IF(ROUND(BY14*$J14,6)&lt;ROUND($M14,6),BY14,0)))</f>
        <v/>
      </c>
      <c r="FY14" s="68">
        <f>IF(OR($U14=0,$F14&lt;&gt;2),0,IF(FX14&gt;0,FX14,IF(ROUND(BZ14*$J14,6)&lt;ROUND($M14,6),BZ14,0)))</f>
        <v/>
      </c>
      <c r="FZ14" s="68">
        <f>IF(OR($U14=0,$F14&lt;&gt;2),0,IF(FY14&gt;0,FY14,IF(ROUND(CA14*$J14,6)&lt;ROUND($M14,6),CA14,0)))</f>
        <v/>
      </c>
      <c r="GA14" s="68">
        <f>IF(OR($U14=0,$F14&lt;&gt;2),0,IF(FZ14&gt;0,FZ14,IF(ROUND(CB14*$J14,6)&lt;ROUND($M14,6),CB14,0)))</f>
        <v/>
      </c>
      <c r="GB14" s="68">
        <f>IF(OR($U14=0,$F14&lt;&gt;2),0,IF(GA14&gt;0,GA14,IF(ROUND(CC14*$J14,6)&lt;ROUND($M14,6),CC14,0)))</f>
        <v/>
      </c>
      <c r="GC14" s="68">
        <f>IF(OR($U14=0,$F14&lt;&gt;2),0,IF(GB14&gt;0,GB14,IF(ROUND(CD14*$J14,6)&lt;ROUND($M14,6),CD14,0)))</f>
        <v/>
      </c>
      <c r="GD14" s="68">
        <f>IF(OR($U14=0,$F14&lt;&gt;2),0,IF(GC14&gt;0,GC14,IF(ROUND(CE14*$J14,6)&lt;ROUND($M14,6),CE14,0)))</f>
        <v/>
      </c>
      <c r="GE14" s="68">
        <f>IF(OR($U14=0,$F14&lt;&gt;2),0,IF(GD14&gt;0,GD14,IF(ROUND(CF14*$J14,6)&lt;ROUND($M14,6),CF14,0)))</f>
        <v/>
      </c>
      <c r="GF14" s="68">
        <f>IF(OR($U14=0,$F14&lt;&gt;2),0,IF(GE14&gt;0,GE14,IF(ROUND(CG14*$J14,6)&lt;ROUND($M14,6),CG14,0)))</f>
        <v/>
      </c>
      <c r="GG14" s="68">
        <f>IF(OR($U14=0,$F14&lt;&gt;2),0,IF(GF14&gt;0,GF14,IF(ROUND(CH14*$J14,6)&lt;ROUND($M14,6),CH14,0)))</f>
        <v/>
      </c>
      <c r="GH14" s="68">
        <f>IF(OR($U14=0,$F14&lt;&gt;2),0,IF(GG14&gt;0,GG14,IF(ROUND(CI14*$J14,6)&lt;ROUND($M14,6),CI14,0)))</f>
        <v/>
      </c>
      <c r="GI14" s="68">
        <f>IF(OR($U14=0,$F14&lt;&gt;2),0,IF(GH14&gt;0,GH14,IF(ROUND(CJ14*$J14,6)&lt;ROUND($M14,6),CJ14,0)))</f>
        <v/>
      </c>
      <c r="GJ14" s="68">
        <f>IF(OR($U14=0,$F14&lt;&gt;2),0,IF(GI14&gt;0,GI14,IF(ROUND(CK14*$J14,6)&lt;ROUND($M14,6),CK14,0)))</f>
        <v/>
      </c>
      <c r="GK14" s="68">
        <f>IF(OR($U14=0,$F14&lt;&gt;2),0,IF(GJ14&gt;0,GJ14,IF(ROUND(CL14*$J14,6)&lt;ROUND($M14,6),CL14,0)))</f>
        <v/>
      </c>
      <c r="GL14" s="68">
        <f>IF(OR($U14=0,$F14&lt;&gt;2),0,IF(GK14&gt;0,GK14,IF(ROUND(CM14*$J14,6)&lt;ROUND($M14,6),CM14,0)))</f>
        <v/>
      </c>
      <c r="GM14" s="68">
        <f>IF(OR($U14=0,$F14&lt;&gt;2),0,IF(GL14&gt;0,GL14,IF(ROUND(CN14*$J14,6)&lt;ROUND($M14,6),CN14,0)))</f>
        <v/>
      </c>
      <c r="GN14" s="68">
        <f>IF(OR($U14=0,$F14&lt;&gt;2),0,IF(GM14&gt;0,GM14,IF(ROUND(CO14*$J14,6)&lt;ROUND($M14,6),CO14,0)))</f>
        <v/>
      </c>
      <c r="GO14" s="68">
        <f>IF(OR($U14=0,$F14&lt;&gt;2),0,IF(GN14&gt;0,GN14,IF(ROUND(CP14*$J14,6)&lt;ROUND($M14,6),CP14,0)))</f>
        <v/>
      </c>
      <c r="GP14" s="68">
        <f>IF(OR($U14=0,$F14&lt;&gt;2),0,IF(GO14&gt;0,GO14,IF(ROUND(CQ14*$J14,6)&lt;ROUND($M14,6),CQ14,0)))</f>
        <v/>
      </c>
      <c r="GQ14" s="68">
        <f>IF(OR($U14=0,$F14&lt;&gt;2),0,IF(GP14&gt;0,GP14,IF(ROUND(CR14*$J14,6)&lt;ROUND($M14,6),CR14,0)))</f>
        <v/>
      </c>
      <c r="GR14" s="68">
        <f>IF(OR($U14=0,$F14&lt;&gt;2),0,IF(GQ14&gt;0,GQ14,IF(ROUND(CS14*$J14,6)&lt;ROUND($M14,6),CS14,0)))</f>
        <v/>
      </c>
      <c r="GS14" s="68">
        <f>IF(OR($U14=0,$F14&lt;&gt;2),0,IF(GR14&gt;0,GR14,IF(ROUND(CT14*$J14,6)&lt;ROUND($M14,6),CT14,0)))</f>
        <v/>
      </c>
      <c r="GT14" s="68">
        <f>IF(OR($U14=0,$F14&lt;&gt;2),0,IF(GS14&gt;0,GS14,IF(ROUND(CU14*$J14,6)&lt;ROUND($M14,6),CU14,0)))</f>
        <v/>
      </c>
      <c r="GU14" s="68">
        <f>IF(OR($U14=0,$F14&lt;&gt;2),0,IF(GT14&gt;0,GT14,IF(ROUND(CV14*$J14,6)&lt;ROUND($M14,6),CV14,0)))</f>
        <v/>
      </c>
      <c r="GV14" s="68">
        <f>IF(OR($U14=0,$F14&lt;&gt;2),0,IF(GU14&gt;0,GU14,IF(ROUND(CW14*$J14,6)&lt;ROUND($M14,6),CW14,0)))</f>
        <v/>
      </c>
      <c r="GW14" s="68">
        <f>IF(OR($U14=0,$F14&lt;&gt;2),0,IF(GV14&gt;0,GV14,IF(ROUND(CX14*$J14,6)&lt;ROUND($M14,6),CX14,0)))</f>
        <v/>
      </c>
      <c r="GX14" s="68">
        <f>IF(OR($U14=0,$F14&lt;&gt;2),0,IF(GW14&gt;0,GW14,IF(ROUND(CY14*$J14,6)&lt;ROUND($M14,6),CY14,0)))</f>
        <v/>
      </c>
      <c r="GY14" s="68">
        <f>IF(OR($U14=0,$F14&lt;&gt;2),0,IF(GX14&gt;0,GX14,IF(ROUND(CZ14*$J14,6)&lt;ROUND($M14,6),CZ14,0)))</f>
        <v/>
      </c>
      <c r="GZ14" s="68">
        <f>IF(OR($U14=0,$F14&lt;&gt;2),0,IF(GY14&gt;0,GY14,IF(ROUND(DA14*$J14,6)&lt;ROUND($M14,6),DA14,0)))</f>
        <v/>
      </c>
      <c r="HA14" s="68">
        <f>IF(OR($U14=0,$F14&lt;&gt;2),0,IF(GZ14&gt;0,GZ14,IF(ROUND(DB14*$J14,6)&lt;ROUND($M14,6),DB14,0)))</f>
        <v/>
      </c>
      <c r="HB14" s="68">
        <f>IF(OR($U14=0,$F14&lt;&gt;2),0,IF(HA14&gt;0,HA14,IF(ROUND(DC14*$J14,6)&lt;ROUND($M14,6),DC14,0)))</f>
        <v/>
      </c>
      <c r="HC14" s="68">
        <f>IF(OR($U14=0,$F14&lt;&gt;2),0,IF(HB14&gt;0,HB14,IF(ROUND(DD14*$J14,6)&lt;ROUND($M14,6),DD14,0)))</f>
        <v/>
      </c>
      <c r="HD14" s="68">
        <f>IF(OR($U14=0,$F14&lt;&gt;2),0,IF(HC14&gt;0,HC14,IF(ROUND(DE14*$J14,6)&lt;ROUND($M14,6),DE14,0)))</f>
        <v/>
      </c>
      <c r="HE14" s="68">
        <f>IF(OR($U14=0,$F14&lt;&gt;2),0,IF(HD14&gt;0,HD14,IF(ROUND(DF14*$J14,6)&lt;ROUND($M14,6),DF14,0)))</f>
        <v/>
      </c>
      <c r="HF14" s="68">
        <f>IF(OR($U14=0,$F14&lt;&gt;2),0,IF(HE14&gt;0,HE14,IF(ROUND(DG14*$J14,6)&lt;ROUND($M14,6),DG14,0)))</f>
        <v/>
      </c>
      <c r="HG14" s="68">
        <f>IF(OR($U14=0,$F14&lt;&gt;2),0,IF(HF14&gt;0,HF14,IF(ROUND(DH14*$J14,6)&lt;ROUND($M14,6),DH14,0)))</f>
        <v/>
      </c>
      <c r="HH14" s="68">
        <f>IF(OR($U14=0,$F14&lt;&gt;2),0,IF(HG14&gt;0,HG14,IF(ROUND(DI14*$J14,6)&lt;ROUND($M14,6),DI14,0)))</f>
        <v/>
      </c>
      <c r="HI14" s="68">
        <f>IF(OR($U14=0,$F14&lt;&gt;2),0,IF(HH14&gt;0,HH14,IF(ROUND(DJ14*$J14,6)&lt;ROUND($M14,6),DJ14,0)))</f>
        <v/>
      </c>
      <c r="HJ14" s="68">
        <f>IF(OR($U14=0,$F14&lt;&gt;2),0,IF(HI14&gt;0,HI14,IF(ROUND(DK14*$J14,6)&lt;ROUND($M14,6),DK14,0)))</f>
        <v/>
      </c>
      <c r="HK14" s="68">
        <f>IF(OR($U14=0,$F14&lt;&gt;2),0,IF(HJ14&gt;0,HJ14,IF(ROUND(DL14*$J14,6)&lt;ROUND($M14,6),DL14,0)))</f>
        <v/>
      </c>
      <c r="HL14" s="68">
        <f>IF(OR($U14=0,$F14&lt;&gt;2),0,IF(HK14&gt;0,HK14,IF(ROUND(DM14*$J14,6)&lt;ROUND($M14,6),DM14,0)))</f>
        <v/>
      </c>
      <c r="HM14" s="68">
        <f>IF(OR($U14=0,$F14&lt;&gt;2),0,IF(HL14&gt;0,HL14,IF(ROUND(DN14*$J14,6)&lt;ROUND($M14,6),DN14,0)))</f>
        <v/>
      </c>
      <c r="HN14" s="68">
        <f>IF(OR($U14=0,$F14&lt;&gt;2),0,IF(HM14&gt;0,HM14,IF(ROUND(DO14*$J14,6)&lt;ROUND($M14,6),DO14,0)))</f>
        <v/>
      </c>
      <c r="HO14" s="68">
        <f>IF(OR($U14=0,$F14&lt;&gt;2),0,IF(HN14&gt;0,HN14,IF(ROUND(DP14*$J14,6)&lt;ROUND($M14,6),DP14,0)))</f>
        <v/>
      </c>
      <c r="HP14" s="68">
        <f>IF(OR($U14=0,$F14&lt;&gt;2),0,IF(HO14&gt;0,HO14,IF(ROUND(DQ14*$J14,6)&lt;ROUND($M14,6),DQ14,0)))</f>
        <v/>
      </c>
      <c r="HQ14" s="68">
        <f>IF(OR($U14=0,$F14&lt;&gt;2),0,IF(HP14&gt;0,HP14,IF(ROUND(DR14*$J14,6)&lt;ROUND($M14,6),DR14,0)))</f>
        <v/>
      </c>
      <c r="HR14" s="68">
        <f>IF(OR($U14=0,$F14&lt;&gt;2),0,IF(HQ14&gt;0,HQ14,IF(ROUND(DS14*$J14,6)&lt;ROUND($M14,6),DS14,0)))</f>
        <v/>
      </c>
      <c r="HS14" s="68">
        <f>IF(OR($U14=0,$F14&lt;&gt;2),0,IF(HR14&gt;0,HR14,IF(ROUND(DT14*$J14,6)&lt;ROUND($M14,6),DT14,0)))</f>
        <v/>
      </c>
      <c r="HT14" s="68">
        <f>IF(OR($U14=0,$F14&lt;&gt;2),0,IF(HS14&gt;0,HS14,IF(ROUND(DU14*$J14,6)&lt;ROUND($M14,6),DU14,0)))</f>
        <v/>
      </c>
      <c r="HU14" s="68">
        <f>IF(OR($U14=0,$F14&lt;&gt;2),0,IF(HT14&gt;0,HT14,IF(ROUND(DV14*$J14,6)&lt;ROUND($M14,6),DV14,0)))</f>
        <v/>
      </c>
      <c r="HV14" s="68">
        <f>IF(OR($U14=0,$F14&lt;&gt;2),0,IF(HU14&gt;0,HU14,IF(ROUND(DW14*$J14,6)&lt;ROUND($M14,6),DW14,0)))</f>
        <v/>
      </c>
      <c r="HW14" s="68">
        <f>IF(OR($U14=0,$F14&lt;&gt;2),0,IF(HV14&gt;0,HV14,IF(ROUND(DX14*$J14,6)&lt;ROUND($M14,6),DX14,0)))</f>
        <v/>
      </c>
      <c r="HX14" s="68">
        <f>IF(OR($U14=0,$F14&lt;&gt;2),0,IF(HW14&gt;0,HW14,IF(ROUND(DY14*$J14,6)&lt;ROUND($M14,6),DY14,0)))</f>
        <v/>
      </c>
      <c r="HY14" s="68">
        <f>IF(OR($U14=0,$F14&lt;&gt;2),0,IF(HX14&gt;0,HX14,IF(ROUND(DZ14*$J14,6)&lt;ROUND($M14,6),DZ14,0)))</f>
        <v/>
      </c>
      <c r="HZ14" s="68">
        <f>IF(OR($U14=0,$F14&lt;&gt;2),0,IF(HY14&gt;0,HY14,IF(ROUND(EA14*$J14,6)&lt;ROUND($M14,6),EA14,0)))</f>
        <v/>
      </c>
      <c r="IA14" s="68">
        <f>IF(OR($U14=0,$F14&lt;&gt;2),0,IF(HZ14&gt;0,HZ14,IF(ROUND(EB14*$J14,6)&lt;ROUND($M14,6),EB14,0)))</f>
        <v/>
      </c>
      <c r="IB14" s="68">
        <f>IF(OR($U14=0,$F14&lt;&gt;2),0,IF(IA14&gt;0,IA14,IF(ROUND(EC14*$J14,6)&lt;ROUND($M14,6),EC14,0)))</f>
        <v/>
      </c>
      <c r="IC14" s="68">
        <f>IF(OR($U14=0,$F14&lt;&gt;2),0,IF(IB14&gt;0,IB14,IF(ROUND(ED14*$J14,6)&lt;ROUND($M14,6),ED14,0)))</f>
        <v/>
      </c>
      <c r="ID14" s="68">
        <f>IF(OR($U14=0,$F14&lt;&gt;2),0,IF(IC14&gt;0,IC14,IF(ROUND(EE14*$J14,6)&lt;ROUND($M14,6),EE14,0)))</f>
        <v/>
      </c>
      <c r="IE14" s="68">
        <f>IF(OR($U14=0,$F14&lt;&gt;2),0,IF(ID14&gt;0,ID14,IF(ROUND(EF14*$J14,6)&lt;ROUND($M14,6),EF14,0)))</f>
        <v/>
      </c>
      <c r="IF14" s="68">
        <f>IF(OR($U14=0,$F14&lt;&gt;2),0,IF(IE14&gt;0,IE14,IF(ROUND(EG14*$J14,6)&lt;ROUND($M14,6),EG14,0)))</f>
        <v/>
      </c>
      <c r="IG14" s="68">
        <f>IF(OR($U14=0,$F14&lt;&gt;2),0,IF(IF14&gt;0,IF14,IF(ROUND(EH14*$J14,6)&lt;ROUND($M14,6),EH14,0)))</f>
        <v/>
      </c>
      <c r="IH14" s="68">
        <f>IF(OR($U14=0,$F14&lt;&gt;2),0,IF(IG14&gt;0,IG14,IF(ROUND(EI14*$J14,6)&lt;ROUND($M14,6),EI14,0)))</f>
        <v/>
      </c>
      <c r="II14" s="68">
        <f>IF(OR($U14=0,$F14&lt;&gt;2),0,IF(IH14&gt;0,IH14,IF(ROUND(EJ14*$J14,6)&lt;ROUND($M14,6),EJ14,0)))</f>
        <v/>
      </c>
      <c r="IJ14" s="68">
        <f>IF(OR($U14=0,$F14&lt;&gt;2),0,IF(II14&gt;0,II14,IF(ROUND(EK14*$J14,6)&lt;ROUND($M14,6),EK14,0)))</f>
        <v/>
      </c>
      <c r="IK14" s="68">
        <f>IF(OR($U14=0,$F14&lt;&gt;2),0,IF(IJ14&gt;0,IJ14,IF(ROUND(EL14*$J14,6)&lt;ROUND($M14,6),EL14,0)))</f>
        <v/>
      </c>
      <c r="IL14" s="68">
        <f>IF(OR($U14=0,$F14&lt;&gt;2),0,IF(IK14&gt;0,IK14,IF(ROUND(EM14*$J14,6)&lt;ROUND($M14,6),EM14,0)))</f>
        <v/>
      </c>
      <c r="IM14" s="68">
        <f>IF(OR($U14=0,$F14&lt;&gt;2),0,IF(IL14&gt;0,IL14,IF(ROUND(EN14*$J14,6)&lt;ROUND($M14,6),EN14,0)))</f>
        <v/>
      </c>
      <c r="IN14" s="68">
        <f>IF(OR($U14=0,$F14&lt;&gt;2),0,IF(IM14&gt;0,IM14,IF(ROUND(EO14*$J14,6)&lt;ROUND($M14,6),EO14,0)))</f>
        <v/>
      </c>
    </row>
    <row r="15">
      <c r="A15" s="68" t="n">
        <v>10</v>
      </c>
      <c r="B15" s="68">
        <f>IF(OR(TRIM('固定資産台帳'!$B15)&lt;&gt;"",'固定資産台帳'!$E15&lt;&gt;"",'固定資産台帳'!$G15&lt;&gt;"",'固定資産台帳'!$H15&lt;&gt;""),1,0)</f>
        <v/>
      </c>
      <c r="C15" s="68">
        <f>IF(ISNUMBER('固定資産台帳'!$G15),MAX(ROUND('固定資産台帳'!$G15,0),0),0)</f>
        <v/>
      </c>
      <c r="D15" s="84">
        <f>IF(ISNUMBER('固定資産台帳'!$E15),INT('固定資産台帳'!$E15),0)</f>
        <v/>
      </c>
      <c r="E15" s="84">
        <f>IF(ISNUMBER('固定資産台帳'!$F15),INT('固定資産台帳'!$F15),$D15)</f>
        <v/>
      </c>
      <c r="F15" s="68">
        <f>IF('固定資産台帳'!$H15="定額法",1,IF(OR('固定資産台帳'!$H15="定率法",'固定資産台帳'!$H15="定率法（200%）",'固定資産台帳'!$H15="定率法（250%）"),2,IF('固定資産台帳'!$H15="一括償却（3年）",3,IF('固定資産台帳'!$H15="少額特例",4,0))))</f>
        <v/>
      </c>
      <c r="G15" s="68">
        <f>IF('固定資産台帳'!$H15="定率法（250%）",250,IF('固定資産台帳'!$H15="定率法（200%）",200,IF($D15&gt;=DATE(2012,4,1),200,250)))</f>
        <v/>
      </c>
      <c r="H15" s="68">
        <f>IF(ISNUMBER('固定資産台帳'!$I15),IF(AND('固定資産台帳'!$I15&gt;=2,'固定資産台帳'!$I15&lt;=100,'固定資産台帳'!$I15=INT('固定資産台帳'!$I15)),'固定資産台帳'!$I15,0),0)</f>
        <v/>
      </c>
      <c r="I15" s="68">
        <f>IF('固定資産台帳'!$C15="無形固定資産",0,1)</f>
        <v/>
      </c>
      <c r="J15" s="68">
        <f>IF(OR($H15=0,$F15=0,$F15&gt;2),0,IF($F15=1,INDEX('償却率表'!$B$6:$B$104,$H15-1),IF($G15=200,INDEX('償却率表'!$C$6:$C$104,$H15-1),INDEX('償却率表'!$F$6:$F$104,$H15-1))))</f>
        <v/>
      </c>
      <c r="K15" s="68">
        <f>IF(AND($F15=2,$H15&gt;0),IF($G15=200,INDEX('償却率表'!$D$6:$D$104,$H15-1),INDEX('償却率表'!$G$6:$G$104,$H15-1)),0)</f>
        <v/>
      </c>
      <c r="L15" s="68">
        <f>IF(AND($F15=2,$H15&gt;0),IF($G15=200,INDEX('償却率表'!$E$6:$E$104,$H15-1),INDEX('償却率表'!$H$6:$H$104,$H15-1)),0)</f>
        <v/>
      </c>
      <c r="M15" s="68">
        <f>$C15*$L15</f>
        <v/>
      </c>
      <c r="N15" s="68">
        <f>IF($B$1=1,1,IF('固定資産台帳'!$J15="",1,IF(ISNUMBER('固定資産台帳'!$J15),IF(AND('固定資産台帳'!$J15&gt;0,'固定資産台帳'!$J15&lt;=1),'固定資産台帳'!$J15,0),0)))</f>
        <v/>
      </c>
      <c r="O15" s="68">
        <f>IF($E15=0,0,YEAR($E15)-IF(MONTH($E15)&lt;$B$2,1,0))</f>
        <v/>
      </c>
      <c r="P15" s="68">
        <f>IF($E15=0,0,12-MOD(MONTH($E15)-$B$2,12))</f>
        <v/>
      </c>
      <c r="Q15" s="84">
        <f>IF(ISNUMBER('固定資産台帳'!$K15),INT('固定資産台帳'!$K15),0)</f>
        <v/>
      </c>
      <c r="R15" s="68">
        <f>IF(OR($Q15=0,$E15=0),999,YEAR($Q15)-IF(MONTH($Q15)&lt;$B$2,1,0)-$O15)</f>
        <v/>
      </c>
      <c r="S15" s="68">
        <f>IF($R15=999,0,MOD(MONTH($Q15)-$B$2,12)+1-IF($R15=0,12-$P15,0))</f>
        <v/>
      </c>
      <c r="T15" s="68">
        <f>IF($B15=0,0,IF($C15&lt;=0,1,IF($D15=0,2,IF($F15=0,3,IF(AND($F15&lt;=2,$H15=0),4,IF(AND($F15&lt;=2,$D15&lt;DATE(2007,4,1)),5,IF($E15&lt;$D15,6,IF(AND($Q15&gt;0,$Q15&lt;$E15),7,IF($N15=0,8,IF($B$3=0,9,0))))))))))</f>
        <v/>
      </c>
      <c r="U15" s="68">
        <f>IF(AND($B15=1,$T15=0),1,0)</f>
        <v/>
      </c>
      <c r="V15" s="68">
        <f>$B$3-$O15</f>
        <v/>
      </c>
      <c r="W15" s="68">
        <f>IF(AND($U15=1,$V15&gt;=0),1,0)</f>
        <v/>
      </c>
      <c r="X15" s="68">
        <f>IF($W15=0,0,IF($V15=0,$C15,INDEX($AS15:$EP15,MIN($V15,102))))</f>
        <v/>
      </c>
      <c r="Y15" s="68">
        <f>IF($W15=0,0,INDEX($AS15:$EP15,MIN($V15,101)+1))</f>
        <v/>
      </c>
      <c r="Z15" s="68">
        <f>$X15-$Y15</f>
        <v/>
      </c>
      <c r="AA15" s="68">
        <f>IF(AND($W15=1,$F15=2,$V15&gt;=1),INDEX($ER15:$IN15,MIN($V15,101)),0)</f>
        <v/>
      </c>
      <c r="AB15" s="68">
        <f>IF(OR($W15=0,$F15&gt;2,$Z15=0),0,IF($V15=0,IF($R15=0,$S15,$P15),IF($V15=$R15,$S15,12)))</f>
        <v/>
      </c>
      <c r="AC15" s="68">
        <f>IF($W15=0,0,INT(ROUND($Z15*$N15,6)+$B$4))</f>
        <v/>
      </c>
      <c r="AD15" s="68">
        <f>IF(AND($W15=1,$F15&lt;=2,$V15=$R15),1,0)</f>
        <v/>
      </c>
      <c r="AE15" s="68">
        <f>IF(AND($W15=1,$F15&lt;=2,$V15&gt;$R15),1,0)</f>
        <v/>
      </c>
      <c r="AF15" s="68">
        <f>IF(AND($W15=1,$AE15=0,OR($Z15&gt;0,$AD15=1)),1,0)</f>
        <v/>
      </c>
      <c r="AG15" s="68">
        <f>IF($AF15=1,SUM($AF$6:$AF15),0)</f>
        <v/>
      </c>
      <c r="AH15" s="68">
        <f>IF($T15=0,"",CHOOSE($T15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5" s="68">
        <f>IF(AND($F15=2,OR('固定資産台帳'!$C15="建物",'固定資産台帳'!$C15="無形固定資産",AND(OR('固定資産台帳'!$C15="建物附属設備",'固定資産台帳'!$C15="構築物"),$D15&gt;=DATE(2016,4,1)))),"この資産は定額法だけです（定率法は使えません）。","")&amp;IF(AND($F15=3,$C15&gt;=200000),"一括償却は20万円未満の資産だけです。","")&amp;IF(AND($F15=3,$B$1=0,$C15&lt;100000),"10万円未満は一括償却にせず、全額をその年の経費にします。","")&amp;IF(AND($F15=4,$C15&lt;100000),"10万円未満は少額特例ではなく、全額をその年の経費にします。","")&amp;IF(AND($F15=4,$D15&lt;DATE(2026,4,1),$C15&gt;=300000),"2026年3月31日までの取得で少額特例が使えるのは30万円未満です。","")&amp;IF(AND($F15=4,$D15&gt;=DATE(2026,4,1),$C15&gt;=400000),"少額特例は40万円未満の資産だけです。","")&amp;IF(AND($F15=4,OR($D15&lt;DATE(2006,4,1),$D15&gt;DATE(2029,3,31))),"少額特例は2006年4月1日〜2029年3月31日に取得した資産だけです。","")&amp;IF(AND($F15=2,$G15=250,$D15&gt;DATE(2012,12,31)),"250%定率法は2012年12月31日までの取得だけです。","")</f>
        <v/>
      </c>
      <c r="AJ15" s="68">
        <f>IF(AND($F15=2,'固定資産台帳'!$H15="定率法（200%）",$D15&lt;DATE(2012,4,1)),"2012年3月31日までの取得に200%を使うのは、経過措置の届出をした場合です。","")&amp;IF(AND($F15=2,'固定資産台帳'!$H15="定率法（250%）",$D15&gt;=DATE(2012,4,1),$D15&lt;=DATE(2012,12,31)),"2012年4〜12月の取得に250%を使うのは、経過措置を選んだ場合です。","")</f>
        <v/>
      </c>
      <c r="AK15" s="68">
        <f>IF($U15=0,"",IF($V15&lt;0,"表示している年より後に使い始める資産です。",IF($AE15=1,"売却・除却済みです。",IF($AD15=1,"この年に売却・除却。期末の帳簿価額 "&amp;TEXT($Y15,"#,##0")&amp;"円を帳簿から外します。",IF($F15=4,IF($V15=0,"少額特例：この年に全額を経費にします。","少額特例で経費にした資産です。"),IF($F15=3,IF($V15&gt;2,"一括償却は終わっています。","一括償却 "&amp;($V15+1)&amp;"年目（3年のうち）。"),IF($Z15=0,"償却済み（帳簿価額 "&amp;TEXT($Y15,"#,##0")&amp;"円）。",IF($AA15&gt;0,"改定償却率で計算（改定取得価額 "&amp;TEXT($AA15,"#,##0")&amp;"円）。",IF($V15=0,"この年に使い始め（"&amp;$AB15&amp;"か月分）。","")))))))))</f>
        <v/>
      </c>
      <c r="AL15" s="68">
        <f>IF(AND($U15=1,$F15=4,$V15=0),$C15,0)</f>
        <v/>
      </c>
      <c r="AM15" s="68">
        <f>IF($F15=2,INT(ROUND($M15,6)+$B$4),0)</f>
        <v/>
      </c>
      <c r="AN15" s="68">
        <f>IF($W15=0,0,IF($F15=2,IF($AA15&gt;0,$AA15,$X15),$C15))</f>
        <v/>
      </c>
      <c r="AO15" s="68">
        <f>IF($W15=0,"",IF($F15=3,"1/3",IF($F15=4,"―",IF($AA15&gt;0,$K15,$J15))))</f>
        <v/>
      </c>
      <c r="AP15" s="68" t="n"/>
      <c r="AQ15" s="68" t="n"/>
      <c r="AR15" s="68" t="n"/>
      <c r="AS15" s="68">
        <f>IF($U15=0,0,IF($F15=4,0,IF($F15=3,MAX($C15-INT(ROUND($C15/3,6)+$B$4),0),$C15-MIN(INT(ROUND($C15*$J15*IF($R15=0,$S15,$P15)/12,6)+$B$4),MAX($C15-$I15,0)))))</f>
        <v/>
      </c>
      <c r="AT15" s="68">
        <f>IF($U15=0,0,IF($F15=4,0,IF($F15=3,AS15-MIN(INT(ROUND($C15/3,6)+$B$4),AS15),IF(OR(1&gt;$R15,AS15&lt;=$I15),AS15,AS15-MIN(INT(ROUND(IF($F15=1,$C15*$J15,IF(ER15&gt;0,ER15*$K15,AS15*$J15))*IF(1=$R15,$S15,12)/12,6)+$B$4),AS15-$I15)))))</f>
        <v/>
      </c>
      <c r="AU15" s="68">
        <f>IF($U15=0,0,IF($F15=4,0,IF($F15=3,0,IF(OR(2&gt;$R15,AT15&lt;=$I15),AT15,AT15-MIN(INT(ROUND(IF($F15=1,$C15*$J15,IF(ES15&gt;0,ES15*$K15,AT15*$J15))*IF(2=$R15,$S15,12)/12,6)+$B$4),AT15-$I15)))))</f>
        <v/>
      </c>
      <c r="AV15" s="68">
        <f>IF($U15=0,0,IF($F15=4,0,IF($F15=3,0,IF(OR(3&gt;$R15,AU15&lt;=$I15),AU15,AU15-MIN(INT(ROUND(IF($F15=1,$C15*$J15,IF(ET15&gt;0,ET15*$K15,AU15*$J15))*IF(3=$R15,$S15,12)/12,6)+$B$4),AU15-$I15)))))</f>
        <v/>
      </c>
      <c r="AW15" s="68">
        <f>IF($U15=0,0,IF($F15=4,0,IF($F15=3,0,IF(OR(4&gt;$R15,AV15&lt;=$I15),AV15,AV15-MIN(INT(ROUND(IF($F15=1,$C15*$J15,IF(EU15&gt;0,EU15*$K15,AV15*$J15))*IF(4=$R15,$S15,12)/12,6)+$B$4),AV15-$I15)))))</f>
        <v/>
      </c>
      <c r="AX15" s="68">
        <f>IF($U15=0,0,IF($F15=4,0,IF($F15=3,0,IF(OR(5&gt;$R15,AW15&lt;=$I15),AW15,AW15-MIN(INT(ROUND(IF($F15=1,$C15*$J15,IF(EV15&gt;0,EV15*$K15,AW15*$J15))*IF(5=$R15,$S15,12)/12,6)+$B$4),AW15-$I15)))))</f>
        <v/>
      </c>
      <c r="AY15" s="68">
        <f>IF($U15=0,0,IF($F15=4,0,IF($F15=3,0,IF(OR(6&gt;$R15,AX15&lt;=$I15),AX15,AX15-MIN(INT(ROUND(IF($F15=1,$C15*$J15,IF(EW15&gt;0,EW15*$K15,AX15*$J15))*IF(6=$R15,$S15,12)/12,6)+$B$4),AX15-$I15)))))</f>
        <v/>
      </c>
      <c r="AZ15" s="68">
        <f>IF($U15=0,0,IF($F15=4,0,IF($F15=3,0,IF(OR(7&gt;$R15,AY15&lt;=$I15),AY15,AY15-MIN(INT(ROUND(IF($F15=1,$C15*$J15,IF(EX15&gt;0,EX15*$K15,AY15*$J15))*IF(7=$R15,$S15,12)/12,6)+$B$4),AY15-$I15)))))</f>
        <v/>
      </c>
      <c r="BA15" s="68">
        <f>IF($U15=0,0,IF($F15=4,0,IF($F15=3,0,IF(OR(8&gt;$R15,AZ15&lt;=$I15),AZ15,AZ15-MIN(INT(ROUND(IF($F15=1,$C15*$J15,IF(EY15&gt;0,EY15*$K15,AZ15*$J15))*IF(8=$R15,$S15,12)/12,6)+$B$4),AZ15-$I15)))))</f>
        <v/>
      </c>
      <c r="BB15" s="68">
        <f>IF($U15=0,0,IF($F15=4,0,IF($F15=3,0,IF(OR(9&gt;$R15,BA15&lt;=$I15),BA15,BA15-MIN(INT(ROUND(IF($F15=1,$C15*$J15,IF(EZ15&gt;0,EZ15*$K15,BA15*$J15))*IF(9=$R15,$S15,12)/12,6)+$B$4),BA15-$I15)))))</f>
        <v/>
      </c>
      <c r="BC15" s="68">
        <f>IF($U15=0,0,IF($F15=4,0,IF($F15=3,0,IF(OR(10&gt;$R15,BB15&lt;=$I15),BB15,BB15-MIN(INT(ROUND(IF($F15=1,$C15*$J15,IF(FA15&gt;0,FA15*$K15,BB15*$J15))*IF(10=$R15,$S15,12)/12,6)+$B$4),BB15-$I15)))))</f>
        <v/>
      </c>
      <c r="BD15" s="68">
        <f>IF($U15=0,0,IF($F15=4,0,IF($F15=3,0,IF(OR(11&gt;$R15,BC15&lt;=$I15),BC15,BC15-MIN(INT(ROUND(IF($F15=1,$C15*$J15,IF(FB15&gt;0,FB15*$K15,BC15*$J15))*IF(11=$R15,$S15,12)/12,6)+$B$4),BC15-$I15)))))</f>
        <v/>
      </c>
      <c r="BE15" s="68">
        <f>IF($U15=0,0,IF($F15=4,0,IF($F15=3,0,IF(OR(12&gt;$R15,BD15&lt;=$I15),BD15,BD15-MIN(INT(ROUND(IF($F15=1,$C15*$J15,IF(FC15&gt;0,FC15*$K15,BD15*$J15))*IF(12=$R15,$S15,12)/12,6)+$B$4),BD15-$I15)))))</f>
        <v/>
      </c>
      <c r="BF15" s="68">
        <f>IF($U15=0,0,IF($F15=4,0,IF($F15=3,0,IF(OR(13&gt;$R15,BE15&lt;=$I15),BE15,BE15-MIN(INT(ROUND(IF($F15=1,$C15*$J15,IF(FD15&gt;0,FD15*$K15,BE15*$J15))*IF(13=$R15,$S15,12)/12,6)+$B$4),BE15-$I15)))))</f>
        <v/>
      </c>
      <c r="BG15" s="68">
        <f>IF($U15=0,0,IF($F15=4,0,IF($F15=3,0,IF(OR(14&gt;$R15,BF15&lt;=$I15),BF15,BF15-MIN(INT(ROUND(IF($F15=1,$C15*$J15,IF(FE15&gt;0,FE15*$K15,BF15*$J15))*IF(14=$R15,$S15,12)/12,6)+$B$4),BF15-$I15)))))</f>
        <v/>
      </c>
      <c r="BH15" s="68">
        <f>IF($U15=0,0,IF($F15=4,0,IF($F15=3,0,IF(OR(15&gt;$R15,BG15&lt;=$I15),BG15,BG15-MIN(INT(ROUND(IF($F15=1,$C15*$J15,IF(FF15&gt;0,FF15*$K15,BG15*$J15))*IF(15=$R15,$S15,12)/12,6)+$B$4),BG15-$I15)))))</f>
        <v/>
      </c>
      <c r="BI15" s="68">
        <f>IF($U15=0,0,IF($F15=4,0,IF($F15=3,0,IF(OR(16&gt;$R15,BH15&lt;=$I15),BH15,BH15-MIN(INT(ROUND(IF($F15=1,$C15*$J15,IF(FG15&gt;0,FG15*$K15,BH15*$J15))*IF(16=$R15,$S15,12)/12,6)+$B$4),BH15-$I15)))))</f>
        <v/>
      </c>
      <c r="BJ15" s="68">
        <f>IF($U15=0,0,IF($F15=4,0,IF($F15=3,0,IF(OR(17&gt;$R15,BI15&lt;=$I15),BI15,BI15-MIN(INT(ROUND(IF($F15=1,$C15*$J15,IF(FH15&gt;0,FH15*$K15,BI15*$J15))*IF(17=$R15,$S15,12)/12,6)+$B$4),BI15-$I15)))))</f>
        <v/>
      </c>
      <c r="BK15" s="68">
        <f>IF($U15=0,0,IF($F15=4,0,IF($F15=3,0,IF(OR(18&gt;$R15,BJ15&lt;=$I15),BJ15,BJ15-MIN(INT(ROUND(IF($F15=1,$C15*$J15,IF(FI15&gt;0,FI15*$K15,BJ15*$J15))*IF(18=$R15,$S15,12)/12,6)+$B$4),BJ15-$I15)))))</f>
        <v/>
      </c>
      <c r="BL15" s="68">
        <f>IF($U15=0,0,IF($F15=4,0,IF($F15=3,0,IF(OR(19&gt;$R15,BK15&lt;=$I15),BK15,BK15-MIN(INT(ROUND(IF($F15=1,$C15*$J15,IF(FJ15&gt;0,FJ15*$K15,BK15*$J15))*IF(19=$R15,$S15,12)/12,6)+$B$4),BK15-$I15)))))</f>
        <v/>
      </c>
      <c r="BM15" s="68">
        <f>IF($U15=0,0,IF($F15=4,0,IF($F15=3,0,IF(OR(20&gt;$R15,BL15&lt;=$I15),BL15,BL15-MIN(INT(ROUND(IF($F15=1,$C15*$J15,IF(FK15&gt;0,FK15*$K15,BL15*$J15))*IF(20=$R15,$S15,12)/12,6)+$B$4),BL15-$I15)))))</f>
        <v/>
      </c>
      <c r="BN15" s="68">
        <f>IF($U15=0,0,IF($F15=4,0,IF($F15=3,0,IF(OR(21&gt;$R15,BM15&lt;=$I15),BM15,BM15-MIN(INT(ROUND(IF($F15=1,$C15*$J15,IF(FL15&gt;0,FL15*$K15,BM15*$J15))*IF(21=$R15,$S15,12)/12,6)+$B$4),BM15-$I15)))))</f>
        <v/>
      </c>
      <c r="BO15" s="68">
        <f>IF($U15=0,0,IF($F15=4,0,IF($F15=3,0,IF(OR(22&gt;$R15,BN15&lt;=$I15),BN15,BN15-MIN(INT(ROUND(IF($F15=1,$C15*$J15,IF(FM15&gt;0,FM15*$K15,BN15*$J15))*IF(22=$R15,$S15,12)/12,6)+$B$4),BN15-$I15)))))</f>
        <v/>
      </c>
      <c r="BP15" s="68">
        <f>IF($U15=0,0,IF($F15=4,0,IF($F15=3,0,IF(OR(23&gt;$R15,BO15&lt;=$I15),BO15,BO15-MIN(INT(ROUND(IF($F15=1,$C15*$J15,IF(FN15&gt;0,FN15*$K15,BO15*$J15))*IF(23=$R15,$S15,12)/12,6)+$B$4),BO15-$I15)))))</f>
        <v/>
      </c>
      <c r="BQ15" s="68">
        <f>IF($U15=0,0,IF($F15=4,0,IF($F15=3,0,IF(OR(24&gt;$R15,BP15&lt;=$I15),BP15,BP15-MIN(INT(ROUND(IF($F15=1,$C15*$J15,IF(FO15&gt;0,FO15*$K15,BP15*$J15))*IF(24=$R15,$S15,12)/12,6)+$B$4),BP15-$I15)))))</f>
        <v/>
      </c>
      <c r="BR15" s="68">
        <f>IF($U15=0,0,IF($F15=4,0,IF($F15=3,0,IF(OR(25&gt;$R15,BQ15&lt;=$I15),BQ15,BQ15-MIN(INT(ROUND(IF($F15=1,$C15*$J15,IF(FP15&gt;0,FP15*$K15,BQ15*$J15))*IF(25=$R15,$S15,12)/12,6)+$B$4),BQ15-$I15)))))</f>
        <v/>
      </c>
      <c r="BS15" s="68">
        <f>IF($U15=0,0,IF($F15=4,0,IF($F15=3,0,IF(OR(26&gt;$R15,BR15&lt;=$I15),BR15,BR15-MIN(INT(ROUND(IF($F15=1,$C15*$J15,IF(FQ15&gt;0,FQ15*$K15,BR15*$J15))*IF(26=$R15,$S15,12)/12,6)+$B$4),BR15-$I15)))))</f>
        <v/>
      </c>
      <c r="BT15" s="68">
        <f>IF($U15=0,0,IF($F15=4,0,IF($F15=3,0,IF(OR(27&gt;$R15,BS15&lt;=$I15),BS15,BS15-MIN(INT(ROUND(IF($F15=1,$C15*$J15,IF(FR15&gt;0,FR15*$K15,BS15*$J15))*IF(27=$R15,$S15,12)/12,6)+$B$4),BS15-$I15)))))</f>
        <v/>
      </c>
      <c r="BU15" s="68">
        <f>IF($U15=0,0,IF($F15=4,0,IF($F15=3,0,IF(OR(28&gt;$R15,BT15&lt;=$I15),BT15,BT15-MIN(INT(ROUND(IF($F15=1,$C15*$J15,IF(FS15&gt;0,FS15*$K15,BT15*$J15))*IF(28=$R15,$S15,12)/12,6)+$B$4),BT15-$I15)))))</f>
        <v/>
      </c>
      <c r="BV15" s="68">
        <f>IF($U15=0,0,IF($F15=4,0,IF($F15=3,0,IF(OR(29&gt;$R15,BU15&lt;=$I15),BU15,BU15-MIN(INT(ROUND(IF($F15=1,$C15*$J15,IF(FT15&gt;0,FT15*$K15,BU15*$J15))*IF(29=$R15,$S15,12)/12,6)+$B$4),BU15-$I15)))))</f>
        <v/>
      </c>
      <c r="BW15" s="68">
        <f>IF($U15=0,0,IF($F15=4,0,IF($F15=3,0,IF(OR(30&gt;$R15,BV15&lt;=$I15),BV15,BV15-MIN(INT(ROUND(IF($F15=1,$C15*$J15,IF(FU15&gt;0,FU15*$K15,BV15*$J15))*IF(30=$R15,$S15,12)/12,6)+$B$4),BV15-$I15)))))</f>
        <v/>
      </c>
      <c r="BX15" s="68">
        <f>IF($U15=0,0,IF($F15=4,0,IF($F15=3,0,IF(OR(31&gt;$R15,BW15&lt;=$I15),BW15,BW15-MIN(INT(ROUND(IF($F15=1,$C15*$J15,IF(FV15&gt;0,FV15*$K15,BW15*$J15))*IF(31=$R15,$S15,12)/12,6)+$B$4),BW15-$I15)))))</f>
        <v/>
      </c>
      <c r="BY15" s="68">
        <f>IF($U15=0,0,IF($F15=4,0,IF($F15=3,0,IF(OR(32&gt;$R15,BX15&lt;=$I15),BX15,BX15-MIN(INT(ROUND(IF($F15=1,$C15*$J15,IF(FW15&gt;0,FW15*$K15,BX15*$J15))*IF(32=$R15,$S15,12)/12,6)+$B$4),BX15-$I15)))))</f>
        <v/>
      </c>
      <c r="BZ15" s="68">
        <f>IF($U15=0,0,IF($F15=4,0,IF($F15=3,0,IF(OR(33&gt;$R15,BY15&lt;=$I15),BY15,BY15-MIN(INT(ROUND(IF($F15=1,$C15*$J15,IF(FX15&gt;0,FX15*$K15,BY15*$J15))*IF(33=$R15,$S15,12)/12,6)+$B$4),BY15-$I15)))))</f>
        <v/>
      </c>
      <c r="CA15" s="68">
        <f>IF($U15=0,0,IF($F15=4,0,IF($F15=3,0,IF(OR(34&gt;$R15,BZ15&lt;=$I15),BZ15,BZ15-MIN(INT(ROUND(IF($F15=1,$C15*$J15,IF(FY15&gt;0,FY15*$K15,BZ15*$J15))*IF(34=$R15,$S15,12)/12,6)+$B$4),BZ15-$I15)))))</f>
        <v/>
      </c>
      <c r="CB15" s="68">
        <f>IF($U15=0,0,IF($F15=4,0,IF($F15=3,0,IF(OR(35&gt;$R15,CA15&lt;=$I15),CA15,CA15-MIN(INT(ROUND(IF($F15=1,$C15*$J15,IF(FZ15&gt;0,FZ15*$K15,CA15*$J15))*IF(35=$R15,$S15,12)/12,6)+$B$4),CA15-$I15)))))</f>
        <v/>
      </c>
      <c r="CC15" s="68">
        <f>IF($U15=0,0,IF($F15=4,0,IF($F15=3,0,IF(OR(36&gt;$R15,CB15&lt;=$I15),CB15,CB15-MIN(INT(ROUND(IF($F15=1,$C15*$J15,IF(GA15&gt;0,GA15*$K15,CB15*$J15))*IF(36=$R15,$S15,12)/12,6)+$B$4),CB15-$I15)))))</f>
        <v/>
      </c>
      <c r="CD15" s="68">
        <f>IF($U15=0,0,IF($F15=4,0,IF($F15=3,0,IF(OR(37&gt;$R15,CC15&lt;=$I15),CC15,CC15-MIN(INT(ROUND(IF($F15=1,$C15*$J15,IF(GB15&gt;0,GB15*$K15,CC15*$J15))*IF(37=$R15,$S15,12)/12,6)+$B$4),CC15-$I15)))))</f>
        <v/>
      </c>
      <c r="CE15" s="68">
        <f>IF($U15=0,0,IF($F15=4,0,IF($F15=3,0,IF(OR(38&gt;$R15,CD15&lt;=$I15),CD15,CD15-MIN(INT(ROUND(IF($F15=1,$C15*$J15,IF(GC15&gt;0,GC15*$K15,CD15*$J15))*IF(38=$R15,$S15,12)/12,6)+$B$4),CD15-$I15)))))</f>
        <v/>
      </c>
      <c r="CF15" s="68">
        <f>IF($U15=0,0,IF($F15=4,0,IF($F15=3,0,IF(OR(39&gt;$R15,CE15&lt;=$I15),CE15,CE15-MIN(INT(ROUND(IF($F15=1,$C15*$J15,IF(GD15&gt;0,GD15*$K15,CE15*$J15))*IF(39=$R15,$S15,12)/12,6)+$B$4),CE15-$I15)))))</f>
        <v/>
      </c>
      <c r="CG15" s="68">
        <f>IF($U15=0,0,IF($F15=4,0,IF($F15=3,0,IF(OR(40&gt;$R15,CF15&lt;=$I15),CF15,CF15-MIN(INT(ROUND(IF($F15=1,$C15*$J15,IF(GE15&gt;0,GE15*$K15,CF15*$J15))*IF(40=$R15,$S15,12)/12,6)+$B$4),CF15-$I15)))))</f>
        <v/>
      </c>
      <c r="CH15" s="68">
        <f>IF($U15=0,0,IF($F15=4,0,IF($F15=3,0,IF(OR(41&gt;$R15,CG15&lt;=$I15),CG15,CG15-MIN(INT(ROUND(IF($F15=1,$C15*$J15,IF(GF15&gt;0,GF15*$K15,CG15*$J15))*IF(41=$R15,$S15,12)/12,6)+$B$4),CG15-$I15)))))</f>
        <v/>
      </c>
      <c r="CI15" s="68">
        <f>IF($U15=0,0,IF($F15=4,0,IF($F15=3,0,IF(OR(42&gt;$R15,CH15&lt;=$I15),CH15,CH15-MIN(INT(ROUND(IF($F15=1,$C15*$J15,IF(GG15&gt;0,GG15*$K15,CH15*$J15))*IF(42=$R15,$S15,12)/12,6)+$B$4),CH15-$I15)))))</f>
        <v/>
      </c>
      <c r="CJ15" s="68">
        <f>IF($U15=0,0,IF($F15=4,0,IF($F15=3,0,IF(OR(43&gt;$R15,CI15&lt;=$I15),CI15,CI15-MIN(INT(ROUND(IF($F15=1,$C15*$J15,IF(GH15&gt;0,GH15*$K15,CI15*$J15))*IF(43=$R15,$S15,12)/12,6)+$B$4),CI15-$I15)))))</f>
        <v/>
      </c>
      <c r="CK15" s="68">
        <f>IF($U15=0,0,IF($F15=4,0,IF($F15=3,0,IF(OR(44&gt;$R15,CJ15&lt;=$I15),CJ15,CJ15-MIN(INT(ROUND(IF($F15=1,$C15*$J15,IF(GI15&gt;0,GI15*$K15,CJ15*$J15))*IF(44=$R15,$S15,12)/12,6)+$B$4),CJ15-$I15)))))</f>
        <v/>
      </c>
      <c r="CL15" s="68">
        <f>IF($U15=0,0,IF($F15=4,0,IF($F15=3,0,IF(OR(45&gt;$R15,CK15&lt;=$I15),CK15,CK15-MIN(INT(ROUND(IF($F15=1,$C15*$J15,IF(GJ15&gt;0,GJ15*$K15,CK15*$J15))*IF(45=$R15,$S15,12)/12,6)+$B$4),CK15-$I15)))))</f>
        <v/>
      </c>
      <c r="CM15" s="68">
        <f>IF($U15=0,0,IF($F15=4,0,IF($F15=3,0,IF(OR(46&gt;$R15,CL15&lt;=$I15),CL15,CL15-MIN(INT(ROUND(IF($F15=1,$C15*$J15,IF(GK15&gt;0,GK15*$K15,CL15*$J15))*IF(46=$R15,$S15,12)/12,6)+$B$4),CL15-$I15)))))</f>
        <v/>
      </c>
      <c r="CN15" s="68">
        <f>IF($U15=0,0,IF($F15=4,0,IF($F15=3,0,IF(OR(47&gt;$R15,CM15&lt;=$I15),CM15,CM15-MIN(INT(ROUND(IF($F15=1,$C15*$J15,IF(GL15&gt;0,GL15*$K15,CM15*$J15))*IF(47=$R15,$S15,12)/12,6)+$B$4),CM15-$I15)))))</f>
        <v/>
      </c>
      <c r="CO15" s="68">
        <f>IF($U15=0,0,IF($F15=4,0,IF($F15=3,0,IF(OR(48&gt;$R15,CN15&lt;=$I15),CN15,CN15-MIN(INT(ROUND(IF($F15=1,$C15*$J15,IF(GM15&gt;0,GM15*$K15,CN15*$J15))*IF(48=$R15,$S15,12)/12,6)+$B$4),CN15-$I15)))))</f>
        <v/>
      </c>
      <c r="CP15" s="68">
        <f>IF($U15=0,0,IF($F15=4,0,IF($F15=3,0,IF(OR(49&gt;$R15,CO15&lt;=$I15),CO15,CO15-MIN(INT(ROUND(IF($F15=1,$C15*$J15,IF(GN15&gt;0,GN15*$K15,CO15*$J15))*IF(49=$R15,$S15,12)/12,6)+$B$4),CO15-$I15)))))</f>
        <v/>
      </c>
      <c r="CQ15" s="68">
        <f>IF($U15=0,0,IF($F15=4,0,IF($F15=3,0,IF(OR(50&gt;$R15,CP15&lt;=$I15),CP15,CP15-MIN(INT(ROUND(IF($F15=1,$C15*$J15,IF(GO15&gt;0,GO15*$K15,CP15*$J15))*IF(50=$R15,$S15,12)/12,6)+$B$4),CP15-$I15)))))</f>
        <v/>
      </c>
      <c r="CR15" s="68">
        <f>IF($U15=0,0,IF($F15=4,0,IF($F15=3,0,IF(OR(51&gt;$R15,CQ15&lt;=$I15),CQ15,CQ15-MIN(INT(ROUND(IF($F15=1,$C15*$J15,IF(GP15&gt;0,GP15*$K15,CQ15*$J15))*IF(51=$R15,$S15,12)/12,6)+$B$4),CQ15-$I15)))))</f>
        <v/>
      </c>
      <c r="CS15" s="68">
        <f>IF($U15=0,0,IF($F15=4,0,IF($F15=3,0,IF(OR(52&gt;$R15,CR15&lt;=$I15),CR15,CR15-MIN(INT(ROUND(IF($F15=1,$C15*$J15,IF(GQ15&gt;0,GQ15*$K15,CR15*$J15))*IF(52=$R15,$S15,12)/12,6)+$B$4),CR15-$I15)))))</f>
        <v/>
      </c>
      <c r="CT15" s="68">
        <f>IF($U15=0,0,IF($F15=4,0,IF($F15=3,0,IF(OR(53&gt;$R15,CS15&lt;=$I15),CS15,CS15-MIN(INT(ROUND(IF($F15=1,$C15*$J15,IF(GR15&gt;0,GR15*$K15,CS15*$J15))*IF(53=$R15,$S15,12)/12,6)+$B$4),CS15-$I15)))))</f>
        <v/>
      </c>
      <c r="CU15" s="68">
        <f>IF($U15=0,0,IF($F15=4,0,IF($F15=3,0,IF(OR(54&gt;$R15,CT15&lt;=$I15),CT15,CT15-MIN(INT(ROUND(IF($F15=1,$C15*$J15,IF(GS15&gt;0,GS15*$K15,CT15*$J15))*IF(54=$R15,$S15,12)/12,6)+$B$4),CT15-$I15)))))</f>
        <v/>
      </c>
      <c r="CV15" s="68">
        <f>IF($U15=0,0,IF($F15=4,0,IF($F15=3,0,IF(OR(55&gt;$R15,CU15&lt;=$I15),CU15,CU15-MIN(INT(ROUND(IF($F15=1,$C15*$J15,IF(GT15&gt;0,GT15*$K15,CU15*$J15))*IF(55=$R15,$S15,12)/12,6)+$B$4),CU15-$I15)))))</f>
        <v/>
      </c>
      <c r="CW15" s="68">
        <f>IF($U15=0,0,IF($F15=4,0,IF($F15=3,0,IF(OR(56&gt;$R15,CV15&lt;=$I15),CV15,CV15-MIN(INT(ROUND(IF($F15=1,$C15*$J15,IF(GU15&gt;0,GU15*$K15,CV15*$J15))*IF(56=$R15,$S15,12)/12,6)+$B$4),CV15-$I15)))))</f>
        <v/>
      </c>
      <c r="CX15" s="68">
        <f>IF($U15=0,0,IF($F15=4,0,IF($F15=3,0,IF(OR(57&gt;$R15,CW15&lt;=$I15),CW15,CW15-MIN(INT(ROUND(IF($F15=1,$C15*$J15,IF(GV15&gt;0,GV15*$K15,CW15*$J15))*IF(57=$R15,$S15,12)/12,6)+$B$4),CW15-$I15)))))</f>
        <v/>
      </c>
      <c r="CY15" s="68">
        <f>IF($U15=0,0,IF($F15=4,0,IF($F15=3,0,IF(OR(58&gt;$R15,CX15&lt;=$I15),CX15,CX15-MIN(INT(ROUND(IF($F15=1,$C15*$J15,IF(GW15&gt;0,GW15*$K15,CX15*$J15))*IF(58=$R15,$S15,12)/12,6)+$B$4),CX15-$I15)))))</f>
        <v/>
      </c>
      <c r="CZ15" s="68">
        <f>IF($U15=0,0,IF($F15=4,0,IF($F15=3,0,IF(OR(59&gt;$R15,CY15&lt;=$I15),CY15,CY15-MIN(INT(ROUND(IF($F15=1,$C15*$J15,IF(GX15&gt;0,GX15*$K15,CY15*$J15))*IF(59=$R15,$S15,12)/12,6)+$B$4),CY15-$I15)))))</f>
        <v/>
      </c>
      <c r="DA15" s="68">
        <f>IF($U15=0,0,IF($F15=4,0,IF($F15=3,0,IF(OR(60&gt;$R15,CZ15&lt;=$I15),CZ15,CZ15-MIN(INT(ROUND(IF($F15=1,$C15*$J15,IF(GY15&gt;0,GY15*$K15,CZ15*$J15))*IF(60=$R15,$S15,12)/12,6)+$B$4),CZ15-$I15)))))</f>
        <v/>
      </c>
      <c r="DB15" s="68">
        <f>IF($U15=0,0,IF($F15=4,0,IF($F15=3,0,IF(OR(61&gt;$R15,DA15&lt;=$I15),DA15,DA15-MIN(INT(ROUND(IF($F15=1,$C15*$J15,IF(GZ15&gt;0,GZ15*$K15,DA15*$J15))*IF(61=$R15,$S15,12)/12,6)+$B$4),DA15-$I15)))))</f>
        <v/>
      </c>
      <c r="DC15" s="68">
        <f>IF($U15=0,0,IF($F15=4,0,IF($F15=3,0,IF(OR(62&gt;$R15,DB15&lt;=$I15),DB15,DB15-MIN(INT(ROUND(IF($F15=1,$C15*$J15,IF(HA15&gt;0,HA15*$K15,DB15*$J15))*IF(62=$R15,$S15,12)/12,6)+$B$4),DB15-$I15)))))</f>
        <v/>
      </c>
      <c r="DD15" s="68">
        <f>IF($U15=0,0,IF($F15=4,0,IF($F15=3,0,IF(OR(63&gt;$R15,DC15&lt;=$I15),DC15,DC15-MIN(INT(ROUND(IF($F15=1,$C15*$J15,IF(HB15&gt;0,HB15*$K15,DC15*$J15))*IF(63=$R15,$S15,12)/12,6)+$B$4),DC15-$I15)))))</f>
        <v/>
      </c>
      <c r="DE15" s="68">
        <f>IF($U15=0,0,IF($F15=4,0,IF($F15=3,0,IF(OR(64&gt;$R15,DD15&lt;=$I15),DD15,DD15-MIN(INT(ROUND(IF($F15=1,$C15*$J15,IF(HC15&gt;0,HC15*$K15,DD15*$J15))*IF(64=$R15,$S15,12)/12,6)+$B$4),DD15-$I15)))))</f>
        <v/>
      </c>
      <c r="DF15" s="68">
        <f>IF($U15=0,0,IF($F15=4,0,IF($F15=3,0,IF(OR(65&gt;$R15,DE15&lt;=$I15),DE15,DE15-MIN(INT(ROUND(IF($F15=1,$C15*$J15,IF(HD15&gt;0,HD15*$K15,DE15*$J15))*IF(65=$R15,$S15,12)/12,6)+$B$4),DE15-$I15)))))</f>
        <v/>
      </c>
      <c r="DG15" s="68">
        <f>IF($U15=0,0,IF($F15=4,0,IF($F15=3,0,IF(OR(66&gt;$R15,DF15&lt;=$I15),DF15,DF15-MIN(INT(ROUND(IF($F15=1,$C15*$J15,IF(HE15&gt;0,HE15*$K15,DF15*$J15))*IF(66=$R15,$S15,12)/12,6)+$B$4),DF15-$I15)))))</f>
        <v/>
      </c>
      <c r="DH15" s="68">
        <f>IF($U15=0,0,IF($F15=4,0,IF($F15=3,0,IF(OR(67&gt;$R15,DG15&lt;=$I15),DG15,DG15-MIN(INT(ROUND(IF($F15=1,$C15*$J15,IF(HF15&gt;0,HF15*$K15,DG15*$J15))*IF(67=$R15,$S15,12)/12,6)+$B$4),DG15-$I15)))))</f>
        <v/>
      </c>
      <c r="DI15" s="68">
        <f>IF($U15=0,0,IF($F15=4,0,IF($F15=3,0,IF(OR(68&gt;$R15,DH15&lt;=$I15),DH15,DH15-MIN(INT(ROUND(IF($F15=1,$C15*$J15,IF(HG15&gt;0,HG15*$K15,DH15*$J15))*IF(68=$R15,$S15,12)/12,6)+$B$4),DH15-$I15)))))</f>
        <v/>
      </c>
      <c r="DJ15" s="68">
        <f>IF($U15=0,0,IF($F15=4,0,IF($F15=3,0,IF(OR(69&gt;$R15,DI15&lt;=$I15),DI15,DI15-MIN(INT(ROUND(IF($F15=1,$C15*$J15,IF(HH15&gt;0,HH15*$K15,DI15*$J15))*IF(69=$R15,$S15,12)/12,6)+$B$4),DI15-$I15)))))</f>
        <v/>
      </c>
      <c r="DK15" s="68">
        <f>IF($U15=0,0,IF($F15=4,0,IF($F15=3,0,IF(OR(70&gt;$R15,DJ15&lt;=$I15),DJ15,DJ15-MIN(INT(ROUND(IF($F15=1,$C15*$J15,IF(HI15&gt;0,HI15*$K15,DJ15*$J15))*IF(70=$R15,$S15,12)/12,6)+$B$4),DJ15-$I15)))))</f>
        <v/>
      </c>
      <c r="DL15" s="68">
        <f>IF($U15=0,0,IF($F15=4,0,IF($F15=3,0,IF(OR(71&gt;$R15,DK15&lt;=$I15),DK15,DK15-MIN(INT(ROUND(IF($F15=1,$C15*$J15,IF(HJ15&gt;0,HJ15*$K15,DK15*$J15))*IF(71=$R15,$S15,12)/12,6)+$B$4),DK15-$I15)))))</f>
        <v/>
      </c>
      <c r="DM15" s="68">
        <f>IF($U15=0,0,IF($F15=4,0,IF($F15=3,0,IF(OR(72&gt;$R15,DL15&lt;=$I15),DL15,DL15-MIN(INT(ROUND(IF($F15=1,$C15*$J15,IF(HK15&gt;0,HK15*$K15,DL15*$J15))*IF(72=$R15,$S15,12)/12,6)+$B$4),DL15-$I15)))))</f>
        <v/>
      </c>
      <c r="DN15" s="68">
        <f>IF($U15=0,0,IF($F15=4,0,IF($F15=3,0,IF(OR(73&gt;$R15,DM15&lt;=$I15),DM15,DM15-MIN(INT(ROUND(IF($F15=1,$C15*$J15,IF(HL15&gt;0,HL15*$K15,DM15*$J15))*IF(73=$R15,$S15,12)/12,6)+$B$4),DM15-$I15)))))</f>
        <v/>
      </c>
      <c r="DO15" s="68">
        <f>IF($U15=0,0,IF($F15=4,0,IF($F15=3,0,IF(OR(74&gt;$R15,DN15&lt;=$I15),DN15,DN15-MIN(INT(ROUND(IF($F15=1,$C15*$J15,IF(HM15&gt;0,HM15*$K15,DN15*$J15))*IF(74=$R15,$S15,12)/12,6)+$B$4),DN15-$I15)))))</f>
        <v/>
      </c>
      <c r="DP15" s="68">
        <f>IF($U15=0,0,IF($F15=4,0,IF($F15=3,0,IF(OR(75&gt;$R15,DO15&lt;=$I15),DO15,DO15-MIN(INT(ROUND(IF($F15=1,$C15*$J15,IF(HN15&gt;0,HN15*$K15,DO15*$J15))*IF(75=$R15,$S15,12)/12,6)+$B$4),DO15-$I15)))))</f>
        <v/>
      </c>
      <c r="DQ15" s="68">
        <f>IF($U15=0,0,IF($F15=4,0,IF($F15=3,0,IF(OR(76&gt;$R15,DP15&lt;=$I15),DP15,DP15-MIN(INT(ROUND(IF($F15=1,$C15*$J15,IF(HO15&gt;0,HO15*$K15,DP15*$J15))*IF(76=$R15,$S15,12)/12,6)+$B$4),DP15-$I15)))))</f>
        <v/>
      </c>
      <c r="DR15" s="68">
        <f>IF($U15=0,0,IF($F15=4,0,IF($F15=3,0,IF(OR(77&gt;$R15,DQ15&lt;=$I15),DQ15,DQ15-MIN(INT(ROUND(IF($F15=1,$C15*$J15,IF(HP15&gt;0,HP15*$K15,DQ15*$J15))*IF(77=$R15,$S15,12)/12,6)+$B$4),DQ15-$I15)))))</f>
        <v/>
      </c>
      <c r="DS15" s="68">
        <f>IF($U15=0,0,IF($F15=4,0,IF($F15=3,0,IF(OR(78&gt;$R15,DR15&lt;=$I15),DR15,DR15-MIN(INT(ROUND(IF($F15=1,$C15*$J15,IF(HQ15&gt;0,HQ15*$K15,DR15*$J15))*IF(78=$R15,$S15,12)/12,6)+$B$4),DR15-$I15)))))</f>
        <v/>
      </c>
      <c r="DT15" s="68">
        <f>IF($U15=0,0,IF($F15=4,0,IF($F15=3,0,IF(OR(79&gt;$R15,DS15&lt;=$I15),DS15,DS15-MIN(INT(ROUND(IF($F15=1,$C15*$J15,IF(HR15&gt;0,HR15*$K15,DS15*$J15))*IF(79=$R15,$S15,12)/12,6)+$B$4),DS15-$I15)))))</f>
        <v/>
      </c>
      <c r="DU15" s="68">
        <f>IF($U15=0,0,IF($F15=4,0,IF($F15=3,0,IF(OR(80&gt;$R15,DT15&lt;=$I15),DT15,DT15-MIN(INT(ROUND(IF($F15=1,$C15*$J15,IF(HS15&gt;0,HS15*$K15,DT15*$J15))*IF(80=$R15,$S15,12)/12,6)+$B$4),DT15-$I15)))))</f>
        <v/>
      </c>
      <c r="DV15" s="68">
        <f>IF($U15=0,0,IF($F15=4,0,IF($F15=3,0,IF(OR(81&gt;$R15,DU15&lt;=$I15),DU15,DU15-MIN(INT(ROUND(IF($F15=1,$C15*$J15,IF(HT15&gt;0,HT15*$K15,DU15*$J15))*IF(81=$R15,$S15,12)/12,6)+$B$4),DU15-$I15)))))</f>
        <v/>
      </c>
      <c r="DW15" s="68">
        <f>IF($U15=0,0,IF($F15=4,0,IF($F15=3,0,IF(OR(82&gt;$R15,DV15&lt;=$I15),DV15,DV15-MIN(INT(ROUND(IF($F15=1,$C15*$J15,IF(HU15&gt;0,HU15*$K15,DV15*$J15))*IF(82=$R15,$S15,12)/12,6)+$B$4),DV15-$I15)))))</f>
        <v/>
      </c>
      <c r="DX15" s="68">
        <f>IF($U15=0,0,IF($F15=4,0,IF($F15=3,0,IF(OR(83&gt;$R15,DW15&lt;=$I15),DW15,DW15-MIN(INT(ROUND(IF($F15=1,$C15*$J15,IF(HV15&gt;0,HV15*$K15,DW15*$J15))*IF(83=$R15,$S15,12)/12,6)+$B$4),DW15-$I15)))))</f>
        <v/>
      </c>
      <c r="DY15" s="68">
        <f>IF($U15=0,0,IF($F15=4,0,IF($F15=3,0,IF(OR(84&gt;$R15,DX15&lt;=$I15),DX15,DX15-MIN(INT(ROUND(IF($F15=1,$C15*$J15,IF(HW15&gt;0,HW15*$K15,DX15*$J15))*IF(84=$R15,$S15,12)/12,6)+$B$4),DX15-$I15)))))</f>
        <v/>
      </c>
      <c r="DZ15" s="68">
        <f>IF($U15=0,0,IF($F15=4,0,IF($F15=3,0,IF(OR(85&gt;$R15,DY15&lt;=$I15),DY15,DY15-MIN(INT(ROUND(IF($F15=1,$C15*$J15,IF(HX15&gt;0,HX15*$K15,DY15*$J15))*IF(85=$R15,$S15,12)/12,6)+$B$4),DY15-$I15)))))</f>
        <v/>
      </c>
      <c r="EA15" s="68">
        <f>IF($U15=0,0,IF($F15=4,0,IF($F15=3,0,IF(OR(86&gt;$R15,DZ15&lt;=$I15),DZ15,DZ15-MIN(INT(ROUND(IF($F15=1,$C15*$J15,IF(HY15&gt;0,HY15*$K15,DZ15*$J15))*IF(86=$R15,$S15,12)/12,6)+$B$4),DZ15-$I15)))))</f>
        <v/>
      </c>
      <c r="EB15" s="68">
        <f>IF($U15=0,0,IF($F15=4,0,IF($F15=3,0,IF(OR(87&gt;$R15,EA15&lt;=$I15),EA15,EA15-MIN(INT(ROUND(IF($F15=1,$C15*$J15,IF(HZ15&gt;0,HZ15*$K15,EA15*$J15))*IF(87=$R15,$S15,12)/12,6)+$B$4),EA15-$I15)))))</f>
        <v/>
      </c>
      <c r="EC15" s="68">
        <f>IF($U15=0,0,IF($F15=4,0,IF($F15=3,0,IF(OR(88&gt;$R15,EB15&lt;=$I15),EB15,EB15-MIN(INT(ROUND(IF($F15=1,$C15*$J15,IF(IA15&gt;0,IA15*$K15,EB15*$J15))*IF(88=$R15,$S15,12)/12,6)+$B$4),EB15-$I15)))))</f>
        <v/>
      </c>
      <c r="ED15" s="68">
        <f>IF($U15=0,0,IF($F15=4,0,IF($F15=3,0,IF(OR(89&gt;$R15,EC15&lt;=$I15),EC15,EC15-MIN(INT(ROUND(IF($F15=1,$C15*$J15,IF(IB15&gt;0,IB15*$K15,EC15*$J15))*IF(89=$R15,$S15,12)/12,6)+$B$4),EC15-$I15)))))</f>
        <v/>
      </c>
      <c r="EE15" s="68">
        <f>IF($U15=0,0,IF($F15=4,0,IF($F15=3,0,IF(OR(90&gt;$R15,ED15&lt;=$I15),ED15,ED15-MIN(INT(ROUND(IF($F15=1,$C15*$J15,IF(IC15&gt;0,IC15*$K15,ED15*$J15))*IF(90=$R15,$S15,12)/12,6)+$B$4),ED15-$I15)))))</f>
        <v/>
      </c>
      <c r="EF15" s="68">
        <f>IF($U15=0,0,IF($F15=4,0,IF($F15=3,0,IF(OR(91&gt;$R15,EE15&lt;=$I15),EE15,EE15-MIN(INT(ROUND(IF($F15=1,$C15*$J15,IF(ID15&gt;0,ID15*$K15,EE15*$J15))*IF(91=$R15,$S15,12)/12,6)+$B$4),EE15-$I15)))))</f>
        <v/>
      </c>
      <c r="EG15" s="68">
        <f>IF($U15=0,0,IF($F15=4,0,IF($F15=3,0,IF(OR(92&gt;$R15,EF15&lt;=$I15),EF15,EF15-MIN(INT(ROUND(IF($F15=1,$C15*$J15,IF(IE15&gt;0,IE15*$K15,EF15*$J15))*IF(92=$R15,$S15,12)/12,6)+$B$4),EF15-$I15)))))</f>
        <v/>
      </c>
      <c r="EH15" s="68">
        <f>IF($U15=0,0,IF($F15=4,0,IF($F15=3,0,IF(OR(93&gt;$R15,EG15&lt;=$I15),EG15,EG15-MIN(INT(ROUND(IF($F15=1,$C15*$J15,IF(IF15&gt;0,IF15*$K15,EG15*$J15))*IF(93=$R15,$S15,12)/12,6)+$B$4),EG15-$I15)))))</f>
        <v/>
      </c>
      <c r="EI15" s="68">
        <f>IF($U15=0,0,IF($F15=4,0,IF($F15=3,0,IF(OR(94&gt;$R15,EH15&lt;=$I15),EH15,EH15-MIN(INT(ROUND(IF($F15=1,$C15*$J15,IF(IG15&gt;0,IG15*$K15,EH15*$J15))*IF(94=$R15,$S15,12)/12,6)+$B$4),EH15-$I15)))))</f>
        <v/>
      </c>
      <c r="EJ15" s="68">
        <f>IF($U15=0,0,IF($F15=4,0,IF($F15=3,0,IF(OR(95&gt;$R15,EI15&lt;=$I15),EI15,EI15-MIN(INT(ROUND(IF($F15=1,$C15*$J15,IF(IH15&gt;0,IH15*$K15,EI15*$J15))*IF(95=$R15,$S15,12)/12,6)+$B$4),EI15-$I15)))))</f>
        <v/>
      </c>
      <c r="EK15" s="68">
        <f>IF($U15=0,0,IF($F15=4,0,IF($F15=3,0,IF(OR(96&gt;$R15,EJ15&lt;=$I15),EJ15,EJ15-MIN(INT(ROUND(IF($F15=1,$C15*$J15,IF(II15&gt;0,II15*$K15,EJ15*$J15))*IF(96=$R15,$S15,12)/12,6)+$B$4),EJ15-$I15)))))</f>
        <v/>
      </c>
      <c r="EL15" s="68">
        <f>IF($U15=0,0,IF($F15=4,0,IF($F15=3,0,IF(OR(97&gt;$R15,EK15&lt;=$I15),EK15,EK15-MIN(INT(ROUND(IF($F15=1,$C15*$J15,IF(IJ15&gt;0,IJ15*$K15,EK15*$J15))*IF(97=$R15,$S15,12)/12,6)+$B$4),EK15-$I15)))))</f>
        <v/>
      </c>
      <c r="EM15" s="68">
        <f>IF($U15=0,0,IF($F15=4,0,IF($F15=3,0,IF(OR(98&gt;$R15,EL15&lt;=$I15),EL15,EL15-MIN(INT(ROUND(IF($F15=1,$C15*$J15,IF(IK15&gt;0,IK15*$K15,EL15*$J15))*IF(98=$R15,$S15,12)/12,6)+$B$4),EL15-$I15)))))</f>
        <v/>
      </c>
      <c r="EN15" s="68">
        <f>IF($U15=0,0,IF($F15=4,0,IF($F15=3,0,IF(OR(99&gt;$R15,EM15&lt;=$I15),EM15,EM15-MIN(INT(ROUND(IF($F15=1,$C15*$J15,IF(IL15&gt;0,IL15*$K15,EM15*$J15))*IF(99=$R15,$S15,12)/12,6)+$B$4),EM15-$I15)))))</f>
        <v/>
      </c>
      <c r="EO15" s="68">
        <f>IF($U15=0,0,IF($F15=4,0,IF($F15=3,0,IF(OR(100&gt;$R15,EN15&lt;=$I15),EN15,EN15-MIN(INT(ROUND(IF($F15=1,$C15*$J15,IF(IM15&gt;0,IM15*$K15,EN15*$J15))*IF(100=$R15,$S15,12)/12,6)+$B$4),EN15-$I15)))))</f>
        <v/>
      </c>
      <c r="EP15" s="68">
        <f>IF($U15=0,0,IF($F15=4,0,IF($F15=3,0,IF(OR(101&gt;$R15,EO15&lt;=$I15),EO15,EO15-MIN(INT(ROUND(IF($F15=1,$C15*$J15,IF(IN15&gt;0,IN15*$K15,EO15*$J15))*IF(101=$R15,$S15,12)/12,6)+$B$4),EO15-$I15)))))</f>
        <v/>
      </c>
      <c r="EQ15" s="68" t="n"/>
      <c r="ER15" s="68">
        <f>IF(OR($U15=0,$F15&lt;&gt;2),0,IF(ROUND(AS15*$J15,6)&lt;ROUND($M15,6),AS15,0))</f>
        <v/>
      </c>
      <c r="ES15" s="68">
        <f>IF(OR($U15=0,$F15&lt;&gt;2),0,IF(ER15&gt;0,ER15,IF(ROUND(AT15*$J15,6)&lt;ROUND($M15,6),AT15,0)))</f>
        <v/>
      </c>
      <c r="ET15" s="68">
        <f>IF(OR($U15=0,$F15&lt;&gt;2),0,IF(ES15&gt;0,ES15,IF(ROUND(AU15*$J15,6)&lt;ROUND($M15,6),AU15,0)))</f>
        <v/>
      </c>
      <c r="EU15" s="68">
        <f>IF(OR($U15=0,$F15&lt;&gt;2),0,IF(ET15&gt;0,ET15,IF(ROUND(AV15*$J15,6)&lt;ROUND($M15,6),AV15,0)))</f>
        <v/>
      </c>
      <c r="EV15" s="68">
        <f>IF(OR($U15=0,$F15&lt;&gt;2),0,IF(EU15&gt;0,EU15,IF(ROUND(AW15*$J15,6)&lt;ROUND($M15,6),AW15,0)))</f>
        <v/>
      </c>
      <c r="EW15" s="68">
        <f>IF(OR($U15=0,$F15&lt;&gt;2),0,IF(EV15&gt;0,EV15,IF(ROUND(AX15*$J15,6)&lt;ROUND($M15,6),AX15,0)))</f>
        <v/>
      </c>
      <c r="EX15" s="68">
        <f>IF(OR($U15=0,$F15&lt;&gt;2),0,IF(EW15&gt;0,EW15,IF(ROUND(AY15*$J15,6)&lt;ROUND($M15,6),AY15,0)))</f>
        <v/>
      </c>
      <c r="EY15" s="68">
        <f>IF(OR($U15=0,$F15&lt;&gt;2),0,IF(EX15&gt;0,EX15,IF(ROUND(AZ15*$J15,6)&lt;ROUND($M15,6),AZ15,0)))</f>
        <v/>
      </c>
      <c r="EZ15" s="68">
        <f>IF(OR($U15=0,$F15&lt;&gt;2),0,IF(EY15&gt;0,EY15,IF(ROUND(BA15*$J15,6)&lt;ROUND($M15,6),BA15,0)))</f>
        <v/>
      </c>
      <c r="FA15" s="68">
        <f>IF(OR($U15=0,$F15&lt;&gt;2),0,IF(EZ15&gt;0,EZ15,IF(ROUND(BB15*$J15,6)&lt;ROUND($M15,6),BB15,0)))</f>
        <v/>
      </c>
      <c r="FB15" s="68">
        <f>IF(OR($U15=0,$F15&lt;&gt;2),0,IF(FA15&gt;0,FA15,IF(ROUND(BC15*$J15,6)&lt;ROUND($M15,6),BC15,0)))</f>
        <v/>
      </c>
      <c r="FC15" s="68">
        <f>IF(OR($U15=0,$F15&lt;&gt;2),0,IF(FB15&gt;0,FB15,IF(ROUND(BD15*$J15,6)&lt;ROUND($M15,6),BD15,0)))</f>
        <v/>
      </c>
      <c r="FD15" s="68">
        <f>IF(OR($U15=0,$F15&lt;&gt;2),0,IF(FC15&gt;0,FC15,IF(ROUND(BE15*$J15,6)&lt;ROUND($M15,6),BE15,0)))</f>
        <v/>
      </c>
      <c r="FE15" s="68">
        <f>IF(OR($U15=0,$F15&lt;&gt;2),0,IF(FD15&gt;0,FD15,IF(ROUND(BF15*$J15,6)&lt;ROUND($M15,6),BF15,0)))</f>
        <v/>
      </c>
      <c r="FF15" s="68">
        <f>IF(OR($U15=0,$F15&lt;&gt;2),0,IF(FE15&gt;0,FE15,IF(ROUND(BG15*$J15,6)&lt;ROUND($M15,6),BG15,0)))</f>
        <v/>
      </c>
      <c r="FG15" s="68">
        <f>IF(OR($U15=0,$F15&lt;&gt;2),0,IF(FF15&gt;0,FF15,IF(ROUND(BH15*$J15,6)&lt;ROUND($M15,6),BH15,0)))</f>
        <v/>
      </c>
      <c r="FH15" s="68">
        <f>IF(OR($U15=0,$F15&lt;&gt;2),0,IF(FG15&gt;0,FG15,IF(ROUND(BI15*$J15,6)&lt;ROUND($M15,6),BI15,0)))</f>
        <v/>
      </c>
      <c r="FI15" s="68">
        <f>IF(OR($U15=0,$F15&lt;&gt;2),0,IF(FH15&gt;0,FH15,IF(ROUND(BJ15*$J15,6)&lt;ROUND($M15,6),BJ15,0)))</f>
        <v/>
      </c>
      <c r="FJ15" s="68">
        <f>IF(OR($U15=0,$F15&lt;&gt;2),0,IF(FI15&gt;0,FI15,IF(ROUND(BK15*$J15,6)&lt;ROUND($M15,6),BK15,0)))</f>
        <v/>
      </c>
      <c r="FK15" s="68">
        <f>IF(OR($U15=0,$F15&lt;&gt;2),0,IF(FJ15&gt;0,FJ15,IF(ROUND(BL15*$J15,6)&lt;ROUND($M15,6),BL15,0)))</f>
        <v/>
      </c>
      <c r="FL15" s="68">
        <f>IF(OR($U15=0,$F15&lt;&gt;2),0,IF(FK15&gt;0,FK15,IF(ROUND(BM15*$J15,6)&lt;ROUND($M15,6),BM15,0)))</f>
        <v/>
      </c>
      <c r="FM15" s="68">
        <f>IF(OR($U15=0,$F15&lt;&gt;2),0,IF(FL15&gt;0,FL15,IF(ROUND(BN15*$J15,6)&lt;ROUND($M15,6),BN15,0)))</f>
        <v/>
      </c>
      <c r="FN15" s="68">
        <f>IF(OR($U15=0,$F15&lt;&gt;2),0,IF(FM15&gt;0,FM15,IF(ROUND(BO15*$J15,6)&lt;ROUND($M15,6),BO15,0)))</f>
        <v/>
      </c>
      <c r="FO15" s="68">
        <f>IF(OR($U15=0,$F15&lt;&gt;2),0,IF(FN15&gt;0,FN15,IF(ROUND(BP15*$J15,6)&lt;ROUND($M15,6),BP15,0)))</f>
        <v/>
      </c>
      <c r="FP15" s="68">
        <f>IF(OR($U15=0,$F15&lt;&gt;2),0,IF(FO15&gt;0,FO15,IF(ROUND(BQ15*$J15,6)&lt;ROUND($M15,6),BQ15,0)))</f>
        <v/>
      </c>
      <c r="FQ15" s="68">
        <f>IF(OR($U15=0,$F15&lt;&gt;2),0,IF(FP15&gt;0,FP15,IF(ROUND(BR15*$J15,6)&lt;ROUND($M15,6),BR15,0)))</f>
        <v/>
      </c>
      <c r="FR15" s="68">
        <f>IF(OR($U15=0,$F15&lt;&gt;2),0,IF(FQ15&gt;0,FQ15,IF(ROUND(BS15*$J15,6)&lt;ROUND($M15,6),BS15,0)))</f>
        <v/>
      </c>
      <c r="FS15" s="68">
        <f>IF(OR($U15=0,$F15&lt;&gt;2),0,IF(FR15&gt;0,FR15,IF(ROUND(BT15*$J15,6)&lt;ROUND($M15,6),BT15,0)))</f>
        <v/>
      </c>
      <c r="FT15" s="68">
        <f>IF(OR($U15=0,$F15&lt;&gt;2),0,IF(FS15&gt;0,FS15,IF(ROUND(BU15*$J15,6)&lt;ROUND($M15,6),BU15,0)))</f>
        <v/>
      </c>
      <c r="FU15" s="68">
        <f>IF(OR($U15=0,$F15&lt;&gt;2),0,IF(FT15&gt;0,FT15,IF(ROUND(BV15*$J15,6)&lt;ROUND($M15,6),BV15,0)))</f>
        <v/>
      </c>
      <c r="FV15" s="68">
        <f>IF(OR($U15=0,$F15&lt;&gt;2),0,IF(FU15&gt;0,FU15,IF(ROUND(BW15*$J15,6)&lt;ROUND($M15,6),BW15,0)))</f>
        <v/>
      </c>
      <c r="FW15" s="68">
        <f>IF(OR($U15=0,$F15&lt;&gt;2),0,IF(FV15&gt;0,FV15,IF(ROUND(BX15*$J15,6)&lt;ROUND($M15,6),BX15,0)))</f>
        <v/>
      </c>
      <c r="FX15" s="68">
        <f>IF(OR($U15=0,$F15&lt;&gt;2),0,IF(FW15&gt;0,FW15,IF(ROUND(BY15*$J15,6)&lt;ROUND($M15,6),BY15,0)))</f>
        <v/>
      </c>
      <c r="FY15" s="68">
        <f>IF(OR($U15=0,$F15&lt;&gt;2),0,IF(FX15&gt;0,FX15,IF(ROUND(BZ15*$J15,6)&lt;ROUND($M15,6),BZ15,0)))</f>
        <v/>
      </c>
      <c r="FZ15" s="68">
        <f>IF(OR($U15=0,$F15&lt;&gt;2),0,IF(FY15&gt;0,FY15,IF(ROUND(CA15*$J15,6)&lt;ROUND($M15,6),CA15,0)))</f>
        <v/>
      </c>
      <c r="GA15" s="68">
        <f>IF(OR($U15=0,$F15&lt;&gt;2),0,IF(FZ15&gt;0,FZ15,IF(ROUND(CB15*$J15,6)&lt;ROUND($M15,6),CB15,0)))</f>
        <v/>
      </c>
      <c r="GB15" s="68">
        <f>IF(OR($U15=0,$F15&lt;&gt;2),0,IF(GA15&gt;0,GA15,IF(ROUND(CC15*$J15,6)&lt;ROUND($M15,6),CC15,0)))</f>
        <v/>
      </c>
      <c r="GC15" s="68">
        <f>IF(OR($U15=0,$F15&lt;&gt;2),0,IF(GB15&gt;0,GB15,IF(ROUND(CD15*$J15,6)&lt;ROUND($M15,6),CD15,0)))</f>
        <v/>
      </c>
      <c r="GD15" s="68">
        <f>IF(OR($U15=0,$F15&lt;&gt;2),0,IF(GC15&gt;0,GC15,IF(ROUND(CE15*$J15,6)&lt;ROUND($M15,6),CE15,0)))</f>
        <v/>
      </c>
      <c r="GE15" s="68">
        <f>IF(OR($U15=0,$F15&lt;&gt;2),0,IF(GD15&gt;0,GD15,IF(ROUND(CF15*$J15,6)&lt;ROUND($M15,6),CF15,0)))</f>
        <v/>
      </c>
      <c r="GF15" s="68">
        <f>IF(OR($U15=0,$F15&lt;&gt;2),0,IF(GE15&gt;0,GE15,IF(ROUND(CG15*$J15,6)&lt;ROUND($M15,6),CG15,0)))</f>
        <v/>
      </c>
      <c r="GG15" s="68">
        <f>IF(OR($U15=0,$F15&lt;&gt;2),0,IF(GF15&gt;0,GF15,IF(ROUND(CH15*$J15,6)&lt;ROUND($M15,6),CH15,0)))</f>
        <v/>
      </c>
      <c r="GH15" s="68">
        <f>IF(OR($U15=0,$F15&lt;&gt;2),0,IF(GG15&gt;0,GG15,IF(ROUND(CI15*$J15,6)&lt;ROUND($M15,6),CI15,0)))</f>
        <v/>
      </c>
      <c r="GI15" s="68">
        <f>IF(OR($U15=0,$F15&lt;&gt;2),0,IF(GH15&gt;0,GH15,IF(ROUND(CJ15*$J15,6)&lt;ROUND($M15,6),CJ15,0)))</f>
        <v/>
      </c>
      <c r="GJ15" s="68">
        <f>IF(OR($U15=0,$F15&lt;&gt;2),0,IF(GI15&gt;0,GI15,IF(ROUND(CK15*$J15,6)&lt;ROUND($M15,6),CK15,0)))</f>
        <v/>
      </c>
      <c r="GK15" s="68">
        <f>IF(OR($U15=0,$F15&lt;&gt;2),0,IF(GJ15&gt;0,GJ15,IF(ROUND(CL15*$J15,6)&lt;ROUND($M15,6),CL15,0)))</f>
        <v/>
      </c>
      <c r="GL15" s="68">
        <f>IF(OR($U15=0,$F15&lt;&gt;2),0,IF(GK15&gt;0,GK15,IF(ROUND(CM15*$J15,6)&lt;ROUND($M15,6),CM15,0)))</f>
        <v/>
      </c>
      <c r="GM15" s="68">
        <f>IF(OR($U15=0,$F15&lt;&gt;2),0,IF(GL15&gt;0,GL15,IF(ROUND(CN15*$J15,6)&lt;ROUND($M15,6),CN15,0)))</f>
        <v/>
      </c>
      <c r="GN15" s="68">
        <f>IF(OR($U15=0,$F15&lt;&gt;2),0,IF(GM15&gt;0,GM15,IF(ROUND(CO15*$J15,6)&lt;ROUND($M15,6),CO15,0)))</f>
        <v/>
      </c>
      <c r="GO15" s="68">
        <f>IF(OR($U15=0,$F15&lt;&gt;2),0,IF(GN15&gt;0,GN15,IF(ROUND(CP15*$J15,6)&lt;ROUND($M15,6),CP15,0)))</f>
        <v/>
      </c>
      <c r="GP15" s="68">
        <f>IF(OR($U15=0,$F15&lt;&gt;2),0,IF(GO15&gt;0,GO15,IF(ROUND(CQ15*$J15,6)&lt;ROUND($M15,6),CQ15,0)))</f>
        <v/>
      </c>
      <c r="GQ15" s="68">
        <f>IF(OR($U15=0,$F15&lt;&gt;2),0,IF(GP15&gt;0,GP15,IF(ROUND(CR15*$J15,6)&lt;ROUND($M15,6),CR15,0)))</f>
        <v/>
      </c>
      <c r="GR15" s="68">
        <f>IF(OR($U15=0,$F15&lt;&gt;2),0,IF(GQ15&gt;0,GQ15,IF(ROUND(CS15*$J15,6)&lt;ROUND($M15,6),CS15,0)))</f>
        <v/>
      </c>
      <c r="GS15" s="68">
        <f>IF(OR($U15=0,$F15&lt;&gt;2),0,IF(GR15&gt;0,GR15,IF(ROUND(CT15*$J15,6)&lt;ROUND($M15,6),CT15,0)))</f>
        <v/>
      </c>
      <c r="GT15" s="68">
        <f>IF(OR($U15=0,$F15&lt;&gt;2),0,IF(GS15&gt;0,GS15,IF(ROUND(CU15*$J15,6)&lt;ROUND($M15,6),CU15,0)))</f>
        <v/>
      </c>
      <c r="GU15" s="68">
        <f>IF(OR($U15=0,$F15&lt;&gt;2),0,IF(GT15&gt;0,GT15,IF(ROUND(CV15*$J15,6)&lt;ROUND($M15,6),CV15,0)))</f>
        <v/>
      </c>
      <c r="GV15" s="68">
        <f>IF(OR($U15=0,$F15&lt;&gt;2),0,IF(GU15&gt;0,GU15,IF(ROUND(CW15*$J15,6)&lt;ROUND($M15,6),CW15,0)))</f>
        <v/>
      </c>
      <c r="GW15" s="68">
        <f>IF(OR($U15=0,$F15&lt;&gt;2),0,IF(GV15&gt;0,GV15,IF(ROUND(CX15*$J15,6)&lt;ROUND($M15,6),CX15,0)))</f>
        <v/>
      </c>
      <c r="GX15" s="68">
        <f>IF(OR($U15=0,$F15&lt;&gt;2),0,IF(GW15&gt;0,GW15,IF(ROUND(CY15*$J15,6)&lt;ROUND($M15,6),CY15,0)))</f>
        <v/>
      </c>
      <c r="GY15" s="68">
        <f>IF(OR($U15=0,$F15&lt;&gt;2),0,IF(GX15&gt;0,GX15,IF(ROUND(CZ15*$J15,6)&lt;ROUND($M15,6),CZ15,0)))</f>
        <v/>
      </c>
      <c r="GZ15" s="68">
        <f>IF(OR($U15=0,$F15&lt;&gt;2),0,IF(GY15&gt;0,GY15,IF(ROUND(DA15*$J15,6)&lt;ROUND($M15,6),DA15,0)))</f>
        <v/>
      </c>
      <c r="HA15" s="68">
        <f>IF(OR($U15=0,$F15&lt;&gt;2),0,IF(GZ15&gt;0,GZ15,IF(ROUND(DB15*$J15,6)&lt;ROUND($M15,6),DB15,0)))</f>
        <v/>
      </c>
      <c r="HB15" s="68">
        <f>IF(OR($U15=0,$F15&lt;&gt;2),0,IF(HA15&gt;0,HA15,IF(ROUND(DC15*$J15,6)&lt;ROUND($M15,6),DC15,0)))</f>
        <v/>
      </c>
      <c r="HC15" s="68">
        <f>IF(OR($U15=0,$F15&lt;&gt;2),0,IF(HB15&gt;0,HB15,IF(ROUND(DD15*$J15,6)&lt;ROUND($M15,6),DD15,0)))</f>
        <v/>
      </c>
      <c r="HD15" s="68">
        <f>IF(OR($U15=0,$F15&lt;&gt;2),0,IF(HC15&gt;0,HC15,IF(ROUND(DE15*$J15,6)&lt;ROUND($M15,6),DE15,0)))</f>
        <v/>
      </c>
      <c r="HE15" s="68">
        <f>IF(OR($U15=0,$F15&lt;&gt;2),0,IF(HD15&gt;0,HD15,IF(ROUND(DF15*$J15,6)&lt;ROUND($M15,6),DF15,0)))</f>
        <v/>
      </c>
      <c r="HF15" s="68">
        <f>IF(OR($U15=0,$F15&lt;&gt;2),0,IF(HE15&gt;0,HE15,IF(ROUND(DG15*$J15,6)&lt;ROUND($M15,6),DG15,0)))</f>
        <v/>
      </c>
      <c r="HG15" s="68">
        <f>IF(OR($U15=0,$F15&lt;&gt;2),0,IF(HF15&gt;0,HF15,IF(ROUND(DH15*$J15,6)&lt;ROUND($M15,6),DH15,0)))</f>
        <v/>
      </c>
      <c r="HH15" s="68">
        <f>IF(OR($U15=0,$F15&lt;&gt;2),0,IF(HG15&gt;0,HG15,IF(ROUND(DI15*$J15,6)&lt;ROUND($M15,6),DI15,0)))</f>
        <v/>
      </c>
      <c r="HI15" s="68">
        <f>IF(OR($U15=0,$F15&lt;&gt;2),0,IF(HH15&gt;0,HH15,IF(ROUND(DJ15*$J15,6)&lt;ROUND($M15,6),DJ15,0)))</f>
        <v/>
      </c>
      <c r="HJ15" s="68">
        <f>IF(OR($U15=0,$F15&lt;&gt;2),0,IF(HI15&gt;0,HI15,IF(ROUND(DK15*$J15,6)&lt;ROUND($M15,6),DK15,0)))</f>
        <v/>
      </c>
      <c r="HK15" s="68">
        <f>IF(OR($U15=0,$F15&lt;&gt;2),0,IF(HJ15&gt;0,HJ15,IF(ROUND(DL15*$J15,6)&lt;ROUND($M15,6),DL15,0)))</f>
        <v/>
      </c>
      <c r="HL15" s="68">
        <f>IF(OR($U15=0,$F15&lt;&gt;2),0,IF(HK15&gt;0,HK15,IF(ROUND(DM15*$J15,6)&lt;ROUND($M15,6),DM15,0)))</f>
        <v/>
      </c>
      <c r="HM15" s="68">
        <f>IF(OR($U15=0,$F15&lt;&gt;2),0,IF(HL15&gt;0,HL15,IF(ROUND(DN15*$J15,6)&lt;ROUND($M15,6),DN15,0)))</f>
        <v/>
      </c>
      <c r="HN15" s="68">
        <f>IF(OR($U15=0,$F15&lt;&gt;2),0,IF(HM15&gt;0,HM15,IF(ROUND(DO15*$J15,6)&lt;ROUND($M15,6),DO15,0)))</f>
        <v/>
      </c>
      <c r="HO15" s="68">
        <f>IF(OR($U15=0,$F15&lt;&gt;2),0,IF(HN15&gt;0,HN15,IF(ROUND(DP15*$J15,6)&lt;ROUND($M15,6),DP15,0)))</f>
        <v/>
      </c>
      <c r="HP15" s="68">
        <f>IF(OR($U15=0,$F15&lt;&gt;2),0,IF(HO15&gt;0,HO15,IF(ROUND(DQ15*$J15,6)&lt;ROUND($M15,6),DQ15,0)))</f>
        <v/>
      </c>
      <c r="HQ15" s="68">
        <f>IF(OR($U15=0,$F15&lt;&gt;2),0,IF(HP15&gt;0,HP15,IF(ROUND(DR15*$J15,6)&lt;ROUND($M15,6),DR15,0)))</f>
        <v/>
      </c>
      <c r="HR15" s="68">
        <f>IF(OR($U15=0,$F15&lt;&gt;2),0,IF(HQ15&gt;0,HQ15,IF(ROUND(DS15*$J15,6)&lt;ROUND($M15,6),DS15,0)))</f>
        <v/>
      </c>
      <c r="HS15" s="68">
        <f>IF(OR($U15=0,$F15&lt;&gt;2),0,IF(HR15&gt;0,HR15,IF(ROUND(DT15*$J15,6)&lt;ROUND($M15,6),DT15,0)))</f>
        <v/>
      </c>
      <c r="HT15" s="68">
        <f>IF(OR($U15=0,$F15&lt;&gt;2),0,IF(HS15&gt;0,HS15,IF(ROUND(DU15*$J15,6)&lt;ROUND($M15,6),DU15,0)))</f>
        <v/>
      </c>
      <c r="HU15" s="68">
        <f>IF(OR($U15=0,$F15&lt;&gt;2),0,IF(HT15&gt;0,HT15,IF(ROUND(DV15*$J15,6)&lt;ROUND($M15,6),DV15,0)))</f>
        <v/>
      </c>
      <c r="HV15" s="68">
        <f>IF(OR($U15=0,$F15&lt;&gt;2),0,IF(HU15&gt;0,HU15,IF(ROUND(DW15*$J15,6)&lt;ROUND($M15,6),DW15,0)))</f>
        <v/>
      </c>
      <c r="HW15" s="68">
        <f>IF(OR($U15=0,$F15&lt;&gt;2),0,IF(HV15&gt;0,HV15,IF(ROUND(DX15*$J15,6)&lt;ROUND($M15,6),DX15,0)))</f>
        <v/>
      </c>
      <c r="HX15" s="68">
        <f>IF(OR($U15=0,$F15&lt;&gt;2),0,IF(HW15&gt;0,HW15,IF(ROUND(DY15*$J15,6)&lt;ROUND($M15,6),DY15,0)))</f>
        <v/>
      </c>
      <c r="HY15" s="68">
        <f>IF(OR($U15=0,$F15&lt;&gt;2),0,IF(HX15&gt;0,HX15,IF(ROUND(DZ15*$J15,6)&lt;ROUND($M15,6),DZ15,0)))</f>
        <v/>
      </c>
      <c r="HZ15" s="68">
        <f>IF(OR($U15=0,$F15&lt;&gt;2),0,IF(HY15&gt;0,HY15,IF(ROUND(EA15*$J15,6)&lt;ROUND($M15,6),EA15,0)))</f>
        <v/>
      </c>
      <c r="IA15" s="68">
        <f>IF(OR($U15=0,$F15&lt;&gt;2),0,IF(HZ15&gt;0,HZ15,IF(ROUND(EB15*$J15,6)&lt;ROUND($M15,6),EB15,0)))</f>
        <v/>
      </c>
      <c r="IB15" s="68">
        <f>IF(OR($U15=0,$F15&lt;&gt;2),0,IF(IA15&gt;0,IA15,IF(ROUND(EC15*$J15,6)&lt;ROUND($M15,6),EC15,0)))</f>
        <v/>
      </c>
      <c r="IC15" s="68">
        <f>IF(OR($U15=0,$F15&lt;&gt;2),0,IF(IB15&gt;0,IB15,IF(ROUND(ED15*$J15,6)&lt;ROUND($M15,6),ED15,0)))</f>
        <v/>
      </c>
      <c r="ID15" s="68">
        <f>IF(OR($U15=0,$F15&lt;&gt;2),0,IF(IC15&gt;0,IC15,IF(ROUND(EE15*$J15,6)&lt;ROUND($M15,6),EE15,0)))</f>
        <v/>
      </c>
      <c r="IE15" s="68">
        <f>IF(OR($U15=0,$F15&lt;&gt;2),0,IF(ID15&gt;0,ID15,IF(ROUND(EF15*$J15,6)&lt;ROUND($M15,6),EF15,0)))</f>
        <v/>
      </c>
      <c r="IF15" s="68">
        <f>IF(OR($U15=0,$F15&lt;&gt;2),0,IF(IE15&gt;0,IE15,IF(ROUND(EG15*$J15,6)&lt;ROUND($M15,6),EG15,0)))</f>
        <v/>
      </c>
      <c r="IG15" s="68">
        <f>IF(OR($U15=0,$F15&lt;&gt;2),0,IF(IF15&gt;0,IF15,IF(ROUND(EH15*$J15,6)&lt;ROUND($M15,6),EH15,0)))</f>
        <v/>
      </c>
      <c r="IH15" s="68">
        <f>IF(OR($U15=0,$F15&lt;&gt;2),0,IF(IG15&gt;0,IG15,IF(ROUND(EI15*$J15,6)&lt;ROUND($M15,6),EI15,0)))</f>
        <v/>
      </c>
      <c r="II15" s="68">
        <f>IF(OR($U15=0,$F15&lt;&gt;2),0,IF(IH15&gt;0,IH15,IF(ROUND(EJ15*$J15,6)&lt;ROUND($M15,6),EJ15,0)))</f>
        <v/>
      </c>
      <c r="IJ15" s="68">
        <f>IF(OR($U15=0,$F15&lt;&gt;2),0,IF(II15&gt;0,II15,IF(ROUND(EK15*$J15,6)&lt;ROUND($M15,6),EK15,0)))</f>
        <v/>
      </c>
      <c r="IK15" s="68">
        <f>IF(OR($U15=0,$F15&lt;&gt;2),0,IF(IJ15&gt;0,IJ15,IF(ROUND(EL15*$J15,6)&lt;ROUND($M15,6),EL15,0)))</f>
        <v/>
      </c>
      <c r="IL15" s="68">
        <f>IF(OR($U15=0,$F15&lt;&gt;2),0,IF(IK15&gt;0,IK15,IF(ROUND(EM15*$J15,6)&lt;ROUND($M15,6),EM15,0)))</f>
        <v/>
      </c>
      <c r="IM15" s="68">
        <f>IF(OR($U15=0,$F15&lt;&gt;2),0,IF(IL15&gt;0,IL15,IF(ROUND(EN15*$J15,6)&lt;ROUND($M15,6),EN15,0)))</f>
        <v/>
      </c>
      <c r="IN15" s="68">
        <f>IF(OR($U15=0,$F15&lt;&gt;2),0,IF(IM15&gt;0,IM15,IF(ROUND(EO15*$J15,6)&lt;ROUND($M15,6),EO15,0)))</f>
        <v/>
      </c>
    </row>
    <row r="16">
      <c r="A16" s="68" t="n">
        <v>11</v>
      </c>
      <c r="B16" s="68">
        <f>IF(OR(TRIM('固定資産台帳'!$B16)&lt;&gt;"",'固定資産台帳'!$E16&lt;&gt;"",'固定資産台帳'!$G16&lt;&gt;"",'固定資産台帳'!$H16&lt;&gt;""),1,0)</f>
        <v/>
      </c>
      <c r="C16" s="68">
        <f>IF(ISNUMBER('固定資産台帳'!$G16),MAX(ROUND('固定資産台帳'!$G16,0),0),0)</f>
        <v/>
      </c>
      <c r="D16" s="84">
        <f>IF(ISNUMBER('固定資産台帳'!$E16),INT('固定資産台帳'!$E16),0)</f>
        <v/>
      </c>
      <c r="E16" s="84">
        <f>IF(ISNUMBER('固定資産台帳'!$F16),INT('固定資産台帳'!$F16),$D16)</f>
        <v/>
      </c>
      <c r="F16" s="68">
        <f>IF('固定資産台帳'!$H16="定額法",1,IF(OR('固定資産台帳'!$H16="定率法",'固定資産台帳'!$H16="定率法（200%）",'固定資産台帳'!$H16="定率法（250%）"),2,IF('固定資産台帳'!$H16="一括償却（3年）",3,IF('固定資産台帳'!$H16="少額特例",4,0))))</f>
        <v/>
      </c>
      <c r="G16" s="68">
        <f>IF('固定資産台帳'!$H16="定率法（250%）",250,IF('固定資産台帳'!$H16="定率法（200%）",200,IF($D16&gt;=DATE(2012,4,1),200,250)))</f>
        <v/>
      </c>
      <c r="H16" s="68">
        <f>IF(ISNUMBER('固定資産台帳'!$I16),IF(AND('固定資産台帳'!$I16&gt;=2,'固定資産台帳'!$I16&lt;=100,'固定資産台帳'!$I16=INT('固定資産台帳'!$I16)),'固定資産台帳'!$I16,0),0)</f>
        <v/>
      </c>
      <c r="I16" s="68">
        <f>IF('固定資産台帳'!$C16="無形固定資産",0,1)</f>
        <v/>
      </c>
      <c r="J16" s="68">
        <f>IF(OR($H16=0,$F16=0,$F16&gt;2),0,IF($F16=1,INDEX('償却率表'!$B$6:$B$104,$H16-1),IF($G16=200,INDEX('償却率表'!$C$6:$C$104,$H16-1),INDEX('償却率表'!$F$6:$F$104,$H16-1))))</f>
        <v/>
      </c>
      <c r="K16" s="68">
        <f>IF(AND($F16=2,$H16&gt;0),IF($G16=200,INDEX('償却率表'!$D$6:$D$104,$H16-1),INDEX('償却率表'!$G$6:$G$104,$H16-1)),0)</f>
        <v/>
      </c>
      <c r="L16" s="68">
        <f>IF(AND($F16=2,$H16&gt;0),IF($G16=200,INDEX('償却率表'!$E$6:$E$104,$H16-1),INDEX('償却率表'!$H$6:$H$104,$H16-1)),0)</f>
        <v/>
      </c>
      <c r="M16" s="68">
        <f>$C16*$L16</f>
        <v/>
      </c>
      <c r="N16" s="68">
        <f>IF($B$1=1,1,IF('固定資産台帳'!$J16="",1,IF(ISNUMBER('固定資産台帳'!$J16),IF(AND('固定資産台帳'!$J16&gt;0,'固定資産台帳'!$J16&lt;=1),'固定資産台帳'!$J16,0),0)))</f>
        <v/>
      </c>
      <c r="O16" s="68">
        <f>IF($E16=0,0,YEAR($E16)-IF(MONTH($E16)&lt;$B$2,1,0))</f>
        <v/>
      </c>
      <c r="P16" s="68">
        <f>IF($E16=0,0,12-MOD(MONTH($E16)-$B$2,12))</f>
        <v/>
      </c>
      <c r="Q16" s="84">
        <f>IF(ISNUMBER('固定資産台帳'!$K16),INT('固定資産台帳'!$K16),0)</f>
        <v/>
      </c>
      <c r="R16" s="68">
        <f>IF(OR($Q16=0,$E16=0),999,YEAR($Q16)-IF(MONTH($Q16)&lt;$B$2,1,0)-$O16)</f>
        <v/>
      </c>
      <c r="S16" s="68">
        <f>IF($R16=999,0,MOD(MONTH($Q16)-$B$2,12)+1-IF($R16=0,12-$P16,0))</f>
        <v/>
      </c>
      <c r="T16" s="68">
        <f>IF($B16=0,0,IF($C16&lt;=0,1,IF($D16=0,2,IF($F16=0,3,IF(AND($F16&lt;=2,$H16=0),4,IF(AND($F16&lt;=2,$D16&lt;DATE(2007,4,1)),5,IF($E16&lt;$D16,6,IF(AND($Q16&gt;0,$Q16&lt;$E16),7,IF($N16=0,8,IF($B$3=0,9,0))))))))))</f>
        <v/>
      </c>
      <c r="U16" s="68">
        <f>IF(AND($B16=1,$T16=0),1,0)</f>
        <v/>
      </c>
      <c r="V16" s="68">
        <f>$B$3-$O16</f>
        <v/>
      </c>
      <c r="W16" s="68">
        <f>IF(AND($U16=1,$V16&gt;=0),1,0)</f>
        <v/>
      </c>
      <c r="X16" s="68">
        <f>IF($W16=0,0,IF($V16=0,$C16,INDEX($AS16:$EP16,MIN($V16,102))))</f>
        <v/>
      </c>
      <c r="Y16" s="68">
        <f>IF($W16=0,0,INDEX($AS16:$EP16,MIN($V16,101)+1))</f>
        <v/>
      </c>
      <c r="Z16" s="68">
        <f>$X16-$Y16</f>
        <v/>
      </c>
      <c r="AA16" s="68">
        <f>IF(AND($W16=1,$F16=2,$V16&gt;=1),INDEX($ER16:$IN16,MIN($V16,101)),0)</f>
        <v/>
      </c>
      <c r="AB16" s="68">
        <f>IF(OR($W16=0,$F16&gt;2,$Z16=0),0,IF($V16=0,IF($R16=0,$S16,$P16),IF($V16=$R16,$S16,12)))</f>
        <v/>
      </c>
      <c r="AC16" s="68">
        <f>IF($W16=0,0,INT(ROUND($Z16*$N16,6)+$B$4))</f>
        <v/>
      </c>
      <c r="AD16" s="68">
        <f>IF(AND($W16=1,$F16&lt;=2,$V16=$R16),1,0)</f>
        <v/>
      </c>
      <c r="AE16" s="68">
        <f>IF(AND($W16=1,$F16&lt;=2,$V16&gt;$R16),1,0)</f>
        <v/>
      </c>
      <c r="AF16" s="68">
        <f>IF(AND($W16=1,$AE16=0,OR($Z16&gt;0,$AD16=1)),1,0)</f>
        <v/>
      </c>
      <c r="AG16" s="68">
        <f>IF($AF16=1,SUM($AF$6:$AF16),0)</f>
        <v/>
      </c>
      <c r="AH16" s="68">
        <f>IF($T16=0,"",CHOOSE($T16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6" s="68">
        <f>IF(AND($F16=2,OR('固定資産台帳'!$C16="建物",'固定資産台帳'!$C16="無形固定資産",AND(OR('固定資産台帳'!$C16="建物附属設備",'固定資産台帳'!$C16="構築物"),$D16&gt;=DATE(2016,4,1)))),"この資産は定額法だけです（定率法は使えません）。","")&amp;IF(AND($F16=3,$C16&gt;=200000),"一括償却は20万円未満の資産だけです。","")&amp;IF(AND($F16=3,$B$1=0,$C16&lt;100000),"10万円未満は一括償却にせず、全額をその年の経費にします。","")&amp;IF(AND($F16=4,$C16&lt;100000),"10万円未満は少額特例ではなく、全額をその年の経費にします。","")&amp;IF(AND($F16=4,$D16&lt;DATE(2026,4,1),$C16&gt;=300000),"2026年3月31日までの取得で少額特例が使えるのは30万円未満です。","")&amp;IF(AND($F16=4,$D16&gt;=DATE(2026,4,1),$C16&gt;=400000),"少額特例は40万円未満の資産だけです。","")&amp;IF(AND($F16=4,OR($D16&lt;DATE(2006,4,1),$D16&gt;DATE(2029,3,31))),"少額特例は2006年4月1日〜2029年3月31日に取得した資産だけです。","")&amp;IF(AND($F16=2,$G16=250,$D16&gt;DATE(2012,12,31)),"250%定率法は2012年12月31日までの取得だけです。","")</f>
        <v/>
      </c>
      <c r="AJ16" s="68">
        <f>IF(AND($F16=2,'固定資産台帳'!$H16="定率法（200%）",$D16&lt;DATE(2012,4,1)),"2012年3月31日までの取得に200%を使うのは、経過措置の届出をした場合です。","")&amp;IF(AND($F16=2,'固定資産台帳'!$H16="定率法（250%）",$D16&gt;=DATE(2012,4,1),$D16&lt;=DATE(2012,12,31)),"2012年4〜12月の取得に250%を使うのは、経過措置を選んだ場合です。","")</f>
        <v/>
      </c>
      <c r="AK16" s="68">
        <f>IF($U16=0,"",IF($V16&lt;0,"表示している年より後に使い始める資産です。",IF($AE16=1,"売却・除却済みです。",IF($AD16=1,"この年に売却・除却。期末の帳簿価額 "&amp;TEXT($Y16,"#,##0")&amp;"円を帳簿から外します。",IF($F16=4,IF($V16=0,"少額特例：この年に全額を経費にします。","少額特例で経費にした資産です。"),IF($F16=3,IF($V16&gt;2,"一括償却は終わっています。","一括償却 "&amp;($V16+1)&amp;"年目（3年のうち）。"),IF($Z16=0,"償却済み（帳簿価額 "&amp;TEXT($Y16,"#,##0")&amp;"円）。",IF($AA16&gt;0,"改定償却率で計算（改定取得価額 "&amp;TEXT($AA16,"#,##0")&amp;"円）。",IF($V16=0,"この年に使い始め（"&amp;$AB16&amp;"か月分）。","")))))))))</f>
        <v/>
      </c>
      <c r="AL16" s="68">
        <f>IF(AND($U16=1,$F16=4,$V16=0),$C16,0)</f>
        <v/>
      </c>
      <c r="AM16" s="68">
        <f>IF($F16=2,INT(ROUND($M16,6)+$B$4),0)</f>
        <v/>
      </c>
      <c r="AN16" s="68">
        <f>IF($W16=0,0,IF($F16=2,IF($AA16&gt;0,$AA16,$X16),$C16))</f>
        <v/>
      </c>
      <c r="AO16" s="68">
        <f>IF($W16=0,"",IF($F16=3,"1/3",IF($F16=4,"―",IF($AA16&gt;0,$K16,$J16))))</f>
        <v/>
      </c>
      <c r="AP16" s="68" t="n"/>
      <c r="AQ16" s="68" t="n"/>
      <c r="AR16" s="68" t="n"/>
      <c r="AS16" s="68">
        <f>IF($U16=0,0,IF($F16=4,0,IF($F16=3,MAX($C16-INT(ROUND($C16/3,6)+$B$4),0),$C16-MIN(INT(ROUND($C16*$J16*IF($R16=0,$S16,$P16)/12,6)+$B$4),MAX($C16-$I16,0)))))</f>
        <v/>
      </c>
      <c r="AT16" s="68">
        <f>IF($U16=0,0,IF($F16=4,0,IF($F16=3,AS16-MIN(INT(ROUND($C16/3,6)+$B$4),AS16),IF(OR(1&gt;$R16,AS16&lt;=$I16),AS16,AS16-MIN(INT(ROUND(IF($F16=1,$C16*$J16,IF(ER16&gt;0,ER16*$K16,AS16*$J16))*IF(1=$R16,$S16,12)/12,6)+$B$4),AS16-$I16)))))</f>
        <v/>
      </c>
      <c r="AU16" s="68">
        <f>IF($U16=0,0,IF($F16=4,0,IF($F16=3,0,IF(OR(2&gt;$R16,AT16&lt;=$I16),AT16,AT16-MIN(INT(ROUND(IF($F16=1,$C16*$J16,IF(ES16&gt;0,ES16*$K16,AT16*$J16))*IF(2=$R16,$S16,12)/12,6)+$B$4),AT16-$I16)))))</f>
        <v/>
      </c>
      <c r="AV16" s="68">
        <f>IF($U16=0,0,IF($F16=4,0,IF($F16=3,0,IF(OR(3&gt;$R16,AU16&lt;=$I16),AU16,AU16-MIN(INT(ROUND(IF($F16=1,$C16*$J16,IF(ET16&gt;0,ET16*$K16,AU16*$J16))*IF(3=$R16,$S16,12)/12,6)+$B$4),AU16-$I16)))))</f>
        <v/>
      </c>
      <c r="AW16" s="68">
        <f>IF($U16=0,0,IF($F16=4,0,IF($F16=3,0,IF(OR(4&gt;$R16,AV16&lt;=$I16),AV16,AV16-MIN(INT(ROUND(IF($F16=1,$C16*$J16,IF(EU16&gt;0,EU16*$K16,AV16*$J16))*IF(4=$R16,$S16,12)/12,6)+$B$4),AV16-$I16)))))</f>
        <v/>
      </c>
      <c r="AX16" s="68">
        <f>IF($U16=0,0,IF($F16=4,0,IF($F16=3,0,IF(OR(5&gt;$R16,AW16&lt;=$I16),AW16,AW16-MIN(INT(ROUND(IF($F16=1,$C16*$J16,IF(EV16&gt;0,EV16*$K16,AW16*$J16))*IF(5=$R16,$S16,12)/12,6)+$B$4),AW16-$I16)))))</f>
        <v/>
      </c>
      <c r="AY16" s="68">
        <f>IF($U16=0,0,IF($F16=4,0,IF($F16=3,0,IF(OR(6&gt;$R16,AX16&lt;=$I16),AX16,AX16-MIN(INT(ROUND(IF($F16=1,$C16*$J16,IF(EW16&gt;0,EW16*$K16,AX16*$J16))*IF(6=$R16,$S16,12)/12,6)+$B$4),AX16-$I16)))))</f>
        <v/>
      </c>
      <c r="AZ16" s="68">
        <f>IF($U16=0,0,IF($F16=4,0,IF($F16=3,0,IF(OR(7&gt;$R16,AY16&lt;=$I16),AY16,AY16-MIN(INT(ROUND(IF($F16=1,$C16*$J16,IF(EX16&gt;0,EX16*$K16,AY16*$J16))*IF(7=$R16,$S16,12)/12,6)+$B$4),AY16-$I16)))))</f>
        <v/>
      </c>
      <c r="BA16" s="68">
        <f>IF($U16=0,0,IF($F16=4,0,IF($F16=3,0,IF(OR(8&gt;$R16,AZ16&lt;=$I16),AZ16,AZ16-MIN(INT(ROUND(IF($F16=1,$C16*$J16,IF(EY16&gt;0,EY16*$K16,AZ16*$J16))*IF(8=$R16,$S16,12)/12,6)+$B$4),AZ16-$I16)))))</f>
        <v/>
      </c>
      <c r="BB16" s="68">
        <f>IF($U16=0,0,IF($F16=4,0,IF($F16=3,0,IF(OR(9&gt;$R16,BA16&lt;=$I16),BA16,BA16-MIN(INT(ROUND(IF($F16=1,$C16*$J16,IF(EZ16&gt;0,EZ16*$K16,BA16*$J16))*IF(9=$R16,$S16,12)/12,6)+$B$4),BA16-$I16)))))</f>
        <v/>
      </c>
      <c r="BC16" s="68">
        <f>IF($U16=0,0,IF($F16=4,0,IF($F16=3,0,IF(OR(10&gt;$R16,BB16&lt;=$I16),BB16,BB16-MIN(INT(ROUND(IF($F16=1,$C16*$J16,IF(FA16&gt;0,FA16*$K16,BB16*$J16))*IF(10=$R16,$S16,12)/12,6)+$B$4),BB16-$I16)))))</f>
        <v/>
      </c>
      <c r="BD16" s="68">
        <f>IF($U16=0,0,IF($F16=4,0,IF($F16=3,0,IF(OR(11&gt;$R16,BC16&lt;=$I16),BC16,BC16-MIN(INT(ROUND(IF($F16=1,$C16*$J16,IF(FB16&gt;0,FB16*$K16,BC16*$J16))*IF(11=$R16,$S16,12)/12,6)+$B$4),BC16-$I16)))))</f>
        <v/>
      </c>
      <c r="BE16" s="68">
        <f>IF($U16=0,0,IF($F16=4,0,IF($F16=3,0,IF(OR(12&gt;$R16,BD16&lt;=$I16),BD16,BD16-MIN(INT(ROUND(IF($F16=1,$C16*$J16,IF(FC16&gt;0,FC16*$K16,BD16*$J16))*IF(12=$R16,$S16,12)/12,6)+$B$4),BD16-$I16)))))</f>
        <v/>
      </c>
      <c r="BF16" s="68">
        <f>IF($U16=0,0,IF($F16=4,0,IF($F16=3,0,IF(OR(13&gt;$R16,BE16&lt;=$I16),BE16,BE16-MIN(INT(ROUND(IF($F16=1,$C16*$J16,IF(FD16&gt;0,FD16*$K16,BE16*$J16))*IF(13=$R16,$S16,12)/12,6)+$B$4),BE16-$I16)))))</f>
        <v/>
      </c>
      <c r="BG16" s="68">
        <f>IF($U16=0,0,IF($F16=4,0,IF($F16=3,0,IF(OR(14&gt;$R16,BF16&lt;=$I16),BF16,BF16-MIN(INT(ROUND(IF($F16=1,$C16*$J16,IF(FE16&gt;0,FE16*$K16,BF16*$J16))*IF(14=$R16,$S16,12)/12,6)+$B$4),BF16-$I16)))))</f>
        <v/>
      </c>
      <c r="BH16" s="68">
        <f>IF($U16=0,0,IF($F16=4,0,IF($F16=3,0,IF(OR(15&gt;$R16,BG16&lt;=$I16),BG16,BG16-MIN(INT(ROUND(IF($F16=1,$C16*$J16,IF(FF16&gt;0,FF16*$K16,BG16*$J16))*IF(15=$R16,$S16,12)/12,6)+$B$4),BG16-$I16)))))</f>
        <v/>
      </c>
      <c r="BI16" s="68">
        <f>IF($U16=0,0,IF($F16=4,0,IF($F16=3,0,IF(OR(16&gt;$R16,BH16&lt;=$I16),BH16,BH16-MIN(INT(ROUND(IF($F16=1,$C16*$J16,IF(FG16&gt;0,FG16*$K16,BH16*$J16))*IF(16=$R16,$S16,12)/12,6)+$B$4),BH16-$I16)))))</f>
        <v/>
      </c>
      <c r="BJ16" s="68">
        <f>IF($U16=0,0,IF($F16=4,0,IF($F16=3,0,IF(OR(17&gt;$R16,BI16&lt;=$I16),BI16,BI16-MIN(INT(ROUND(IF($F16=1,$C16*$J16,IF(FH16&gt;0,FH16*$K16,BI16*$J16))*IF(17=$R16,$S16,12)/12,6)+$B$4),BI16-$I16)))))</f>
        <v/>
      </c>
      <c r="BK16" s="68">
        <f>IF($U16=0,0,IF($F16=4,0,IF($F16=3,0,IF(OR(18&gt;$R16,BJ16&lt;=$I16),BJ16,BJ16-MIN(INT(ROUND(IF($F16=1,$C16*$J16,IF(FI16&gt;0,FI16*$K16,BJ16*$J16))*IF(18=$R16,$S16,12)/12,6)+$B$4),BJ16-$I16)))))</f>
        <v/>
      </c>
      <c r="BL16" s="68">
        <f>IF($U16=0,0,IF($F16=4,0,IF($F16=3,0,IF(OR(19&gt;$R16,BK16&lt;=$I16),BK16,BK16-MIN(INT(ROUND(IF($F16=1,$C16*$J16,IF(FJ16&gt;0,FJ16*$K16,BK16*$J16))*IF(19=$R16,$S16,12)/12,6)+$B$4),BK16-$I16)))))</f>
        <v/>
      </c>
      <c r="BM16" s="68">
        <f>IF($U16=0,0,IF($F16=4,0,IF($F16=3,0,IF(OR(20&gt;$R16,BL16&lt;=$I16),BL16,BL16-MIN(INT(ROUND(IF($F16=1,$C16*$J16,IF(FK16&gt;0,FK16*$K16,BL16*$J16))*IF(20=$R16,$S16,12)/12,6)+$B$4),BL16-$I16)))))</f>
        <v/>
      </c>
      <c r="BN16" s="68">
        <f>IF($U16=0,0,IF($F16=4,0,IF($F16=3,0,IF(OR(21&gt;$R16,BM16&lt;=$I16),BM16,BM16-MIN(INT(ROUND(IF($F16=1,$C16*$J16,IF(FL16&gt;0,FL16*$K16,BM16*$J16))*IF(21=$R16,$S16,12)/12,6)+$B$4),BM16-$I16)))))</f>
        <v/>
      </c>
      <c r="BO16" s="68">
        <f>IF($U16=0,0,IF($F16=4,0,IF($F16=3,0,IF(OR(22&gt;$R16,BN16&lt;=$I16),BN16,BN16-MIN(INT(ROUND(IF($F16=1,$C16*$J16,IF(FM16&gt;0,FM16*$K16,BN16*$J16))*IF(22=$R16,$S16,12)/12,6)+$B$4),BN16-$I16)))))</f>
        <v/>
      </c>
      <c r="BP16" s="68">
        <f>IF($U16=0,0,IF($F16=4,0,IF($F16=3,0,IF(OR(23&gt;$R16,BO16&lt;=$I16),BO16,BO16-MIN(INT(ROUND(IF($F16=1,$C16*$J16,IF(FN16&gt;0,FN16*$K16,BO16*$J16))*IF(23=$R16,$S16,12)/12,6)+$B$4),BO16-$I16)))))</f>
        <v/>
      </c>
      <c r="BQ16" s="68">
        <f>IF($U16=0,0,IF($F16=4,0,IF($F16=3,0,IF(OR(24&gt;$R16,BP16&lt;=$I16),BP16,BP16-MIN(INT(ROUND(IF($F16=1,$C16*$J16,IF(FO16&gt;0,FO16*$K16,BP16*$J16))*IF(24=$R16,$S16,12)/12,6)+$B$4),BP16-$I16)))))</f>
        <v/>
      </c>
      <c r="BR16" s="68">
        <f>IF($U16=0,0,IF($F16=4,0,IF($F16=3,0,IF(OR(25&gt;$R16,BQ16&lt;=$I16),BQ16,BQ16-MIN(INT(ROUND(IF($F16=1,$C16*$J16,IF(FP16&gt;0,FP16*$K16,BQ16*$J16))*IF(25=$R16,$S16,12)/12,6)+$B$4),BQ16-$I16)))))</f>
        <v/>
      </c>
      <c r="BS16" s="68">
        <f>IF($U16=0,0,IF($F16=4,0,IF($F16=3,0,IF(OR(26&gt;$R16,BR16&lt;=$I16),BR16,BR16-MIN(INT(ROUND(IF($F16=1,$C16*$J16,IF(FQ16&gt;0,FQ16*$K16,BR16*$J16))*IF(26=$R16,$S16,12)/12,6)+$B$4),BR16-$I16)))))</f>
        <v/>
      </c>
      <c r="BT16" s="68">
        <f>IF($U16=0,0,IF($F16=4,0,IF($F16=3,0,IF(OR(27&gt;$R16,BS16&lt;=$I16),BS16,BS16-MIN(INT(ROUND(IF($F16=1,$C16*$J16,IF(FR16&gt;0,FR16*$K16,BS16*$J16))*IF(27=$R16,$S16,12)/12,6)+$B$4),BS16-$I16)))))</f>
        <v/>
      </c>
      <c r="BU16" s="68">
        <f>IF($U16=0,0,IF($F16=4,0,IF($F16=3,0,IF(OR(28&gt;$R16,BT16&lt;=$I16),BT16,BT16-MIN(INT(ROUND(IF($F16=1,$C16*$J16,IF(FS16&gt;0,FS16*$K16,BT16*$J16))*IF(28=$R16,$S16,12)/12,6)+$B$4),BT16-$I16)))))</f>
        <v/>
      </c>
      <c r="BV16" s="68">
        <f>IF($U16=0,0,IF($F16=4,0,IF($F16=3,0,IF(OR(29&gt;$R16,BU16&lt;=$I16),BU16,BU16-MIN(INT(ROUND(IF($F16=1,$C16*$J16,IF(FT16&gt;0,FT16*$K16,BU16*$J16))*IF(29=$R16,$S16,12)/12,6)+$B$4),BU16-$I16)))))</f>
        <v/>
      </c>
      <c r="BW16" s="68">
        <f>IF($U16=0,0,IF($F16=4,0,IF($F16=3,0,IF(OR(30&gt;$R16,BV16&lt;=$I16),BV16,BV16-MIN(INT(ROUND(IF($F16=1,$C16*$J16,IF(FU16&gt;0,FU16*$K16,BV16*$J16))*IF(30=$R16,$S16,12)/12,6)+$B$4),BV16-$I16)))))</f>
        <v/>
      </c>
      <c r="BX16" s="68">
        <f>IF($U16=0,0,IF($F16=4,0,IF($F16=3,0,IF(OR(31&gt;$R16,BW16&lt;=$I16),BW16,BW16-MIN(INT(ROUND(IF($F16=1,$C16*$J16,IF(FV16&gt;0,FV16*$K16,BW16*$J16))*IF(31=$R16,$S16,12)/12,6)+$B$4),BW16-$I16)))))</f>
        <v/>
      </c>
      <c r="BY16" s="68">
        <f>IF($U16=0,0,IF($F16=4,0,IF($F16=3,0,IF(OR(32&gt;$R16,BX16&lt;=$I16),BX16,BX16-MIN(INT(ROUND(IF($F16=1,$C16*$J16,IF(FW16&gt;0,FW16*$K16,BX16*$J16))*IF(32=$R16,$S16,12)/12,6)+$B$4),BX16-$I16)))))</f>
        <v/>
      </c>
      <c r="BZ16" s="68">
        <f>IF($U16=0,0,IF($F16=4,0,IF($F16=3,0,IF(OR(33&gt;$R16,BY16&lt;=$I16),BY16,BY16-MIN(INT(ROUND(IF($F16=1,$C16*$J16,IF(FX16&gt;0,FX16*$K16,BY16*$J16))*IF(33=$R16,$S16,12)/12,6)+$B$4),BY16-$I16)))))</f>
        <v/>
      </c>
      <c r="CA16" s="68">
        <f>IF($U16=0,0,IF($F16=4,0,IF($F16=3,0,IF(OR(34&gt;$R16,BZ16&lt;=$I16),BZ16,BZ16-MIN(INT(ROUND(IF($F16=1,$C16*$J16,IF(FY16&gt;0,FY16*$K16,BZ16*$J16))*IF(34=$R16,$S16,12)/12,6)+$B$4),BZ16-$I16)))))</f>
        <v/>
      </c>
      <c r="CB16" s="68">
        <f>IF($U16=0,0,IF($F16=4,0,IF($F16=3,0,IF(OR(35&gt;$R16,CA16&lt;=$I16),CA16,CA16-MIN(INT(ROUND(IF($F16=1,$C16*$J16,IF(FZ16&gt;0,FZ16*$K16,CA16*$J16))*IF(35=$R16,$S16,12)/12,6)+$B$4),CA16-$I16)))))</f>
        <v/>
      </c>
      <c r="CC16" s="68">
        <f>IF($U16=0,0,IF($F16=4,0,IF($F16=3,0,IF(OR(36&gt;$R16,CB16&lt;=$I16),CB16,CB16-MIN(INT(ROUND(IF($F16=1,$C16*$J16,IF(GA16&gt;0,GA16*$K16,CB16*$J16))*IF(36=$R16,$S16,12)/12,6)+$B$4),CB16-$I16)))))</f>
        <v/>
      </c>
      <c r="CD16" s="68">
        <f>IF($U16=0,0,IF($F16=4,0,IF($F16=3,0,IF(OR(37&gt;$R16,CC16&lt;=$I16),CC16,CC16-MIN(INT(ROUND(IF($F16=1,$C16*$J16,IF(GB16&gt;0,GB16*$K16,CC16*$J16))*IF(37=$R16,$S16,12)/12,6)+$B$4),CC16-$I16)))))</f>
        <v/>
      </c>
      <c r="CE16" s="68">
        <f>IF($U16=0,0,IF($F16=4,0,IF($F16=3,0,IF(OR(38&gt;$R16,CD16&lt;=$I16),CD16,CD16-MIN(INT(ROUND(IF($F16=1,$C16*$J16,IF(GC16&gt;0,GC16*$K16,CD16*$J16))*IF(38=$R16,$S16,12)/12,6)+$B$4),CD16-$I16)))))</f>
        <v/>
      </c>
      <c r="CF16" s="68">
        <f>IF($U16=0,0,IF($F16=4,0,IF($F16=3,0,IF(OR(39&gt;$R16,CE16&lt;=$I16),CE16,CE16-MIN(INT(ROUND(IF($F16=1,$C16*$J16,IF(GD16&gt;0,GD16*$K16,CE16*$J16))*IF(39=$R16,$S16,12)/12,6)+$B$4),CE16-$I16)))))</f>
        <v/>
      </c>
      <c r="CG16" s="68">
        <f>IF($U16=0,0,IF($F16=4,0,IF($F16=3,0,IF(OR(40&gt;$R16,CF16&lt;=$I16),CF16,CF16-MIN(INT(ROUND(IF($F16=1,$C16*$J16,IF(GE16&gt;0,GE16*$K16,CF16*$J16))*IF(40=$R16,$S16,12)/12,6)+$B$4),CF16-$I16)))))</f>
        <v/>
      </c>
      <c r="CH16" s="68">
        <f>IF($U16=0,0,IF($F16=4,0,IF($F16=3,0,IF(OR(41&gt;$R16,CG16&lt;=$I16),CG16,CG16-MIN(INT(ROUND(IF($F16=1,$C16*$J16,IF(GF16&gt;0,GF16*$K16,CG16*$J16))*IF(41=$R16,$S16,12)/12,6)+$B$4),CG16-$I16)))))</f>
        <v/>
      </c>
      <c r="CI16" s="68">
        <f>IF($U16=0,0,IF($F16=4,0,IF($F16=3,0,IF(OR(42&gt;$R16,CH16&lt;=$I16),CH16,CH16-MIN(INT(ROUND(IF($F16=1,$C16*$J16,IF(GG16&gt;0,GG16*$K16,CH16*$J16))*IF(42=$R16,$S16,12)/12,6)+$B$4),CH16-$I16)))))</f>
        <v/>
      </c>
      <c r="CJ16" s="68">
        <f>IF($U16=0,0,IF($F16=4,0,IF($F16=3,0,IF(OR(43&gt;$R16,CI16&lt;=$I16),CI16,CI16-MIN(INT(ROUND(IF($F16=1,$C16*$J16,IF(GH16&gt;0,GH16*$K16,CI16*$J16))*IF(43=$R16,$S16,12)/12,6)+$B$4),CI16-$I16)))))</f>
        <v/>
      </c>
      <c r="CK16" s="68">
        <f>IF($U16=0,0,IF($F16=4,0,IF($F16=3,0,IF(OR(44&gt;$R16,CJ16&lt;=$I16),CJ16,CJ16-MIN(INT(ROUND(IF($F16=1,$C16*$J16,IF(GI16&gt;0,GI16*$K16,CJ16*$J16))*IF(44=$R16,$S16,12)/12,6)+$B$4),CJ16-$I16)))))</f>
        <v/>
      </c>
      <c r="CL16" s="68">
        <f>IF($U16=0,0,IF($F16=4,0,IF($F16=3,0,IF(OR(45&gt;$R16,CK16&lt;=$I16),CK16,CK16-MIN(INT(ROUND(IF($F16=1,$C16*$J16,IF(GJ16&gt;0,GJ16*$K16,CK16*$J16))*IF(45=$R16,$S16,12)/12,6)+$B$4),CK16-$I16)))))</f>
        <v/>
      </c>
      <c r="CM16" s="68">
        <f>IF($U16=0,0,IF($F16=4,0,IF($F16=3,0,IF(OR(46&gt;$R16,CL16&lt;=$I16),CL16,CL16-MIN(INT(ROUND(IF($F16=1,$C16*$J16,IF(GK16&gt;0,GK16*$K16,CL16*$J16))*IF(46=$R16,$S16,12)/12,6)+$B$4),CL16-$I16)))))</f>
        <v/>
      </c>
      <c r="CN16" s="68">
        <f>IF($U16=0,0,IF($F16=4,0,IF($F16=3,0,IF(OR(47&gt;$R16,CM16&lt;=$I16),CM16,CM16-MIN(INT(ROUND(IF($F16=1,$C16*$J16,IF(GL16&gt;0,GL16*$K16,CM16*$J16))*IF(47=$R16,$S16,12)/12,6)+$B$4),CM16-$I16)))))</f>
        <v/>
      </c>
      <c r="CO16" s="68">
        <f>IF($U16=0,0,IF($F16=4,0,IF($F16=3,0,IF(OR(48&gt;$R16,CN16&lt;=$I16),CN16,CN16-MIN(INT(ROUND(IF($F16=1,$C16*$J16,IF(GM16&gt;0,GM16*$K16,CN16*$J16))*IF(48=$R16,$S16,12)/12,6)+$B$4),CN16-$I16)))))</f>
        <v/>
      </c>
      <c r="CP16" s="68">
        <f>IF($U16=0,0,IF($F16=4,0,IF($F16=3,0,IF(OR(49&gt;$R16,CO16&lt;=$I16),CO16,CO16-MIN(INT(ROUND(IF($F16=1,$C16*$J16,IF(GN16&gt;0,GN16*$K16,CO16*$J16))*IF(49=$R16,$S16,12)/12,6)+$B$4),CO16-$I16)))))</f>
        <v/>
      </c>
      <c r="CQ16" s="68">
        <f>IF($U16=0,0,IF($F16=4,0,IF($F16=3,0,IF(OR(50&gt;$R16,CP16&lt;=$I16),CP16,CP16-MIN(INT(ROUND(IF($F16=1,$C16*$J16,IF(GO16&gt;0,GO16*$K16,CP16*$J16))*IF(50=$R16,$S16,12)/12,6)+$B$4),CP16-$I16)))))</f>
        <v/>
      </c>
      <c r="CR16" s="68">
        <f>IF($U16=0,0,IF($F16=4,0,IF($F16=3,0,IF(OR(51&gt;$R16,CQ16&lt;=$I16),CQ16,CQ16-MIN(INT(ROUND(IF($F16=1,$C16*$J16,IF(GP16&gt;0,GP16*$K16,CQ16*$J16))*IF(51=$R16,$S16,12)/12,6)+$B$4),CQ16-$I16)))))</f>
        <v/>
      </c>
      <c r="CS16" s="68">
        <f>IF($U16=0,0,IF($F16=4,0,IF($F16=3,0,IF(OR(52&gt;$R16,CR16&lt;=$I16),CR16,CR16-MIN(INT(ROUND(IF($F16=1,$C16*$J16,IF(GQ16&gt;0,GQ16*$K16,CR16*$J16))*IF(52=$R16,$S16,12)/12,6)+$B$4),CR16-$I16)))))</f>
        <v/>
      </c>
      <c r="CT16" s="68">
        <f>IF($U16=0,0,IF($F16=4,0,IF($F16=3,0,IF(OR(53&gt;$R16,CS16&lt;=$I16),CS16,CS16-MIN(INT(ROUND(IF($F16=1,$C16*$J16,IF(GR16&gt;0,GR16*$K16,CS16*$J16))*IF(53=$R16,$S16,12)/12,6)+$B$4),CS16-$I16)))))</f>
        <v/>
      </c>
      <c r="CU16" s="68">
        <f>IF($U16=0,0,IF($F16=4,0,IF($F16=3,0,IF(OR(54&gt;$R16,CT16&lt;=$I16),CT16,CT16-MIN(INT(ROUND(IF($F16=1,$C16*$J16,IF(GS16&gt;0,GS16*$K16,CT16*$J16))*IF(54=$R16,$S16,12)/12,6)+$B$4),CT16-$I16)))))</f>
        <v/>
      </c>
      <c r="CV16" s="68">
        <f>IF($U16=0,0,IF($F16=4,0,IF($F16=3,0,IF(OR(55&gt;$R16,CU16&lt;=$I16),CU16,CU16-MIN(INT(ROUND(IF($F16=1,$C16*$J16,IF(GT16&gt;0,GT16*$K16,CU16*$J16))*IF(55=$R16,$S16,12)/12,6)+$B$4),CU16-$I16)))))</f>
        <v/>
      </c>
      <c r="CW16" s="68">
        <f>IF($U16=0,0,IF($F16=4,0,IF($F16=3,0,IF(OR(56&gt;$R16,CV16&lt;=$I16),CV16,CV16-MIN(INT(ROUND(IF($F16=1,$C16*$J16,IF(GU16&gt;0,GU16*$K16,CV16*$J16))*IF(56=$R16,$S16,12)/12,6)+$B$4),CV16-$I16)))))</f>
        <v/>
      </c>
      <c r="CX16" s="68">
        <f>IF($U16=0,0,IF($F16=4,0,IF($F16=3,0,IF(OR(57&gt;$R16,CW16&lt;=$I16),CW16,CW16-MIN(INT(ROUND(IF($F16=1,$C16*$J16,IF(GV16&gt;0,GV16*$K16,CW16*$J16))*IF(57=$R16,$S16,12)/12,6)+$B$4),CW16-$I16)))))</f>
        <v/>
      </c>
      <c r="CY16" s="68">
        <f>IF($U16=0,0,IF($F16=4,0,IF($F16=3,0,IF(OR(58&gt;$R16,CX16&lt;=$I16),CX16,CX16-MIN(INT(ROUND(IF($F16=1,$C16*$J16,IF(GW16&gt;0,GW16*$K16,CX16*$J16))*IF(58=$R16,$S16,12)/12,6)+$B$4),CX16-$I16)))))</f>
        <v/>
      </c>
      <c r="CZ16" s="68">
        <f>IF($U16=0,0,IF($F16=4,0,IF($F16=3,0,IF(OR(59&gt;$R16,CY16&lt;=$I16),CY16,CY16-MIN(INT(ROUND(IF($F16=1,$C16*$J16,IF(GX16&gt;0,GX16*$K16,CY16*$J16))*IF(59=$R16,$S16,12)/12,6)+$B$4),CY16-$I16)))))</f>
        <v/>
      </c>
      <c r="DA16" s="68">
        <f>IF($U16=0,0,IF($F16=4,0,IF($F16=3,0,IF(OR(60&gt;$R16,CZ16&lt;=$I16),CZ16,CZ16-MIN(INT(ROUND(IF($F16=1,$C16*$J16,IF(GY16&gt;0,GY16*$K16,CZ16*$J16))*IF(60=$R16,$S16,12)/12,6)+$B$4),CZ16-$I16)))))</f>
        <v/>
      </c>
      <c r="DB16" s="68">
        <f>IF($U16=0,0,IF($F16=4,0,IF($F16=3,0,IF(OR(61&gt;$R16,DA16&lt;=$I16),DA16,DA16-MIN(INT(ROUND(IF($F16=1,$C16*$J16,IF(GZ16&gt;0,GZ16*$K16,DA16*$J16))*IF(61=$R16,$S16,12)/12,6)+$B$4),DA16-$I16)))))</f>
        <v/>
      </c>
      <c r="DC16" s="68">
        <f>IF($U16=0,0,IF($F16=4,0,IF($F16=3,0,IF(OR(62&gt;$R16,DB16&lt;=$I16),DB16,DB16-MIN(INT(ROUND(IF($F16=1,$C16*$J16,IF(HA16&gt;0,HA16*$K16,DB16*$J16))*IF(62=$R16,$S16,12)/12,6)+$B$4),DB16-$I16)))))</f>
        <v/>
      </c>
      <c r="DD16" s="68">
        <f>IF($U16=0,0,IF($F16=4,0,IF($F16=3,0,IF(OR(63&gt;$R16,DC16&lt;=$I16),DC16,DC16-MIN(INT(ROUND(IF($F16=1,$C16*$J16,IF(HB16&gt;0,HB16*$K16,DC16*$J16))*IF(63=$R16,$S16,12)/12,6)+$B$4),DC16-$I16)))))</f>
        <v/>
      </c>
      <c r="DE16" s="68">
        <f>IF($U16=0,0,IF($F16=4,0,IF($F16=3,0,IF(OR(64&gt;$R16,DD16&lt;=$I16),DD16,DD16-MIN(INT(ROUND(IF($F16=1,$C16*$J16,IF(HC16&gt;0,HC16*$K16,DD16*$J16))*IF(64=$R16,$S16,12)/12,6)+$B$4),DD16-$I16)))))</f>
        <v/>
      </c>
      <c r="DF16" s="68">
        <f>IF($U16=0,0,IF($F16=4,0,IF($F16=3,0,IF(OR(65&gt;$R16,DE16&lt;=$I16),DE16,DE16-MIN(INT(ROUND(IF($F16=1,$C16*$J16,IF(HD16&gt;0,HD16*$K16,DE16*$J16))*IF(65=$R16,$S16,12)/12,6)+$B$4),DE16-$I16)))))</f>
        <v/>
      </c>
      <c r="DG16" s="68">
        <f>IF($U16=0,0,IF($F16=4,0,IF($F16=3,0,IF(OR(66&gt;$R16,DF16&lt;=$I16),DF16,DF16-MIN(INT(ROUND(IF($F16=1,$C16*$J16,IF(HE16&gt;0,HE16*$K16,DF16*$J16))*IF(66=$R16,$S16,12)/12,6)+$B$4),DF16-$I16)))))</f>
        <v/>
      </c>
      <c r="DH16" s="68">
        <f>IF($U16=0,0,IF($F16=4,0,IF($F16=3,0,IF(OR(67&gt;$R16,DG16&lt;=$I16),DG16,DG16-MIN(INT(ROUND(IF($F16=1,$C16*$J16,IF(HF16&gt;0,HF16*$K16,DG16*$J16))*IF(67=$R16,$S16,12)/12,6)+$B$4),DG16-$I16)))))</f>
        <v/>
      </c>
      <c r="DI16" s="68">
        <f>IF($U16=0,0,IF($F16=4,0,IF($F16=3,0,IF(OR(68&gt;$R16,DH16&lt;=$I16),DH16,DH16-MIN(INT(ROUND(IF($F16=1,$C16*$J16,IF(HG16&gt;0,HG16*$K16,DH16*$J16))*IF(68=$R16,$S16,12)/12,6)+$B$4),DH16-$I16)))))</f>
        <v/>
      </c>
      <c r="DJ16" s="68">
        <f>IF($U16=0,0,IF($F16=4,0,IF($F16=3,0,IF(OR(69&gt;$R16,DI16&lt;=$I16),DI16,DI16-MIN(INT(ROUND(IF($F16=1,$C16*$J16,IF(HH16&gt;0,HH16*$K16,DI16*$J16))*IF(69=$R16,$S16,12)/12,6)+$B$4),DI16-$I16)))))</f>
        <v/>
      </c>
      <c r="DK16" s="68">
        <f>IF($U16=0,0,IF($F16=4,0,IF($F16=3,0,IF(OR(70&gt;$R16,DJ16&lt;=$I16),DJ16,DJ16-MIN(INT(ROUND(IF($F16=1,$C16*$J16,IF(HI16&gt;0,HI16*$K16,DJ16*$J16))*IF(70=$R16,$S16,12)/12,6)+$B$4),DJ16-$I16)))))</f>
        <v/>
      </c>
      <c r="DL16" s="68">
        <f>IF($U16=0,0,IF($F16=4,0,IF($F16=3,0,IF(OR(71&gt;$R16,DK16&lt;=$I16),DK16,DK16-MIN(INT(ROUND(IF($F16=1,$C16*$J16,IF(HJ16&gt;0,HJ16*$K16,DK16*$J16))*IF(71=$R16,$S16,12)/12,6)+$B$4),DK16-$I16)))))</f>
        <v/>
      </c>
      <c r="DM16" s="68">
        <f>IF($U16=0,0,IF($F16=4,0,IF($F16=3,0,IF(OR(72&gt;$R16,DL16&lt;=$I16),DL16,DL16-MIN(INT(ROUND(IF($F16=1,$C16*$J16,IF(HK16&gt;0,HK16*$K16,DL16*$J16))*IF(72=$R16,$S16,12)/12,6)+$B$4),DL16-$I16)))))</f>
        <v/>
      </c>
      <c r="DN16" s="68">
        <f>IF($U16=0,0,IF($F16=4,0,IF($F16=3,0,IF(OR(73&gt;$R16,DM16&lt;=$I16),DM16,DM16-MIN(INT(ROUND(IF($F16=1,$C16*$J16,IF(HL16&gt;0,HL16*$K16,DM16*$J16))*IF(73=$R16,$S16,12)/12,6)+$B$4),DM16-$I16)))))</f>
        <v/>
      </c>
      <c r="DO16" s="68">
        <f>IF($U16=0,0,IF($F16=4,0,IF($F16=3,0,IF(OR(74&gt;$R16,DN16&lt;=$I16),DN16,DN16-MIN(INT(ROUND(IF($F16=1,$C16*$J16,IF(HM16&gt;0,HM16*$K16,DN16*$J16))*IF(74=$R16,$S16,12)/12,6)+$B$4),DN16-$I16)))))</f>
        <v/>
      </c>
      <c r="DP16" s="68">
        <f>IF($U16=0,0,IF($F16=4,0,IF($F16=3,0,IF(OR(75&gt;$R16,DO16&lt;=$I16),DO16,DO16-MIN(INT(ROUND(IF($F16=1,$C16*$J16,IF(HN16&gt;0,HN16*$K16,DO16*$J16))*IF(75=$R16,$S16,12)/12,6)+$B$4),DO16-$I16)))))</f>
        <v/>
      </c>
      <c r="DQ16" s="68">
        <f>IF($U16=0,0,IF($F16=4,0,IF($F16=3,0,IF(OR(76&gt;$R16,DP16&lt;=$I16),DP16,DP16-MIN(INT(ROUND(IF($F16=1,$C16*$J16,IF(HO16&gt;0,HO16*$K16,DP16*$J16))*IF(76=$R16,$S16,12)/12,6)+$B$4),DP16-$I16)))))</f>
        <v/>
      </c>
      <c r="DR16" s="68">
        <f>IF($U16=0,0,IF($F16=4,0,IF($F16=3,0,IF(OR(77&gt;$R16,DQ16&lt;=$I16),DQ16,DQ16-MIN(INT(ROUND(IF($F16=1,$C16*$J16,IF(HP16&gt;0,HP16*$K16,DQ16*$J16))*IF(77=$R16,$S16,12)/12,6)+$B$4),DQ16-$I16)))))</f>
        <v/>
      </c>
      <c r="DS16" s="68">
        <f>IF($U16=0,0,IF($F16=4,0,IF($F16=3,0,IF(OR(78&gt;$R16,DR16&lt;=$I16),DR16,DR16-MIN(INT(ROUND(IF($F16=1,$C16*$J16,IF(HQ16&gt;0,HQ16*$K16,DR16*$J16))*IF(78=$R16,$S16,12)/12,6)+$B$4),DR16-$I16)))))</f>
        <v/>
      </c>
      <c r="DT16" s="68">
        <f>IF($U16=0,0,IF($F16=4,0,IF($F16=3,0,IF(OR(79&gt;$R16,DS16&lt;=$I16),DS16,DS16-MIN(INT(ROUND(IF($F16=1,$C16*$J16,IF(HR16&gt;0,HR16*$K16,DS16*$J16))*IF(79=$R16,$S16,12)/12,6)+$B$4),DS16-$I16)))))</f>
        <v/>
      </c>
      <c r="DU16" s="68">
        <f>IF($U16=0,0,IF($F16=4,0,IF($F16=3,0,IF(OR(80&gt;$R16,DT16&lt;=$I16),DT16,DT16-MIN(INT(ROUND(IF($F16=1,$C16*$J16,IF(HS16&gt;0,HS16*$K16,DT16*$J16))*IF(80=$R16,$S16,12)/12,6)+$B$4),DT16-$I16)))))</f>
        <v/>
      </c>
      <c r="DV16" s="68">
        <f>IF($U16=0,0,IF($F16=4,0,IF($F16=3,0,IF(OR(81&gt;$R16,DU16&lt;=$I16),DU16,DU16-MIN(INT(ROUND(IF($F16=1,$C16*$J16,IF(HT16&gt;0,HT16*$K16,DU16*$J16))*IF(81=$R16,$S16,12)/12,6)+$B$4),DU16-$I16)))))</f>
        <v/>
      </c>
      <c r="DW16" s="68">
        <f>IF($U16=0,0,IF($F16=4,0,IF($F16=3,0,IF(OR(82&gt;$R16,DV16&lt;=$I16),DV16,DV16-MIN(INT(ROUND(IF($F16=1,$C16*$J16,IF(HU16&gt;0,HU16*$K16,DV16*$J16))*IF(82=$R16,$S16,12)/12,6)+$B$4),DV16-$I16)))))</f>
        <v/>
      </c>
      <c r="DX16" s="68">
        <f>IF($U16=0,0,IF($F16=4,0,IF($F16=3,0,IF(OR(83&gt;$R16,DW16&lt;=$I16),DW16,DW16-MIN(INT(ROUND(IF($F16=1,$C16*$J16,IF(HV16&gt;0,HV16*$K16,DW16*$J16))*IF(83=$R16,$S16,12)/12,6)+$B$4),DW16-$I16)))))</f>
        <v/>
      </c>
      <c r="DY16" s="68">
        <f>IF($U16=0,0,IF($F16=4,0,IF($F16=3,0,IF(OR(84&gt;$R16,DX16&lt;=$I16),DX16,DX16-MIN(INT(ROUND(IF($F16=1,$C16*$J16,IF(HW16&gt;0,HW16*$K16,DX16*$J16))*IF(84=$R16,$S16,12)/12,6)+$B$4),DX16-$I16)))))</f>
        <v/>
      </c>
      <c r="DZ16" s="68">
        <f>IF($U16=0,0,IF($F16=4,0,IF($F16=3,0,IF(OR(85&gt;$R16,DY16&lt;=$I16),DY16,DY16-MIN(INT(ROUND(IF($F16=1,$C16*$J16,IF(HX16&gt;0,HX16*$K16,DY16*$J16))*IF(85=$R16,$S16,12)/12,6)+$B$4),DY16-$I16)))))</f>
        <v/>
      </c>
      <c r="EA16" s="68">
        <f>IF($U16=0,0,IF($F16=4,0,IF($F16=3,0,IF(OR(86&gt;$R16,DZ16&lt;=$I16),DZ16,DZ16-MIN(INT(ROUND(IF($F16=1,$C16*$J16,IF(HY16&gt;0,HY16*$K16,DZ16*$J16))*IF(86=$R16,$S16,12)/12,6)+$B$4),DZ16-$I16)))))</f>
        <v/>
      </c>
      <c r="EB16" s="68">
        <f>IF($U16=0,0,IF($F16=4,0,IF($F16=3,0,IF(OR(87&gt;$R16,EA16&lt;=$I16),EA16,EA16-MIN(INT(ROUND(IF($F16=1,$C16*$J16,IF(HZ16&gt;0,HZ16*$K16,EA16*$J16))*IF(87=$R16,$S16,12)/12,6)+$B$4),EA16-$I16)))))</f>
        <v/>
      </c>
      <c r="EC16" s="68">
        <f>IF($U16=0,0,IF($F16=4,0,IF($F16=3,0,IF(OR(88&gt;$R16,EB16&lt;=$I16),EB16,EB16-MIN(INT(ROUND(IF($F16=1,$C16*$J16,IF(IA16&gt;0,IA16*$K16,EB16*$J16))*IF(88=$R16,$S16,12)/12,6)+$B$4),EB16-$I16)))))</f>
        <v/>
      </c>
      <c r="ED16" s="68">
        <f>IF($U16=0,0,IF($F16=4,0,IF($F16=3,0,IF(OR(89&gt;$R16,EC16&lt;=$I16),EC16,EC16-MIN(INT(ROUND(IF($F16=1,$C16*$J16,IF(IB16&gt;0,IB16*$K16,EC16*$J16))*IF(89=$R16,$S16,12)/12,6)+$B$4),EC16-$I16)))))</f>
        <v/>
      </c>
      <c r="EE16" s="68">
        <f>IF($U16=0,0,IF($F16=4,0,IF($F16=3,0,IF(OR(90&gt;$R16,ED16&lt;=$I16),ED16,ED16-MIN(INT(ROUND(IF($F16=1,$C16*$J16,IF(IC16&gt;0,IC16*$K16,ED16*$J16))*IF(90=$R16,$S16,12)/12,6)+$B$4),ED16-$I16)))))</f>
        <v/>
      </c>
      <c r="EF16" s="68">
        <f>IF($U16=0,0,IF($F16=4,0,IF($F16=3,0,IF(OR(91&gt;$R16,EE16&lt;=$I16),EE16,EE16-MIN(INT(ROUND(IF($F16=1,$C16*$J16,IF(ID16&gt;0,ID16*$K16,EE16*$J16))*IF(91=$R16,$S16,12)/12,6)+$B$4),EE16-$I16)))))</f>
        <v/>
      </c>
      <c r="EG16" s="68">
        <f>IF($U16=0,0,IF($F16=4,0,IF($F16=3,0,IF(OR(92&gt;$R16,EF16&lt;=$I16),EF16,EF16-MIN(INT(ROUND(IF($F16=1,$C16*$J16,IF(IE16&gt;0,IE16*$K16,EF16*$J16))*IF(92=$R16,$S16,12)/12,6)+$B$4),EF16-$I16)))))</f>
        <v/>
      </c>
      <c r="EH16" s="68">
        <f>IF($U16=0,0,IF($F16=4,0,IF($F16=3,0,IF(OR(93&gt;$R16,EG16&lt;=$I16),EG16,EG16-MIN(INT(ROUND(IF($F16=1,$C16*$J16,IF(IF16&gt;0,IF16*$K16,EG16*$J16))*IF(93=$R16,$S16,12)/12,6)+$B$4),EG16-$I16)))))</f>
        <v/>
      </c>
      <c r="EI16" s="68">
        <f>IF($U16=0,0,IF($F16=4,0,IF($F16=3,0,IF(OR(94&gt;$R16,EH16&lt;=$I16),EH16,EH16-MIN(INT(ROUND(IF($F16=1,$C16*$J16,IF(IG16&gt;0,IG16*$K16,EH16*$J16))*IF(94=$R16,$S16,12)/12,6)+$B$4),EH16-$I16)))))</f>
        <v/>
      </c>
      <c r="EJ16" s="68">
        <f>IF($U16=0,0,IF($F16=4,0,IF($F16=3,0,IF(OR(95&gt;$R16,EI16&lt;=$I16),EI16,EI16-MIN(INT(ROUND(IF($F16=1,$C16*$J16,IF(IH16&gt;0,IH16*$K16,EI16*$J16))*IF(95=$R16,$S16,12)/12,6)+$B$4),EI16-$I16)))))</f>
        <v/>
      </c>
      <c r="EK16" s="68">
        <f>IF($U16=0,0,IF($F16=4,0,IF($F16=3,0,IF(OR(96&gt;$R16,EJ16&lt;=$I16),EJ16,EJ16-MIN(INT(ROUND(IF($F16=1,$C16*$J16,IF(II16&gt;0,II16*$K16,EJ16*$J16))*IF(96=$R16,$S16,12)/12,6)+$B$4),EJ16-$I16)))))</f>
        <v/>
      </c>
      <c r="EL16" s="68">
        <f>IF($U16=0,0,IF($F16=4,0,IF($F16=3,0,IF(OR(97&gt;$R16,EK16&lt;=$I16),EK16,EK16-MIN(INT(ROUND(IF($F16=1,$C16*$J16,IF(IJ16&gt;0,IJ16*$K16,EK16*$J16))*IF(97=$R16,$S16,12)/12,6)+$B$4),EK16-$I16)))))</f>
        <v/>
      </c>
      <c r="EM16" s="68">
        <f>IF($U16=0,0,IF($F16=4,0,IF($F16=3,0,IF(OR(98&gt;$R16,EL16&lt;=$I16),EL16,EL16-MIN(INT(ROUND(IF($F16=1,$C16*$J16,IF(IK16&gt;0,IK16*$K16,EL16*$J16))*IF(98=$R16,$S16,12)/12,6)+$B$4),EL16-$I16)))))</f>
        <v/>
      </c>
      <c r="EN16" s="68">
        <f>IF($U16=0,0,IF($F16=4,0,IF($F16=3,0,IF(OR(99&gt;$R16,EM16&lt;=$I16),EM16,EM16-MIN(INT(ROUND(IF($F16=1,$C16*$J16,IF(IL16&gt;0,IL16*$K16,EM16*$J16))*IF(99=$R16,$S16,12)/12,6)+$B$4),EM16-$I16)))))</f>
        <v/>
      </c>
      <c r="EO16" s="68">
        <f>IF($U16=0,0,IF($F16=4,0,IF($F16=3,0,IF(OR(100&gt;$R16,EN16&lt;=$I16),EN16,EN16-MIN(INT(ROUND(IF($F16=1,$C16*$J16,IF(IM16&gt;0,IM16*$K16,EN16*$J16))*IF(100=$R16,$S16,12)/12,6)+$B$4),EN16-$I16)))))</f>
        <v/>
      </c>
      <c r="EP16" s="68">
        <f>IF($U16=0,0,IF($F16=4,0,IF($F16=3,0,IF(OR(101&gt;$R16,EO16&lt;=$I16),EO16,EO16-MIN(INT(ROUND(IF($F16=1,$C16*$J16,IF(IN16&gt;0,IN16*$K16,EO16*$J16))*IF(101=$R16,$S16,12)/12,6)+$B$4),EO16-$I16)))))</f>
        <v/>
      </c>
      <c r="EQ16" s="68" t="n"/>
      <c r="ER16" s="68">
        <f>IF(OR($U16=0,$F16&lt;&gt;2),0,IF(ROUND(AS16*$J16,6)&lt;ROUND($M16,6),AS16,0))</f>
        <v/>
      </c>
      <c r="ES16" s="68">
        <f>IF(OR($U16=0,$F16&lt;&gt;2),0,IF(ER16&gt;0,ER16,IF(ROUND(AT16*$J16,6)&lt;ROUND($M16,6),AT16,0)))</f>
        <v/>
      </c>
      <c r="ET16" s="68">
        <f>IF(OR($U16=0,$F16&lt;&gt;2),0,IF(ES16&gt;0,ES16,IF(ROUND(AU16*$J16,6)&lt;ROUND($M16,6),AU16,0)))</f>
        <v/>
      </c>
      <c r="EU16" s="68">
        <f>IF(OR($U16=0,$F16&lt;&gt;2),0,IF(ET16&gt;0,ET16,IF(ROUND(AV16*$J16,6)&lt;ROUND($M16,6),AV16,0)))</f>
        <v/>
      </c>
      <c r="EV16" s="68">
        <f>IF(OR($U16=0,$F16&lt;&gt;2),0,IF(EU16&gt;0,EU16,IF(ROUND(AW16*$J16,6)&lt;ROUND($M16,6),AW16,0)))</f>
        <v/>
      </c>
      <c r="EW16" s="68">
        <f>IF(OR($U16=0,$F16&lt;&gt;2),0,IF(EV16&gt;0,EV16,IF(ROUND(AX16*$J16,6)&lt;ROUND($M16,6),AX16,0)))</f>
        <v/>
      </c>
      <c r="EX16" s="68">
        <f>IF(OR($U16=0,$F16&lt;&gt;2),0,IF(EW16&gt;0,EW16,IF(ROUND(AY16*$J16,6)&lt;ROUND($M16,6),AY16,0)))</f>
        <v/>
      </c>
      <c r="EY16" s="68">
        <f>IF(OR($U16=0,$F16&lt;&gt;2),0,IF(EX16&gt;0,EX16,IF(ROUND(AZ16*$J16,6)&lt;ROUND($M16,6),AZ16,0)))</f>
        <v/>
      </c>
      <c r="EZ16" s="68">
        <f>IF(OR($U16=0,$F16&lt;&gt;2),0,IF(EY16&gt;0,EY16,IF(ROUND(BA16*$J16,6)&lt;ROUND($M16,6),BA16,0)))</f>
        <v/>
      </c>
      <c r="FA16" s="68">
        <f>IF(OR($U16=0,$F16&lt;&gt;2),0,IF(EZ16&gt;0,EZ16,IF(ROUND(BB16*$J16,6)&lt;ROUND($M16,6),BB16,0)))</f>
        <v/>
      </c>
      <c r="FB16" s="68">
        <f>IF(OR($U16=0,$F16&lt;&gt;2),0,IF(FA16&gt;0,FA16,IF(ROUND(BC16*$J16,6)&lt;ROUND($M16,6),BC16,0)))</f>
        <v/>
      </c>
      <c r="FC16" s="68">
        <f>IF(OR($U16=0,$F16&lt;&gt;2),0,IF(FB16&gt;0,FB16,IF(ROUND(BD16*$J16,6)&lt;ROUND($M16,6),BD16,0)))</f>
        <v/>
      </c>
      <c r="FD16" s="68">
        <f>IF(OR($U16=0,$F16&lt;&gt;2),0,IF(FC16&gt;0,FC16,IF(ROUND(BE16*$J16,6)&lt;ROUND($M16,6),BE16,0)))</f>
        <v/>
      </c>
      <c r="FE16" s="68">
        <f>IF(OR($U16=0,$F16&lt;&gt;2),0,IF(FD16&gt;0,FD16,IF(ROUND(BF16*$J16,6)&lt;ROUND($M16,6),BF16,0)))</f>
        <v/>
      </c>
      <c r="FF16" s="68">
        <f>IF(OR($U16=0,$F16&lt;&gt;2),0,IF(FE16&gt;0,FE16,IF(ROUND(BG16*$J16,6)&lt;ROUND($M16,6),BG16,0)))</f>
        <v/>
      </c>
      <c r="FG16" s="68">
        <f>IF(OR($U16=0,$F16&lt;&gt;2),0,IF(FF16&gt;0,FF16,IF(ROUND(BH16*$J16,6)&lt;ROUND($M16,6),BH16,0)))</f>
        <v/>
      </c>
      <c r="FH16" s="68">
        <f>IF(OR($U16=0,$F16&lt;&gt;2),0,IF(FG16&gt;0,FG16,IF(ROUND(BI16*$J16,6)&lt;ROUND($M16,6),BI16,0)))</f>
        <v/>
      </c>
      <c r="FI16" s="68">
        <f>IF(OR($U16=0,$F16&lt;&gt;2),0,IF(FH16&gt;0,FH16,IF(ROUND(BJ16*$J16,6)&lt;ROUND($M16,6),BJ16,0)))</f>
        <v/>
      </c>
      <c r="FJ16" s="68">
        <f>IF(OR($U16=0,$F16&lt;&gt;2),0,IF(FI16&gt;0,FI16,IF(ROUND(BK16*$J16,6)&lt;ROUND($M16,6),BK16,0)))</f>
        <v/>
      </c>
      <c r="FK16" s="68">
        <f>IF(OR($U16=0,$F16&lt;&gt;2),0,IF(FJ16&gt;0,FJ16,IF(ROUND(BL16*$J16,6)&lt;ROUND($M16,6),BL16,0)))</f>
        <v/>
      </c>
      <c r="FL16" s="68">
        <f>IF(OR($U16=0,$F16&lt;&gt;2),0,IF(FK16&gt;0,FK16,IF(ROUND(BM16*$J16,6)&lt;ROUND($M16,6),BM16,0)))</f>
        <v/>
      </c>
      <c r="FM16" s="68">
        <f>IF(OR($U16=0,$F16&lt;&gt;2),0,IF(FL16&gt;0,FL16,IF(ROUND(BN16*$J16,6)&lt;ROUND($M16,6),BN16,0)))</f>
        <v/>
      </c>
      <c r="FN16" s="68">
        <f>IF(OR($U16=0,$F16&lt;&gt;2),0,IF(FM16&gt;0,FM16,IF(ROUND(BO16*$J16,6)&lt;ROUND($M16,6),BO16,0)))</f>
        <v/>
      </c>
      <c r="FO16" s="68">
        <f>IF(OR($U16=0,$F16&lt;&gt;2),0,IF(FN16&gt;0,FN16,IF(ROUND(BP16*$J16,6)&lt;ROUND($M16,6),BP16,0)))</f>
        <v/>
      </c>
      <c r="FP16" s="68">
        <f>IF(OR($U16=0,$F16&lt;&gt;2),0,IF(FO16&gt;0,FO16,IF(ROUND(BQ16*$J16,6)&lt;ROUND($M16,6),BQ16,0)))</f>
        <v/>
      </c>
      <c r="FQ16" s="68">
        <f>IF(OR($U16=0,$F16&lt;&gt;2),0,IF(FP16&gt;0,FP16,IF(ROUND(BR16*$J16,6)&lt;ROUND($M16,6),BR16,0)))</f>
        <v/>
      </c>
      <c r="FR16" s="68">
        <f>IF(OR($U16=0,$F16&lt;&gt;2),0,IF(FQ16&gt;0,FQ16,IF(ROUND(BS16*$J16,6)&lt;ROUND($M16,6),BS16,0)))</f>
        <v/>
      </c>
      <c r="FS16" s="68">
        <f>IF(OR($U16=0,$F16&lt;&gt;2),0,IF(FR16&gt;0,FR16,IF(ROUND(BT16*$J16,6)&lt;ROUND($M16,6),BT16,0)))</f>
        <v/>
      </c>
      <c r="FT16" s="68">
        <f>IF(OR($U16=0,$F16&lt;&gt;2),0,IF(FS16&gt;0,FS16,IF(ROUND(BU16*$J16,6)&lt;ROUND($M16,6),BU16,0)))</f>
        <v/>
      </c>
      <c r="FU16" s="68">
        <f>IF(OR($U16=0,$F16&lt;&gt;2),0,IF(FT16&gt;0,FT16,IF(ROUND(BV16*$J16,6)&lt;ROUND($M16,6),BV16,0)))</f>
        <v/>
      </c>
      <c r="FV16" s="68">
        <f>IF(OR($U16=0,$F16&lt;&gt;2),0,IF(FU16&gt;0,FU16,IF(ROUND(BW16*$J16,6)&lt;ROUND($M16,6),BW16,0)))</f>
        <v/>
      </c>
      <c r="FW16" s="68">
        <f>IF(OR($U16=0,$F16&lt;&gt;2),0,IF(FV16&gt;0,FV16,IF(ROUND(BX16*$J16,6)&lt;ROUND($M16,6),BX16,0)))</f>
        <v/>
      </c>
      <c r="FX16" s="68">
        <f>IF(OR($U16=0,$F16&lt;&gt;2),0,IF(FW16&gt;0,FW16,IF(ROUND(BY16*$J16,6)&lt;ROUND($M16,6),BY16,0)))</f>
        <v/>
      </c>
      <c r="FY16" s="68">
        <f>IF(OR($U16=0,$F16&lt;&gt;2),0,IF(FX16&gt;0,FX16,IF(ROUND(BZ16*$J16,6)&lt;ROUND($M16,6),BZ16,0)))</f>
        <v/>
      </c>
      <c r="FZ16" s="68">
        <f>IF(OR($U16=0,$F16&lt;&gt;2),0,IF(FY16&gt;0,FY16,IF(ROUND(CA16*$J16,6)&lt;ROUND($M16,6),CA16,0)))</f>
        <v/>
      </c>
      <c r="GA16" s="68">
        <f>IF(OR($U16=0,$F16&lt;&gt;2),0,IF(FZ16&gt;0,FZ16,IF(ROUND(CB16*$J16,6)&lt;ROUND($M16,6),CB16,0)))</f>
        <v/>
      </c>
      <c r="GB16" s="68">
        <f>IF(OR($U16=0,$F16&lt;&gt;2),0,IF(GA16&gt;0,GA16,IF(ROUND(CC16*$J16,6)&lt;ROUND($M16,6),CC16,0)))</f>
        <v/>
      </c>
      <c r="GC16" s="68">
        <f>IF(OR($U16=0,$F16&lt;&gt;2),0,IF(GB16&gt;0,GB16,IF(ROUND(CD16*$J16,6)&lt;ROUND($M16,6),CD16,0)))</f>
        <v/>
      </c>
      <c r="GD16" s="68">
        <f>IF(OR($U16=0,$F16&lt;&gt;2),0,IF(GC16&gt;0,GC16,IF(ROUND(CE16*$J16,6)&lt;ROUND($M16,6),CE16,0)))</f>
        <v/>
      </c>
      <c r="GE16" s="68">
        <f>IF(OR($U16=0,$F16&lt;&gt;2),0,IF(GD16&gt;0,GD16,IF(ROUND(CF16*$J16,6)&lt;ROUND($M16,6),CF16,0)))</f>
        <v/>
      </c>
      <c r="GF16" s="68">
        <f>IF(OR($U16=0,$F16&lt;&gt;2),0,IF(GE16&gt;0,GE16,IF(ROUND(CG16*$J16,6)&lt;ROUND($M16,6),CG16,0)))</f>
        <v/>
      </c>
      <c r="GG16" s="68">
        <f>IF(OR($U16=0,$F16&lt;&gt;2),0,IF(GF16&gt;0,GF16,IF(ROUND(CH16*$J16,6)&lt;ROUND($M16,6),CH16,0)))</f>
        <v/>
      </c>
      <c r="GH16" s="68">
        <f>IF(OR($U16=0,$F16&lt;&gt;2),0,IF(GG16&gt;0,GG16,IF(ROUND(CI16*$J16,6)&lt;ROUND($M16,6),CI16,0)))</f>
        <v/>
      </c>
      <c r="GI16" s="68">
        <f>IF(OR($U16=0,$F16&lt;&gt;2),0,IF(GH16&gt;0,GH16,IF(ROUND(CJ16*$J16,6)&lt;ROUND($M16,6),CJ16,0)))</f>
        <v/>
      </c>
      <c r="GJ16" s="68">
        <f>IF(OR($U16=0,$F16&lt;&gt;2),0,IF(GI16&gt;0,GI16,IF(ROUND(CK16*$J16,6)&lt;ROUND($M16,6),CK16,0)))</f>
        <v/>
      </c>
      <c r="GK16" s="68">
        <f>IF(OR($U16=0,$F16&lt;&gt;2),0,IF(GJ16&gt;0,GJ16,IF(ROUND(CL16*$J16,6)&lt;ROUND($M16,6),CL16,0)))</f>
        <v/>
      </c>
      <c r="GL16" s="68">
        <f>IF(OR($U16=0,$F16&lt;&gt;2),0,IF(GK16&gt;0,GK16,IF(ROUND(CM16*$J16,6)&lt;ROUND($M16,6),CM16,0)))</f>
        <v/>
      </c>
      <c r="GM16" s="68">
        <f>IF(OR($U16=0,$F16&lt;&gt;2),0,IF(GL16&gt;0,GL16,IF(ROUND(CN16*$J16,6)&lt;ROUND($M16,6),CN16,0)))</f>
        <v/>
      </c>
      <c r="GN16" s="68">
        <f>IF(OR($U16=0,$F16&lt;&gt;2),0,IF(GM16&gt;0,GM16,IF(ROUND(CO16*$J16,6)&lt;ROUND($M16,6),CO16,0)))</f>
        <v/>
      </c>
      <c r="GO16" s="68">
        <f>IF(OR($U16=0,$F16&lt;&gt;2),0,IF(GN16&gt;0,GN16,IF(ROUND(CP16*$J16,6)&lt;ROUND($M16,6),CP16,0)))</f>
        <v/>
      </c>
      <c r="GP16" s="68">
        <f>IF(OR($U16=0,$F16&lt;&gt;2),0,IF(GO16&gt;0,GO16,IF(ROUND(CQ16*$J16,6)&lt;ROUND($M16,6),CQ16,0)))</f>
        <v/>
      </c>
      <c r="GQ16" s="68">
        <f>IF(OR($U16=0,$F16&lt;&gt;2),0,IF(GP16&gt;0,GP16,IF(ROUND(CR16*$J16,6)&lt;ROUND($M16,6),CR16,0)))</f>
        <v/>
      </c>
      <c r="GR16" s="68">
        <f>IF(OR($U16=0,$F16&lt;&gt;2),0,IF(GQ16&gt;0,GQ16,IF(ROUND(CS16*$J16,6)&lt;ROUND($M16,6),CS16,0)))</f>
        <v/>
      </c>
      <c r="GS16" s="68">
        <f>IF(OR($U16=0,$F16&lt;&gt;2),0,IF(GR16&gt;0,GR16,IF(ROUND(CT16*$J16,6)&lt;ROUND($M16,6),CT16,0)))</f>
        <v/>
      </c>
      <c r="GT16" s="68">
        <f>IF(OR($U16=0,$F16&lt;&gt;2),0,IF(GS16&gt;0,GS16,IF(ROUND(CU16*$J16,6)&lt;ROUND($M16,6),CU16,0)))</f>
        <v/>
      </c>
      <c r="GU16" s="68">
        <f>IF(OR($U16=0,$F16&lt;&gt;2),0,IF(GT16&gt;0,GT16,IF(ROUND(CV16*$J16,6)&lt;ROUND($M16,6),CV16,0)))</f>
        <v/>
      </c>
      <c r="GV16" s="68">
        <f>IF(OR($U16=0,$F16&lt;&gt;2),0,IF(GU16&gt;0,GU16,IF(ROUND(CW16*$J16,6)&lt;ROUND($M16,6),CW16,0)))</f>
        <v/>
      </c>
      <c r="GW16" s="68">
        <f>IF(OR($U16=0,$F16&lt;&gt;2),0,IF(GV16&gt;0,GV16,IF(ROUND(CX16*$J16,6)&lt;ROUND($M16,6),CX16,0)))</f>
        <v/>
      </c>
      <c r="GX16" s="68">
        <f>IF(OR($U16=0,$F16&lt;&gt;2),0,IF(GW16&gt;0,GW16,IF(ROUND(CY16*$J16,6)&lt;ROUND($M16,6),CY16,0)))</f>
        <v/>
      </c>
      <c r="GY16" s="68">
        <f>IF(OR($U16=0,$F16&lt;&gt;2),0,IF(GX16&gt;0,GX16,IF(ROUND(CZ16*$J16,6)&lt;ROUND($M16,6),CZ16,0)))</f>
        <v/>
      </c>
      <c r="GZ16" s="68">
        <f>IF(OR($U16=0,$F16&lt;&gt;2),0,IF(GY16&gt;0,GY16,IF(ROUND(DA16*$J16,6)&lt;ROUND($M16,6),DA16,0)))</f>
        <v/>
      </c>
      <c r="HA16" s="68">
        <f>IF(OR($U16=0,$F16&lt;&gt;2),0,IF(GZ16&gt;0,GZ16,IF(ROUND(DB16*$J16,6)&lt;ROUND($M16,6),DB16,0)))</f>
        <v/>
      </c>
      <c r="HB16" s="68">
        <f>IF(OR($U16=0,$F16&lt;&gt;2),0,IF(HA16&gt;0,HA16,IF(ROUND(DC16*$J16,6)&lt;ROUND($M16,6),DC16,0)))</f>
        <v/>
      </c>
      <c r="HC16" s="68">
        <f>IF(OR($U16=0,$F16&lt;&gt;2),0,IF(HB16&gt;0,HB16,IF(ROUND(DD16*$J16,6)&lt;ROUND($M16,6),DD16,0)))</f>
        <v/>
      </c>
      <c r="HD16" s="68">
        <f>IF(OR($U16=0,$F16&lt;&gt;2),0,IF(HC16&gt;0,HC16,IF(ROUND(DE16*$J16,6)&lt;ROUND($M16,6),DE16,0)))</f>
        <v/>
      </c>
      <c r="HE16" s="68">
        <f>IF(OR($U16=0,$F16&lt;&gt;2),0,IF(HD16&gt;0,HD16,IF(ROUND(DF16*$J16,6)&lt;ROUND($M16,6),DF16,0)))</f>
        <v/>
      </c>
      <c r="HF16" s="68">
        <f>IF(OR($U16=0,$F16&lt;&gt;2),0,IF(HE16&gt;0,HE16,IF(ROUND(DG16*$J16,6)&lt;ROUND($M16,6),DG16,0)))</f>
        <v/>
      </c>
      <c r="HG16" s="68">
        <f>IF(OR($U16=0,$F16&lt;&gt;2),0,IF(HF16&gt;0,HF16,IF(ROUND(DH16*$J16,6)&lt;ROUND($M16,6),DH16,0)))</f>
        <v/>
      </c>
      <c r="HH16" s="68">
        <f>IF(OR($U16=0,$F16&lt;&gt;2),0,IF(HG16&gt;0,HG16,IF(ROUND(DI16*$J16,6)&lt;ROUND($M16,6),DI16,0)))</f>
        <v/>
      </c>
      <c r="HI16" s="68">
        <f>IF(OR($U16=0,$F16&lt;&gt;2),0,IF(HH16&gt;0,HH16,IF(ROUND(DJ16*$J16,6)&lt;ROUND($M16,6),DJ16,0)))</f>
        <v/>
      </c>
      <c r="HJ16" s="68">
        <f>IF(OR($U16=0,$F16&lt;&gt;2),0,IF(HI16&gt;0,HI16,IF(ROUND(DK16*$J16,6)&lt;ROUND($M16,6),DK16,0)))</f>
        <v/>
      </c>
      <c r="HK16" s="68">
        <f>IF(OR($U16=0,$F16&lt;&gt;2),0,IF(HJ16&gt;0,HJ16,IF(ROUND(DL16*$J16,6)&lt;ROUND($M16,6),DL16,0)))</f>
        <v/>
      </c>
      <c r="HL16" s="68">
        <f>IF(OR($U16=0,$F16&lt;&gt;2),0,IF(HK16&gt;0,HK16,IF(ROUND(DM16*$J16,6)&lt;ROUND($M16,6),DM16,0)))</f>
        <v/>
      </c>
      <c r="HM16" s="68">
        <f>IF(OR($U16=0,$F16&lt;&gt;2),0,IF(HL16&gt;0,HL16,IF(ROUND(DN16*$J16,6)&lt;ROUND($M16,6),DN16,0)))</f>
        <v/>
      </c>
      <c r="HN16" s="68">
        <f>IF(OR($U16=0,$F16&lt;&gt;2),0,IF(HM16&gt;0,HM16,IF(ROUND(DO16*$J16,6)&lt;ROUND($M16,6),DO16,0)))</f>
        <v/>
      </c>
      <c r="HO16" s="68">
        <f>IF(OR($U16=0,$F16&lt;&gt;2),0,IF(HN16&gt;0,HN16,IF(ROUND(DP16*$J16,6)&lt;ROUND($M16,6),DP16,0)))</f>
        <v/>
      </c>
      <c r="HP16" s="68">
        <f>IF(OR($U16=0,$F16&lt;&gt;2),0,IF(HO16&gt;0,HO16,IF(ROUND(DQ16*$J16,6)&lt;ROUND($M16,6),DQ16,0)))</f>
        <v/>
      </c>
      <c r="HQ16" s="68">
        <f>IF(OR($U16=0,$F16&lt;&gt;2),0,IF(HP16&gt;0,HP16,IF(ROUND(DR16*$J16,6)&lt;ROUND($M16,6),DR16,0)))</f>
        <v/>
      </c>
      <c r="HR16" s="68">
        <f>IF(OR($U16=0,$F16&lt;&gt;2),0,IF(HQ16&gt;0,HQ16,IF(ROUND(DS16*$J16,6)&lt;ROUND($M16,6),DS16,0)))</f>
        <v/>
      </c>
      <c r="HS16" s="68">
        <f>IF(OR($U16=0,$F16&lt;&gt;2),0,IF(HR16&gt;0,HR16,IF(ROUND(DT16*$J16,6)&lt;ROUND($M16,6),DT16,0)))</f>
        <v/>
      </c>
      <c r="HT16" s="68">
        <f>IF(OR($U16=0,$F16&lt;&gt;2),0,IF(HS16&gt;0,HS16,IF(ROUND(DU16*$J16,6)&lt;ROUND($M16,6),DU16,0)))</f>
        <v/>
      </c>
      <c r="HU16" s="68">
        <f>IF(OR($U16=0,$F16&lt;&gt;2),0,IF(HT16&gt;0,HT16,IF(ROUND(DV16*$J16,6)&lt;ROUND($M16,6),DV16,0)))</f>
        <v/>
      </c>
      <c r="HV16" s="68">
        <f>IF(OR($U16=0,$F16&lt;&gt;2),0,IF(HU16&gt;0,HU16,IF(ROUND(DW16*$J16,6)&lt;ROUND($M16,6),DW16,0)))</f>
        <v/>
      </c>
      <c r="HW16" s="68">
        <f>IF(OR($U16=0,$F16&lt;&gt;2),0,IF(HV16&gt;0,HV16,IF(ROUND(DX16*$J16,6)&lt;ROUND($M16,6),DX16,0)))</f>
        <v/>
      </c>
      <c r="HX16" s="68">
        <f>IF(OR($U16=0,$F16&lt;&gt;2),0,IF(HW16&gt;0,HW16,IF(ROUND(DY16*$J16,6)&lt;ROUND($M16,6),DY16,0)))</f>
        <v/>
      </c>
      <c r="HY16" s="68">
        <f>IF(OR($U16=0,$F16&lt;&gt;2),0,IF(HX16&gt;0,HX16,IF(ROUND(DZ16*$J16,6)&lt;ROUND($M16,6),DZ16,0)))</f>
        <v/>
      </c>
      <c r="HZ16" s="68">
        <f>IF(OR($U16=0,$F16&lt;&gt;2),0,IF(HY16&gt;0,HY16,IF(ROUND(EA16*$J16,6)&lt;ROUND($M16,6),EA16,0)))</f>
        <v/>
      </c>
      <c r="IA16" s="68">
        <f>IF(OR($U16=0,$F16&lt;&gt;2),0,IF(HZ16&gt;0,HZ16,IF(ROUND(EB16*$J16,6)&lt;ROUND($M16,6),EB16,0)))</f>
        <v/>
      </c>
      <c r="IB16" s="68">
        <f>IF(OR($U16=0,$F16&lt;&gt;2),0,IF(IA16&gt;0,IA16,IF(ROUND(EC16*$J16,6)&lt;ROUND($M16,6),EC16,0)))</f>
        <v/>
      </c>
      <c r="IC16" s="68">
        <f>IF(OR($U16=0,$F16&lt;&gt;2),0,IF(IB16&gt;0,IB16,IF(ROUND(ED16*$J16,6)&lt;ROUND($M16,6),ED16,0)))</f>
        <v/>
      </c>
      <c r="ID16" s="68">
        <f>IF(OR($U16=0,$F16&lt;&gt;2),0,IF(IC16&gt;0,IC16,IF(ROUND(EE16*$J16,6)&lt;ROUND($M16,6),EE16,0)))</f>
        <v/>
      </c>
      <c r="IE16" s="68">
        <f>IF(OR($U16=0,$F16&lt;&gt;2),0,IF(ID16&gt;0,ID16,IF(ROUND(EF16*$J16,6)&lt;ROUND($M16,6),EF16,0)))</f>
        <v/>
      </c>
      <c r="IF16" s="68">
        <f>IF(OR($U16=0,$F16&lt;&gt;2),0,IF(IE16&gt;0,IE16,IF(ROUND(EG16*$J16,6)&lt;ROUND($M16,6),EG16,0)))</f>
        <v/>
      </c>
      <c r="IG16" s="68">
        <f>IF(OR($U16=0,$F16&lt;&gt;2),0,IF(IF16&gt;0,IF16,IF(ROUND(EH16*$J16,6)&lt;ROUND($M16,6),EH16,0)))</f>
        <v/>
      </c>
      <c r="IH16" s="68">
        <f>IF(OR($U16=0,$F16&lt;&gt;2),0,IF(IG16&gt;0,IG16,IF(ROUND(EI16*$J16,6)&lt;ROUND($M16,6),EI16,0)))</f>
        <v/>
      </c>
      <c r="II16" s="68">
        <f>IF(OR($U16=0,$F16&lt;&gt;2),0,IF(IH16&gt;0,IH16,IF(ROUND(EJ16*$J16,6)&lt;ROUND($M16,6),EJ16,0)))</f>
        <v/>
      </c>
      <c r="IJ16" s="68">
        <f>IF(OR($U16=0,$F16&lt;&gt;2),0,IF(II16&gt;0,II16,IF(ROUND(EK16*$J16,6)&lt;ROUND($M16,6),EK16,0)))</f>
        <v/>
      </c>
      <c r="IK16" s="68">
        <f>IF(OR($U16=0,$F16&lt;&gt;2),0,IF(IJ16&gt;0,IJ16,IF(ROUND(EL16*$J16,6)&lt;ROUND($M16,6),EL16,0)))</f>
        <v/>
      </c>
      <c r="IL16" s="68">
        <f>IF(OR($U16=0,$F16&lt;&gt;2),0,IF(IK16&gt;0,IK16,IF(ROUND(EM16*$J16,6)&lt;ROUND($M16,6),EM16,0)))</f>
        <v/>
      </c>
      <c r="IM16" s="68">
        <f>IF(OR($U16=0,$F16&lt;&gt;2),0,IF(IL16&gt;0,IL16,IF(ROUND(EN16*$J16,6)&lt;ROUND($M16,6),EN16,0)))</f>
        <v/>
      </c>
      <c r="IN16" s="68">
        <f>IF(OR($U16=0,$F16&lt;&gt;2),0,IF(IM16&gt;0,IM16,IF(ROUND(EO16*$J16,6)&lt;ROUND($M16,6),EO16,0)))</f>
        <v/>
      </c>
    </row>
    <row r="17">
      <c r="A17" s="68" t="n">
        <v>12</v>
      </c>
      <c r="B17" s="68">
        <f>IF(OR(TRIM('固定資産台帳'!$B17)&lt;&gt;"",'固定資産台帳'!$E17&lt;&gt;"",'固定資産台帳'!$G17&lt;&gt;"",'固定資産台帳'!$H17&lt;&gt;""),1,0)</f>
        <v/>
      </c>
      <c r="C17" s="68">
        <f>IF(ISNUMBER('固定資産台帳'!$G17),MAX(ROUND('固定資産台帳'!$G17,0),0),0)</f>
        <v/>
      </c>
      <c r="D17" s="84">
        <f>IF(ISNUMBER('固定資産台帳'!$E17),INT('固定資産台帳'!$E17),0)</f>
        <v/>
      </c>
      <c r="E17" s="84">
        <f>IF(ISNUMBER('固定資産台帳'!$F17),INT('固定資産台帳'!$F17),$D17)</f>
        <v/>
      </c>
      <c r="F17" s="68">
        <f>IF('固定資産台帳'!$H17="定額法",1,IF(OR('固定資産台帳'!$H17="定率法",'固定資産台帳'!$H17="定率法（200%）",'固定資産台帳'!$H17="定率法（250%）"),2,IF('固定資産台帳'!$H17="一括償却（3年）",3,IF('固定資産台帳'!$H17="少額特例",4,0))))</f>
        <v/>
      </c>
      <c r="G17" s="68">
        <f>IF('固定資産台帳'!$H17="定率法（250%）",250,IF('固定資産台帳'!$H17="定率法（200%）",200,IF($D17&gt;=DATE(2012,4,1),200,250)))</f>
        <v/>
      </c>
      <c r="H17" s="68">
        <f>IF(ISNUMBER('固定資産台帳'!$I17),IF(AND('固定資産台帳'!$I17&gt;=2,'固定資産台帳'!$I17&lt;=100,'固定資産台帳'!$I17=INT('固定資産台帳'!$I17)),'固定資産台帳'!$I17,0),0)</f>
        <v/>
      </c>
      <c r="I17" s="68">
        <f>IF('固定資産台帳'!$C17="無形固定資産",0,1)</f>
        <v/>
      </c>
      <c r="J17" s="68">
        <f>IF(OR($H17=0,$F17=0,$F17&gt;2),0,IF($F17=1,INDEX('償却率表'!$B$6:$B$104,$H17-1),IF($G17=200,INDEX('償却率表'!$C$6:$C$104,$H17-1),INDEX('償却率表'!$F$6:$F$104,$H17-1))))</f>
        <v/>
      </c>
      <c r="K17" s="68">
        <f>IF(AND($F17=2,$H17&gt;0),IF($G17=200,INDEX('償却率表'!$D$6:$D$104,$H17-1),INDEX('償却率表'!$G$6:$G$104,$H17-1)),0)</f>
        <v/>
      </c>
      <c r="L17" s="68">
        <f>IF(AND($F17=2,$H17&gt;0),IF($G17=200,INDEX('償却率表'!$E$6:$E$104,$H17-1),INDEX('償却率表'!$H$6:$H$104,$H17-1)),0)</f>
        <v/>
      </c>
      <c r="M17" s="68">
        <f>$C17*$L17</f>
        <v/>
      </c>
      <c r="N17" s="68">
        <f>IF($B$1=1,1,IF('固定資産台帳'!$J17="",1,IF(ISNUMBER('固定資産台帳'!$J17),IF(AND('固定資産台帳'!$J17&gt;0,'固定資産台帳'!$J17&lt;=1),'固定資産台帳'!$J17,0),0)))</f>
        <v/>
      </c>
      <c r="O17" s="68">
        <f>IF($E17=0,0,YEAR($E17)-IF(MONTH($E17)&lt;$B$2,1,0))</f>
        <v/>
      </c>
      <c r="P17" s="68">
        <f>IF($E17=0,0,12-MOD(MONTH($E17)-$B$2,12))</f>
        <v/>
      </c>
      <c r="Q17" s="84">
        <f>IF(ISNUMBER('固定資産台帳'!$K17),INT('固定資産台帳'!$K17),0)</f>
        <v/>
      </c>
      <c r="R17" s="68">
        <f>IF(OR($Q17=0,$E17=0),999,YEAR($Q17)-IF(MONTH($Q17)&lt;$B$2,1,0)-$O17)</f>
        <v/>
      </c>
      <c r="S17" s="68">
        <f>IF($R17=999,0,MOD(MONTH($Q17)-$B$2,12)+1-IF($R17=0,12-$P17,0))</f>
        <v/>
      </c>
      <c r="T17" s="68">
        <f>IF($B17=0,0,IF($C17&lt;=0,1,IF($D17=0,2,IF($F17=0,3,IF(AND($F17&lt;=2,$H17=0),4,IF(AND($F17&lt;=2,$D17&lt;DATE(2007,4,1)),5,IF($E17&lt;$D17,6,IF(AND($Q17&gt;0,$Q17&lt;$E17),7,IF($N17=0,8,IF($B$3=0,9,0))))))))))</f>
        <v/>
      </c>
      <c r="U17" s="68">
        <f>IF(AND($B17=1,$T17=0),1,0)</f>
        <v/>
      </c>
      <c r="V17" s="68">
        <f>$B$3-$O17</f>
        <v/>
      </c>
      <c r="W17" s="68">
        <f>IF(AND($U17=1,$V17&gt;=0),1,0)</f>
        <v/>
      </c>
      <c r="X17" s="68">
        <f>IF($W17=0,0,IF($V17=0,$C17,INDEX($AS17:$EP17,MIN($V17,102))))</f>
        <v/>
      </c>
      <c r="Y17" s="68">
        <f>IF($W17=0,0,INDEX($AS17:$EP17,MIN($V17,101)+1))</f>
        <v/>
      </c>
      <c r="Z17" s="68">
        <f>$X17-$Y17</f>
        <v/>
      </c>
      <c r="AA17" s="68">
        <f>IF(AND($W17=1,$F17=2,$V17&gt;=1),INDEX($ER17:$IN17,MIN($V17,101)),0)</f>
        <v/>
      </c>
      <c r="AB17" s="68">
        <f>IF(OR($W17=0,$F17&gt;2,$Z17=0),0,IF($V17=0,IF($R17=0,$S17,$P17),IF($V17=$R17,$S17,12)))</f>
        <v/>
      </c>
      <c r="AC17" s="68">
        <f>IF($W17=0,0,INT(ROUND($Z17*$N17,6)+$B$4))</f>
        <v/>
      </c>
      <c r="AD17" s="68">
        <f>IF(AND($W17=1,$F17&lt;=2,$V17=$R17),1,0)</f>
        <v/>
      </c>
      <c r="AE17" s="68">
        <f>IF(AND($W17=1,$F17&lt;=2,$V17&gt;$R17),1,0)</f>
        <v/>
      </c>
      <c r="AF17" s="68">
        <f>IF(AND($W17=1,$AE17=0,OR($Z17&gt;0,$AD17=1)),1,0)</f>
        <v/>
      </c>
      <c r="AG17" s="68">
        <f>IF($AF17=1,SUM($AF$6:$AF17),0)</f>
        <v/>
      </c>
      <c r="AH17" s="68">
        <f>IF($T17=0,"",CHOOSE($T17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7" s="68">
        <f>IF(AND($F17=2,OR('固定資産台帳'!$C17="建物",'固定資産台帳'!$C17="無形固定資産",AND(OR('固定資産台帳'!$C17="建物附属設備",'固定資産台帳'!$C17="構築物"),$D17&gt;=DATE(2016,4,1)))),"この資産は定額法だけです（定率法は使えません）。","")&amp;IF(AND($F17=3,$C17&gt;=200000),"一括償却は20万円未満の資産だけです。","")&amp;IF(AND($F17=3,$B$1=0,$C17&lt;100000),"10万円未満は一括償却にせず、全額をその年の経費にします。","")&amp;IF(AND($F17=4,$C17&lt;100000),"10万円未満は少額特例ではなく、全額をその年の経費にします。","")&amp;IF(AND($F17=4,$D17&lt;DATE(2026,4,1),$C17&gt;=300000),"2026年3月31日までの取得で少額特例が使えるのは30万円未満です。","")&amp;IF(AND($F17=4,$D17&gt;=DATE(2026,4,1),$C17&gt;=400000),"少額特例は40万円未満の資産だけです。","")&amp;IF(AND($F17=4,OR($D17&lt;DATE(2006,4,1),$D17&gt;DATE(2029,3,31))),"少額特例は2006年4月1日〜2029年3月31日に取得した資産だけです。","")&amp;IF(AND($F17=2,$G17=250,$D17&gt;DATE(2012,12,31)),"250%定率法は2012年12月31日までの取得だけです。","")</f>
        <v/>
      </c>
      <c r="AJ17" s="68">
        <f>IF(AND($F17=2,'固定資産台帳'!$H17="定率法（200%）",$D17&lt;DATE(2012,4,1)),"2012年3月31日までの取得に200%を使うのは、経過措置の届出をした場合です。","")&amp;IF(AND($F17=2,'固定資産台帳'!$H17="定率法（250%）",$D17&gt;=DATE(2012,4,1),$D17&lt;=DATE(2012,12,31)),"2012年4〜12月の取得に250%を使うのは、経過措置を選んだ場合です。","")</f>
        <v/>
      </c>
      <c r="AK17" s="68">
        <f>IF($U17=0,"",IF($V17&lt;0,"表示している年より後に使い始める資産です。",IF($AE17=1,"売却・除却済みです。",IF($AD17=1,"この年に売却・除却。期末の帳簿価額 "&amp;TEXT($Y17,"#,##0")&amp;"円を帳簿から外します。",IF($F17=4,IF($V17=0,"少額特例：この年に全額を経費にします。","少額特例で経費にした資産です。"),IF($F17=3,IF($V17&gt;2,"一括償却は終わっています。","一括償却 "&amp;($V17+1)&amp;"年目（3年のうち）。"),IF($Z17=0,"償却済み（帳簿価額 "&amp;TEXT($Y17,"#,##0")&amp;"円）。",IF($AA17&gt;0,"改定償却率で計算（改定取得価額 "&amp;TEXT($AA17,"#,##0")&amp;"円）。",IF($V17=0,"この年に使い始め（"&amp;$AB17&amp;"か月分）。","")))))))))</f>
        <v/>
      </c>
      <c r="AL17" s="68">
        <f>IF(AND($U17=1,$F17=4,$V17=0),$C17,0)</f>
        <v/>
      </c>
      <c r="AM17" s="68">
        <f>IF($F17=2,INT(ROUND($M17,6)+$B$4),0)</f>
        <v/>
      </c>
      <c r="AN17" s="68">
        <f>IF($W17=0,0,IF($F17=2,IF($AA17&gt;0,$AA17,$X17),$C17))</f>
        <v/>
      </c>
      <c r="AO17" s="68">
        <f>IF($W17=0,"",IF($F17=3,"1/3",IF($F17=4,"―",IF($AA17&gt;0,$K17,$J17))))</f>
        <v/>
      </c>
      <c r="AP17" s="68" t="n"/>
      <c r="AQ17" s="68" t="n"/>
      <c r="AR17" s="68" t="n"/>
      <c r="AS17" s="68">
        <f>IF($U17=0,0,IF($F17=4,0,IF($F17=3,MAX($C17-INT(ROUND($C17/3,6)+$B$4),0),$C17-MIN(INT(ROUND($C17*$J17*IF($R17=0,$S17,$P17)/12,6)+$B$4),MAX($C17-$I17,0)))))</f>
        <v/>
      </c>
      <c r="AT17" s="68">
        <f>IF($U17=0,0,IF($F17=4,0,IF($F17=3,AS17-MIN(INT(ROUND($C17/3,6)+$B$4),AS17),IF(OR(1&gt;$R17,AS17&lt;=$I17),AS17,AS17-MIN(INT(ROUND(IF($F17=1,$C17*$J17,IF(ER17&gt;0,ER17*$K17,AS17*$J17))*IF(1=$R17,$S17,12)/12,6)+$B$4),AS17-$I17)))))</f>
        <v/>
      </c>
      <c r="AU17" s="68">
        <f>IF($U17=0,0,IF($F17=4,0,IF($F17=3,0,IF(OR(2&gt;$R17,AT17&lt;=$I17),AT17,AT17-MIN(INT(ROUND(IF($F17=1,$C17*$J17,IF(ES17&gt;0,ES17*$K17,AT17*$J17))*IF(2=$R17,$S17,12)/12,6)+$B$4),AT17-$I17)))))</f>
        <v/>
      </c>
      <c r="AV17" s="68">
        <f>IF($U17=0,0,IF($F17=4,0,IF($F17=3,0,IF(OR(3&gt;$R17,AU17&lt;=$I17),AU17,AU17-MIN(INT(ROUND(IF($F17=1,$C17*$J17,IF(ET17&gt;0,ET17*$K17,AU17*$J17))*IF(3=$R17,$S17,12)/12,6)+$B$4),AU17-$I17)))))</f>
        <v/>
      </c>
      <c r="AW17" s="68">
        <f>IF($U17=0,0,IF($F17=4,0,IF($F17=3,0,IF(OR(4&gt;$R17,AV17&lt;=$I17),AV17,AV17-MIN(INT(ROUND(IF($F17=1,$C17*$J17,IF(EU17&gt;0,EU17*$K17,AV17*$J17))*IF(4=$R17,$S17,12)/12,6)+$B$4),AV17-$I17)))))</f>
        <v/>
      </c>
      <c r="AX17" s="68">
        <f>IF($U17=0,0,IF($F17=4,0,IF($F17=3,0,IF(OR(5&gt;$R17,AW17&lt;=$I17),AW17,AW17-MIN(INT(ROUND(IF($F17=1,$C17*$J17,IF(EV17&gt;0,EV17*$K17,AW17*$J17))*IF(5=$R17,$S17,12)/12,6)+$B$4),AW17-$I17)))))</f>
        <v/>
      </c>
      <c r="AY17" s="68">
        <f>IF($U17=0,0,IF($F17=4,0,IF($F17=3,0,IF(OR(6&gt;$R17,AX17&lt;=$I17),AX17,AX17-MIN(INT(ROUND(IF($F17=1,$C17*$J17,IF(EW17&gt;0,EW17*$K17,AX17*$J17))*IF(6=$R17,$S17,12)/12,6)+$B$4),AX17-$I17)))))</f>
        <v/>
      </c>
      <c r="AZ17" s="68">
        <f>IF($U17=0,0,IF($F17=4,0,IF($F17=3,0,IF(OR(7&gt;$R17,AY17&lt;=$I17),AY17,AY17-MIN(INT(ROUND(IF($F17=1,$C17*$J17,IF(EX17&gt;0,EX17*$K17,AY17*$J17))*IF(7=$R17,$S17,12)/12,6)+$B$4),AY17-$I17)))))</f>
        <v/>
      </c>
      <c r="BA17" s="68">
        <f>IF($U17=0,0,IF($F17=4,0,IF($F17=3,0,IF(OR(8&gt;$R17,AZ17&lt;=$I17),AZ17,AZ17-MIN(INT(ROUND(IF($F17=1,$C17*$J17,IF(EY17&gt;0,EY17*$K17,AZ17*$J17))*IF(8=$R17,$S17,12)/12,6)+$B$4),AZ17-$I17)))))</f>
        <v/>
      </c>
      <c r="BB17" s="68">
        <f>IF($U17=0,0,IF($F17=4,0,IF($F17=3,0,IF(OR(9&gt;$R17,BA17&lt;=$I17),BA17,BA17-MIN(INT(ROUND(IF($F17=1,$C17*$J17,IF(EZ17&gt;0,EZ17*$K17,BA17*$J17))*IF(9=$R17,$S17,12)/12,6)+$B$4),BA17-$I17)))))</f>
        <v/>
      </c>
      <c r="BC17" s="68">
        <f>IF($U17=0,0,IF($F17=4,0,IF($F17=3,0,IF(OR(10&gt;$R17,BB17&lt;=$I17),BB17,BB17-MIN(INT(ROUND(IF($F17=1,$C17*$J17,IF(FA17&gt;0,FA17*$K17,BB17*$J17))*IF(10=$R17,$S17,12)/12,6)+$B$4),BB17-$I17)))))</f>
        <v/>
      </c>
      <c r="BD17" s="68">
        <f>IF($U17=0,0,IF($F17=4,0,IF($F17=3,0,IF(OR(11&gt;$R17,BC17&lt;=$I17),BC17,BC17-MIN(INT(ROUND(IF($F17=1,$C17*$J17,IF(FB17&gt;0,FB17*$K17,BC17*$J17))*IF(11=$R17,$S17,12)/12,6)+$B$4),BC17-$I17)))))</f>
        <v/>
      </c>
      <c r="BE17" s="68">
        <f>IF($U17=0,0,IF($F17=4,0,IF($F17=3,0,IF(OR(12&gt;$R17,BD17&lt;=$I17),BD17,BD17-MIN(INT(ROUND(IF($F17=1,$C17*$J17,IF(FC17&gt;0,FC17*$K17,BD17*$J17))*IF(12=$R17,$S17,12)/12,6)+$B$4),BD17-$I17)))))</f>
        <v/>
      </c>
      <c r="BF17" s="68">
        <f>IF($U17=0,0,IF($F17=4,0,IF($F17=3,0,IF(OR(13&gt;$R17,BE17&lt;=$I17),BE17,BE17-MIN(INT(ROUND(IF($F17=1,$C17*$J17,IF(FD17&gt;0,FD17*$K17,BE17*$J17))*IF(13=$R17,$S17,12)/12,6)+$B$4),BE17-$I17)))))</f>
        <v/>
      </c>
      <c r="BG17" s="68">
        <f>IF($U17=0,0,IF($F17=4,0,IF($F17=3,0,IF(OR(14&gt;$R17,BF17&lt;=$I17),BF17,BF17-MIN(INT(ROUND(IF($F17=1,$C17*$J17,IF(FE17&gt;0,FE17*$K17,BF17*$J17))*IF(14=$R17,$S17,12)/12,6)+$B$4),BF17-$I17)))))</f>
        <v/>
      </c>
      <c r="BH17" s="68">
        <f>IF($U17=0,0,IF($F17=4,0,IF($F17=3,0,IF(OR(15&gt;$R17,BG17&lt;=$I17),BG17,BG17-MIN(INT(ROUND(IF($F17=1,$C17*$J17,IF(FF17&gt;0,FF17*$K17,BG17*$J17))*IF(15=$R17,$S17,12)/12,6)+$B$4),BG17-$I17)))))</f>
        <v/>
      </c>
      <c r="BI17" s="68">
        <f>IF($U17=0,0,IF($F17=4,0,IF($F17=3,0,IF(OR(16&gt;$R17,BH17&lt;=$I17),BH17,BH17-MIN(INT(ROUND(IF($F17=1,$C17*$J17,IF(FG17&gt;0,FG17*$K17,BH17*$J17))*IF(16=$R17,$S17,12)/12,6)+$B$4),BH17-$I17)))))</f>
        <v/>
      </c>
      <c r="BJ17" s="68">
        <f>IF($U17=0,0,IF($F17=4,0,IF($F17=3,0,IF(OR(17&gt;$R17,BI17&lt;=$I17),BI17,BI17-MIN(INT(ROUND(IF($F17=1,$C17*$J17,IF(FH17&gt;0,FH17*$K17,BI17*$J17))*IF(17=$R17,$S17,12)/12,6)+$B$4),BI17-$I17)))))</f>
        <v/>
      </c>
      <c r="BK17" s="68">
        <f>IF($U17=0,0,IF($F17=4,0,IF($F17=3,0,IF(OR(18&gt;$R17,BJ17&lt;=$I17),BJ17,BJ17-MIN(INT(ROUND(IF($F17=1,$C17*$J17,IF(FI17&gt;0,FI17*$K17,BJ17*$J17))*IF(18=$R17,$S17,12)/12,6)+$B$4),BJ17-$I17)))))</f>
        <v/>
      </c>
      <c r="BL17" s="68">
        <f>IF($U17=0,0,IF($F17=4,0,IF($F17=3,0,IF(OR(19&gt;$R17,BK17&lt;=$I17),BK17,BK17-MIN(INT(ROUND(IF($F17=1,$C17*$J17,IF(FJ17&gt;0,FJ17*$K17,BK17*$J17))*IF(19=$R17,$S17,12)/12,6)+$B$4),BK17-$I17)))))</f>
        <v/>
      </c>
      <c r="BM17" s="68">
        <f>IF($U17=0,0,IF($F17=4,0,IF($F17=3,0,IF(OR(20&gt;$R17,BL17&lt;=$I17),BL17,BL17-MIN(INT(ROUND(IF($F17=1,$C17*$J17,IF(FK17&gt;0,FK17*$K17,BL17*$J17))*IF(20=$R17,$S17,12)/12,6)+$B$4),BL17-$I17)))))</f>
        <v/>
      </c>
      <c r="BN17" s="68">
        <f>IF($U17=0,0,IF($F17=4,0,IF($F17=3,0,IF(OR(21&gt;$R17,BM17&lt;=$I17),BM17,BM17-MIN(INT(ROUND(IF($F17=1,$C17*$J17,IF(FL17&gt;0,FL17*$K17,BM17*$J17))*IF(21=$R17,$S17,12)/12,6)+$B$4),BM17-$I17)))))</f>
        <v/>
      </c>
      <c r="BO17" s="68">
        <f>IF($U17=0,0,IF($F17=4,0,IF($F17=3,0,IF(OR(22&gt;$R17,BN17&lt;=$I17),BN17,BN17-MIN(INT(ROUND(IF($F17=1,$C17*$J17,IF(FM17&gt;0,FM17*$K17,BN17*$J17))*IF(22=$R17,$S17,12)/12,6)+$B$4),BN17-$I17)))))</f>
        <v/>
      </c>
      <c r="BP17" s="68">
        <f>IF($U17=0,0,IF($F17=4,0,IF($F17=3,0,IF(OR(23&gt;$R17,BO17&lt;=$I17),BO17,BO17-MIN(INT(ROUND(IF($F17=1,$C17*$J17,IF(FN17&gt;0,FN17*$K17,BO17*$J17))*IF(23=$R17,$S17,12)/12,6)+$B$4),BO17-$I17)))))</f>
        <v/>
      </c>
      <c r="BQ17" s="68">
        <f>IF($U17=0,0,IF($F17=4,0,IF($F17=3,0,IF(OR(24&gt;$R17,BP17&lt;=$I17),BP17,BP17-MIN(INT(ROUND(IF($F17=1,$C17*$J17,IF(FO17&gt;0,FO17*$K17,BP17*$J17))*IF(24=$R17,$S17,12)/12,6)+$B$4),BP17-$I17)))))</f>
        <v/>
      </c>
      <c r="BR17" s="68">
        <f>IF($U17=0,0,IF($F17=4,0,IF($F17=3,0,IF(OR(25&gt;$R17,BQ17&lt;=$I17),BQ17,BQ17-MIN(INT(ROUND(IF($F17=1,$C17*$J17,IF(FP17&gt;0,FP17*$K17,BQ17*$J17))*IF(25=$R17,$S17,12)/12,6)+$B$4),BQ17-$I17)))))</f>
        <v/>
      </c>
      <c r="BS17" s="68">
        <f>IF($U17=0,0,IF($F17=4,0,IF($F17=3,0,IF(OR(26&gt;$R17,BR17&lt;=$I17),BR17,BR17-MIN(INT(ROUND(IF($F17=1,$C17*$J17,IF(FQ17&gt;0,FQ17*$K17,BR17*$J17))*IF(26=$R17,$S17,12)/12,6)+$B$4),BR17-$I17)))))</f>
        <v/>
      </c>
      <c r="BT17" s="68">
        <f>IF($U17=0,0,IF($F17=4,0,IF($F17=3,0,IF(OR(27&gt;$R17,BS17&lt;=$I17),BS17,BS17-MIN(INT(ROUND(IF($F17=1,$C17*$J17,IF(FR17&gt;0,FR17*$K17,BS17*$J17))*IF(27=$R17,$S17,12)/12,6)+$B$4),BS17-$I17)))))</f>
        <v/>
      </c>
      <c r="BU17" s="68">
        <f>IF($U17=0,0,IF($F17=4,0,IF($F17=3,0,IF(OR(28&gt;$R17,BT17&lt;=$I17),BT17,BT17-MIN(INT(ROUND(IF($F17=1,$C17*$J17,IF(FS17&gt;0,FS17*$K17,BT17*$J17))*IF(28=$R17,$S17,12)/12,6)+$B$4),BT17-$I17)))))</f>
        <v/>
      </c>
      <c r="BV17" s="68">
        <f>IF($U17=0,0,IF($F17=4,0,IF($F17=3,0,IF(OR(29&gt;$R17,BU17&lt;=$I17),BU17,BU17-MIN(INT(ROUND(IF($F17=1,$C17*$J17,IF(FT17&gt;0,FT17*$K17,BU17*$J17))*IF(29=$R17,$S17,12)/12,6)+$B$4),BU17-$I17)))))</f>
        <v/>
      </c>
      <c r="BW17" s="68">
        <f>IF($U17=0,0,IF($F17=4,0,IF($F17=3,0,IF(OR(30&gt;$R17,BV17&lt;=$I17),BV17,BV17-MIN(INT(ROUND(IF($F17=1,$C17*$J17,IF(FU17&gt;0,FU17*$K17,BV17*$J17))*IF(30=$R17,$S17,12)/12,6)+$B$4),BV17-$I17)))))</f>
        <v/>
      </c>
      <c r="BX17" s="68">
        <f>IF($U17=0,0,IF($F17=4,0,IF($F17=3,0,IF(OR(31&gt;$R17,BW17&lt;=$I17),BW17,BW17-MIN(INT(ROUND(IF($F17=1,$C17*$J17,IF(FV17&gt;0,FV17*$K17,BW17*$J17))*IF(31=$R17,$S17,12)/12,6)+$B$4),BW17-$I17)))))</f>
        <v/>
      </c>
      <c r="BY17" s="68">
        <f>IF($U17=0,0,IF($F17=4,0,IF($F17=3,0,IF(OR(32&gt;$R17,BX17&lt;=$I17),BX17,BX17-MIN(INT(ROUND(IF($F17=1,$C17*$J17,IF(FW17&gt;0,FW17*$K17,BX17*$J17))*IF(32=$R17,$S17,12)/12,6)+$B$4),BX17-$I17)))))</f>
        <v/>
      </c>
      <c r="BZ17" s="68">
        <f>IF($U17=0,0,IF($F17=4,0,IF($F17=3,0,IF(OR(33&gt;$R17,BY17&lt;=$I17),BY17,BY17-MIN(INT(ROUND(IF($F17=1,$C17*$J17,IF(FX17&gt;0,FX17*$K17,BY17*$J17))*IF(33=$R17,$S17,12)/12,6)+$B$4),BY17-$I17)))))</f>
        <v/>
      </c>
      <c r="CA17" s="68">
        <f>IF($U17=0,0,IF($F17=4,0,IF($F17=3,0,IF(OR(34&gt;$R17,BZ17&lt;=$I17),BZ17,BZ17-MIN(INT(ROUND(IF($F17=1,$C17*$J17,IF(FY17&gt;0,FY17*$K17,BZ17*$J17))*IF(34=$R17,$S17,12)/12,6)+$B$4),BZ17-$I17)))))</f>
        <v/>
      </c>
      <c r="CB17" s="68">
        <f>IF($U17=0,0,IF($F17=4,0,IF($F17=3,0,IF(OR(35&gt;$R17,CA17&lt;=$I17),CA17,CA17-MIN(INT(ROUND(IF($F17=1,$C17*$J17,IF(FZ17&gt;0,FZ17*$K17,CA17*$J17))*IF(35=$R17,$S17,12)/12,6)+$B$4),CA17-$I17)))))</f>
        <v/>
      </c>
      <c r="CC17" s="68">
        <f>IF($U17=0,0,IF($F17=4,0,IF($F17=3,0,IF(OR(36&gt;$R17,CB17&lt;=$I17),CB17,CB17-MIN(INT(ROUND(IF($F17=1,$C17*$J17,IF(GA17&gt;0,GA17*$K17,CB17*$J17))*IF(36=$R17,$S17,12)/12,6)+$B$4),CB17-$I17)))))</f>
        <v/>
      </c>
      <c r="CD17" s="68">
        <f>IF($U17=0,0,IF($F17=4,0,IF($F17=3,0,IF(OR(37&gt;$R17,CC17&lt;=$I17),CC17,CC17-MIN(INT(ROUND(IF($F17=1,$C17*$J17,IF(GB17&gt;0,GB17*$K17,CC17*$J17))*IF(37=$R17,$S17,12)/12,6)+$B$4),CC17-$I17)))))</f>
        <v/>
      </c>
      <c r="CE17" s="68">
        <f>IF($U17=0,0,IF($F17=4,0,IF($F17=3,0,IF(OR(38&gt;$R17,CD17&lt;=$I17),CD17,CD17-MIN(INT(ROUND(IF($F17=1,$C17*$J17,IF(GC17&gt;0,GC17*$K17,CD17*$J17))*IF(38=$R17,$S17,12)/12,6)+$B$4),CD17-$I17)))))</f>
        <v/>
      </c>
      <c r="CF17" s="68">
        <f>IF($U17=0,0,IF($F17=4,0,IF($F17=3,0,IF(OR(39&gt;$R17,CE17&lt;=$I17),CE17,CE17-MIN(INT(ROUND(IF($F17=1,$C17*$J17,IF(GD17&gt;0,GD17*$K17,CE17*$J17))*IF(39=$R17,$S17,12)/12,6)+$B$4),CE17-$I17)))))</f>
        <v/>
      </c>
      <c r="CG17" s="68">
        <f>IF($U17=0,0,IF($F17=4,0,IF($F17=3,0,IF(OR(40&gt;$R17,CF17&lt;=$I17),CF17,CF17-MIN(INT(ROUND(IF($F17=1,$C17*$J17,IF(GE17&gt;0,GE17*$K17,CF17*$J17))*IF(40=$R17,$S17,12)/12,6)+$B$4),CF17-$I17)))))</f>
        <v/>
      </c>
      <c r="CH17" s="68">
        <f>IF($U17=0,0,IF($F17=4,0,IF($F17=3,0,IF(OR(41&gt;$R17,CG17&lt;=$I17),CG17,CG17-MIN(INT(ROUND(IF($F17=1,$C17*$J17,IF(GF17&gt;0,GF17*$K17,CG17*$J17))*IF(41=$R17,$S17,12)/12,6)+$B$4),CG17-$I17)))))</f>
        <v/>
      </c>
      <c r="CI17" s="68">
        <f>IF($U17=0,0,IF($F17=4,0,IF($F17=3,0,IF(OR(42&gt;$R17,CH17&lt;=$I17),CH17,CH17-MIN(INT(ROUND(IF($F17=1,$C17*$J17,IF(GG17&gt;0,GG17*$K17,CH17*$J17))*IF(42=$R17,$S17,12)/12,6)+$B$4),CH17-$I17)))))</f>
        <v/>
      </c>
      <c r="CJ17" s="68">
        <f>IF($U17=0,0,IF($F17=4,0,IF($F17=3,0,IF(OR(43&gt;$R17,CI17&lt;=$I17),CI17,CI17-MIN(INT(ROUND(IF($F17=1,$C17*$J17,IF(GH17&gt;0,GH17*$K17,CI17*$J17))*IF(43=$R17,$S17,12)/12,6)+$B$4),CI17-$I17)))))</f>
        <v/>
      </c>
      <c r="CK17" s="68">
        <f>IF($U17=0,0,IF($F17=4,0,IF($F17=3,0,IF(OR(44&gt;$R17,CJ17&lt;=$I17),CJ17,CJ17-MIN(INT(ROUND(IF($F17=1,$C17*$J17,IF(GI17&gt;0,GI17*$K17,CJ17*$J17))*IF(44=$R17,$S17,12)/12,6)+$B$4),CJ17-$I17)))))</f>
        <v/>
      </c>
      <c r="CL17" s="68">
        <f>IF($U17=0,0,IF($F17=4,0,IF($F17=3,0,IF(OR(45&gt;$R17,CK17&lt;=$I17),CK17,CK17-MIN(INT(ROUND(IF($F17=1,$C17*$J17,IF(GJ17&gt;0,GJ17*$K17,CK17*$J17))*IF(45=$R17,$S17,12)/12,6)+$B$4),CK17-$I17)))))</f>
        <v/>
      </c>
      <c r="CM17" s="68">
        <f>IF($U17=0,0,IF($F17=4,0,IF($F17=3,0,IF(OR(46&gt;$R17,CL17&lt;=$I17),CL17,CL17-MIN(INT(ROUND(IF($F17=1,$C17*$J17,IF(GK17&gt;0,GK17*$K17,CL17*$J17))*IF(46=$R17,$S17,12)/12,6)+$B$4),CL17-$I17)))))</f>
        <v/>
      </c>
      <c r="CN17" s="68">
        <f>IF($U17=0,0,IF($F17=4,0,IF($F17=3,0,IF(OR(47&gt;$R17,CM17&lt;=$I17),CM17,CM17-MIN(INT(ROUND(IF($F17=1,$C17*$J17,IF(GL17&gt;0,GL17*$K17,CM17*$J17))*IF(47=$R17,$S17,12)/12,6)+$B$4),CM17-$I17)))))</f>
        <v/>
      </c>
      <c r="CO17" s="68">
        <f>IF($U17=0,0,IF($F17=4,0,IF($F17=3,0,IF(OR(48&gt;$R17,CN17&lt;=$I17),CN17,CN17-MIN(INT(ROUND(IF($F17=1,$C17*$J17,IF(GM17&gt;0,GM17*$K17,CN17*$J17))*IF(48=$R17,$S17,12)/12,6)+$B$4),CN17-$I17)))))</f>
        <v/>
      </c>
      <c r="CP17" s="68">
        <f>IF($U17=0,0,IF($F17=4,0,IF($F17=3,0,IF(OR(49&gt;$R17,CO17&lt;=$I17),CO17,CO17-MIN(INT(ROUND(IF($F17=1,$C17*$J17,IF(GN17&gt;0,GN17*$K17,CO17*$J17))*IF(49=$R17,$S17,12)/12,6)+$B$4),CO17-$I17)))))</f>
        <v/>
      </c>
      <c r="CQ17" s="68">
        <f>IF($U17=0,0,IF($F17=4,0,IF($F17=3,0,IF(OR(50&gt;$R17,CP17&lt;=$I17),CP17,CP17-MIN(INT(ROUND(IF($F17=1,$C17*$J17,IF(GO17&gt;0,GO17*$K17,CP17*$J17))*IF(50=$R17,$S17,12)/12,6)+$B$4),CP17-$I17)))))</f>
        <v/>
      </c>
      <c r="CR17" s="68">
        <f>IF($U17=0,0,IF($F17=4,0,IF($F17=3,0,IF(OR(51&gt;$R17,CQ17&lt;=$I17),CQ17,CQ17-MIN(INT(ROUND(IF($F17=1,$C17*$J17,IF(GP17&gt;0,GP17*$K17,CQ17*$J17))*IF(51=$R17,$S17,12)/12,6)+$B$4),CQ17-$I17)))))</f>
        <v/>
      </c>
      <c r="CS17" s="68">
        <f>IF($U17=0,0,IF($F17=4,0,IF($F17=3,0,IF(OR(52&gt;$R17,CR17&lt;=$I17),CR17,CR17-MIN(INT(ROUND(IF($F17=1,$C17*$J17,IF(GQ17&gt;0,GQ17*$K17,CR17*$J17))*IF(52=$R17,$S17,12)/12,6)+$B$4),CR17-$I17)))))</f>
        <v/>
      </c>
      <c r="CT17" s="68">
        <f>IF($U17=0,0,IF($F17=4,0,IF($F17=3,0,IF(OR(53&gt;$R17,CS17&lt;=$I17),CS17,CS17-MIN(INT(ROUND(IF($F17=1,$C17*$J17,IF(GR17&gt;0,GR17*$K17,CS17*$J17))*IF(53=$R17,$S17,12)/12,6)+$B$4),CS17-$I17)))))</f>
        <v/>
      </c>
      <c r="CU17" s="68">
        <f>IF($U17=0,0,IF($F17=4,0,IF($F17=3,0,IF(OR(54&gt;$R17,CT17&lt;=$I17),CT17,CT17-MIN(INT(ROUND(IF($F17=1,$C17*$J17,IF(GS17&gt;0,GS17*$K17,CT17*$J17))*IF(54=$R17,$S17,12)/12,6)+$B$4),CT17-$I17)))))</f>
        <v/>
      </c>
      <c r="CV17" s="68">
        <f>IF($U17=0,0,IF($F17=4,0,IF($F17=3,0,IF(OR(55&gt;$R17,CU17&lt;=$I17),CU17,CU17-MIN(INT(ROUND(IF($F17=1,$C17*$J17,IF(GT17&gt;0,GT17*$K17,CU17*$J17))*IF(55=$R17,$S17,12)/12,6)+$B$4),CU17-$I17)))))</f>
        <v/>
      </c>
      <c r="CW17" s="68">
        <f>IF($U17=0,0,IF($F17=4,0,IF($F17=3,0,IF(OR(56&gt;$R17,CV17&lt;=$I17),CV17,CV17-MIN(INT(ROUND(IF($F17=1,$C17*$J17,IF(GU17&gt;0,GU17*$K17,CV17*$J17))*IF(56=$R17,$S17,12)/12,6)+$B$4),CV17-$I17)))))</f>
        <v/>
      </c>
      <c r="CX17" s="68">
        <f>IF($U17=0,0,IF($F17=4,0,IF($F17=3,0,IF(OR(57&gt;$R17,CW17&lt;=$I17),CW17,CW17-MIN(INT(ROUND(IF($F17=1,$C17*$J17,IF(GV17&gt;0,GV17*$K17,CW17*$J17))*IF(57=$R17,$S17,12)/12,6)+$B$4),CW17-$I17)))))</f>
        <v/>
      </c>
      <c r="CY17" s="68">
        <f>IF($U17=0,0,IF($F17=4,0,IF($F17=3,0,IF(OR(58&gt;$R17,CX17&lt;=$I17),CX17,CX17-MIN(INT(ROUND(IF($F17=1,$C17*$J17,IF(GW17&gt;0,GW17*$K17,CX17*$J17))*IF(58=$R17,$S17,12)/12,6)+$B$4),CX17-$I17)))))</f>
        <v/>
      </c>
      <c r="CZ17" s="68">
        <f>IF($U17=0,0,IF($F17=4,0,IF($F17=3,0,IF(OR(59&gt;$R17,CY17&lt;=$I17),CY17,CY17-MIN(INT(ROUND(IF($F17=1,$C17*$J17,IF(GX17&gt;0,GX17*$K17,CY17*$J17))*IF(59=$R17,$S17,12)/12,6)+$B$4),CY17-$I17)))))</f>
        <v/>
      </c>
      <c r="DA17" s="68">
        <f>IF($U17=0,0,IF($F17=4,0,IF($F17=3,0,IF(OR(60&gt;$R17,CZ17&lt;=$I17),CZ17,CZ17-MIN(INT(ROUND(IF($F17=1,$C17*$J17,IF(GY17&gt;0,GY17*$K17,CZ17*$J17))*IF(60=$R17,$S17,12)/12,6)+$B$4),CZ17-$I17)))))</f>
        <v/>
      </c>
      <c r="DB17" s="68">
        <f>IF($U17=0,0,IF($F17=4,0,IF($F17=3,0,IF(OR(61&gt;$R17,DA17&lt;=$I17),DA17,DA17-MIN(INT(ROUND(IF($F17=1,$C17*$J17,IF(GZ17&gt;0,GZ17*$K17,DA17*$J17))*IF(61=$R17,$S17,12)/12,6)+$B$4),DA17-$I17)))))</f>
        <v/>
      </c>
      <c r="DC17" s="68">
        <f>IF($U17=0,0,IF($F17=4,0,IF($F17=3,0,IF(OR(62&gt;$R17,DB17&lt;=$I17),DB17,DB17-MIN(INT(ROUND(IF($F17=1,$C17*$J17,IF(HA17&gt;0,HA17*$K17,DB17*$J17))*IF(62=$R17,$S17,12)/12,6)+$B$4),DB17-$I17)))))</f>
        <v/>
      </c>
      <c r="DD17" s="68">
        <f>IF($U17=0,0,IF($F17=4,0,IF($F17=3,0,IF(OR(63&gt;$R17,DC17&lt;=$I17),DC17,DC17-MIN(INT(ROUND(IF($F17=1,$C17*$J17,IF(HB17&gt;0,HB17*$K17,DC17*$J17))*IF(63=$R17,$S17,12)/12,6)+$B$4),DC17-$I17)))))</f>
        <v/>
      </c>
      <c r="DE17" s="68">
        <f>IF($U17=0,0,IF($F17=4,0,IF($F17=3,0,IF(OR(64&gt;$R17,DD17&lt;=$I17),DD17,DD17-MIN(INT(ROUND(IF($F17=1,$C17*$J17,IF(HC17&gt;0,HC17*$K17,DD17*$J17))*IF(64=$R17,$S17,12)/12,6)+$B$4),DD17-$I17)))))</f>
        <v/>
      </c>
      <c r="DF17" s="68">
        <f>IF($U17=0,0,IF($F17=4,0,IF($F17=3,0,IF(OR(65&gt;$R17,DE17&lt;=$I17),DE17,DE17-MIN(INT(ROUND(IF($F17=1,$C17*$J17,IF(HD17&gt;0,HD17*$K17,DE17*$J17))*IF(65=$R17,$S17,12)/12,6)+$B$4),DE17-$I17)))))</f>
        <v/>
      </c>
      <c r="DG17" s="68">
        <f>IF($U17=0,0,IF($F17=4,0,IF($F17=3,0,IF(OR(66&gt;$R17,DF17&lt;=$I17),DF17,DF17-MIN(INT(ROUND(IF($F17=1,$C17*$J17,IF(HE17&gt;0,HE17*$K17,DF17*$J17))*IF(66=$R17,$S17,12)/12,6)+$B$4),DF17-$I17)))))</f>
        <v/>
      </c>
      <c r="DH17" s="68">
        <f>IF($U17=0,0,IF($F17=4,0,IF($F17=3,0,IF(OR(67&gt;$R17,DG17&lt;=$I17),DG17,DG17-MIN(INT(ROUND(IF($F17=1,$C17*$J17,IF(HF17&gt;0,HF17*$K17,DG17*$J17))*IF(67=$R17,$S17,12)/12,6)+$B$4),DG17-$I17)))))</f>
        <v/>
      </c>
      <c r="DI17" s="68">
        <f>IF($U17=0,0,IF($F17=4,0,IF($F17=3,0,IF(OR(68&gt;$R17,DH17&lt;=$I17),DH17,DH17-MIN(INT(ROUND(IF($F17=1,$C17*$J17,IF(HG17&gt;0,HG17*$K17,DH17*$J17))*IF(68=$R17,$S17,12)/12,6)+$B$4),DH17-$I17)))))</f>
        <v/>
      </c>
      <c r="DJ17" s="68">
        <f>IF($U17=0,0,IF($F17=4,0,IF($F17=3,0,IF(OR(69&gt;$R17,DI17&lt;=$I17),DI17,DI17-MIN(INT(ROUND(IF($F17=1,$C17*$J17,IF(HH17&gt;0,HH17*$K17,DI17*$J17))*IF(69=$R17,$S17,12)/12,6)+$B$4),DI17-$I17)))))</f>
        <v/>
      </c>
      <c r="DK17" s="68">
        <f>IF($U17=0,0,IF($F17=4,0,IF($F17=3,0,IF(OR(70&gt;$R17,DJ17&lt;=$I17),DJ17,DJ17-MIN(INT(ROUND(IF($F17=1,$C17*$J17,IF(HI17&gt;0,HI17*$K17,DJ17*$J17))*IF(70=$R17,$S17,12)/12,6)+$B$4),DJ17-$I17)))))</f>
        <v/>
      </c>
      <c r="DL17" s="68">
        <f>IF($U17=0,0,IF($F17=4,0,IF($F17=3,0,IF(OR(71&gt;$R17,DK17&lt;=$I17),DK17,DK17-MIN(INT(ROUND(IF($F17=1,$C17*$J17,IF(HJ17&gt;0,HJ17*$K17,DK17*$J17))*IF(71=$R17,$S17,12)/12,6)+$B$4),DK17-$I17)))))</f>
        <v/>
      </c>
      <c r="DM17" s="68">
        <f>IF($U17=0,0,IF($F17=4,0,IF($F17=3,0,IF(OR(72&gt;$R17,DL17&lt;=$I17),DL17,DL17-MIN(INT(ROUND(IF($F17=1,$C17*$J17,IF(HK17&gt;0,HK17*$K17,DL17*$J17))*IF(72=$R17,$S17,12)/12,6)+$B$4),DL17-$I17)))))</f>
        <v/>
      </c>
      <c r="DN17" s="68">
        <f>IF($U17=0,0,IF($F17=4,0,IF($F17=3,0,IF(OR(73&gt;$R17,DM17&lt;=$I17),DM17,DM17-MIN(INT(ROUND(IF($F17=1,$C17*$J17,IF(HL17&gt;0,HL17*$K17,DM17*$J17))*IF(73=$R17,$S17,12)/12,6)+$B$4),DM17-$I17)))))</f>
        <v/>
      </c>
      <c r="DO17" s="68">
        <f>IF($U17=0,0,IF($F17=4,0,IF($F17=3,0,IF(OR(74&gt;$R17,DN17&lt;=$I17),DN17,DN17-MIN(INT(ROUND(IF($F17=1,$C17*$J17,IF(HM17&gt;0,HM17*$K17,DN17*$J17))*IF(74=$R17,$S17,12)/12,6)+$B$4),DN17-$I17)))))</f>
        <v/>
      </c>
      <c r="DP17" s="68">
        <f>IF($U17=0,0,IF($F17=4,0,IF($F17=3,0,IF(OR(75&gt;$R17,DO17&lt;=$I17),DO17,DO17-MIN(INT(ROUND(IF($F17=1,$C17*$J17,IF(HN17&gt;0,HN17*$K17,DO17*$J17))*IF(75=$R17,$S17,12)/12,6)+$B$4),DO17-$I17)))))</f>
        <v/>
      </c>
      <c r="DQ17" s="68">
        <f>IF($U17=0,0,IF($F17=4,0,IF($F17=3,0,IF(OR(76&gt;$R17,DP17&lt;=$I17),DP17,DP17-MIN(INT(ROUND(IF($F17=1,$C17*$J17,IF(HO17&gt;0,HO17*$K17,DP17*$J17))*IF(76=$R17,$S17,12)/12,6)+$B$4),DP17-$I17)))))</f>
        <v/>
      </c>
      <c r="DR17" s="68">
        <f>IF($U17=0,0,IF($F17=4,0,IF($F17=3,0,IF(OR(77&gt;$R17,DQ17&lt;=$I17),DQ17,DQ17-MIN(INT(ROUND(IF($F17=1,$C17*$J17,IF(HP17&gt;0,HP17*$K17,DQ17*$J17))*IF(77=$R17,$S17,12)/12,6)+$B$4),DQ17-$I17)))))</f>
        <v/>
      </c>
      <c r="DS17" s="68">
        <f>IF($U17=0,0,IF($F17=4,0,IF($F17=3,0,IF(OR(78&gt;$R17,DR17&lt;=$I17),DR17,DR17-MIN(INT(ROUND(IF($F17=1,$C17*$J17,IF(HQ17&gt;0,HQ17*$K17,DR17*$J17))*IF(78=$R17,$S17,12)/12,6)+$B$4),DR17-$I17)))))</f>
        <v/>
      </c>
      <c r="DT17" s="68">
        <f>IF($U17=0,0,IF($F17=4,0,IF($F17=3,0,IF(OR(79&gt;$R17,DS17&lt;=$I17),DS17,DS17-MIN(INT(ROUND(IF($F17=1,$C17*$J17,IF(HR17&gt;0,HR17*$K17,DS17*$J17))*IF(79=$R17,$S17,12)/12,6)+$B$4),DS17-$I17)))))</f>
        <v/>
      </c>
      <c r="DU17" s="68">
        <f>IF($U17=0,0,IF($F17=4,0,IF($F17=3,0,IF(OR(80&gt;$R17,DT17&lt;=$I17),DT17,DT17-MIN(INT(ROUND(IF($F17=1,$C17*$J17,IF(HS17&gt;0,HS17*$K17,DT17*$J17))*IF(80=$R17,$S17,12)/12,6)+$B$4),DT17-$I17)))))</f>
        <v/>
      </c>
      <c r="DV17" s="68">
        <f>IF($U17=0,0,IF($F17=4,0,IF($F17=3,0,IF(OR(81&gt;$R17,DU17&lt;=$I17),DU17,DU17-MIN(INT(ROUND(IF($F17=1,$C17*$J17,IF(HT17&gt;0,HT17*$K17,DU17*$J17))*IF(81=$R17,$S17,12)/12,6)+$B$4),DU17-$I17)))))</f>
        <v/>
      </c>
      <c r="DW17" s="68">
        <f>IF($U17=0,0,IF($F17=4,0,IF($F17=3,0,IF(OR(82&gt;$R17,DV17&lt;=$I17),DV17,DV17-MIN(INT(ROUND(IF($F17=1,$C17*$J17,IF(HU17&gt;0,HU17*$K17,DV17*$J17))*IF(82=$R17,$S17,12)/12,6)+$B$4),DV17-$I17)))))</f>
        <v/>
      </c>
      <c r="DX17" s="68">
        <f>IF($U17=0,0,IF($F17=4,0,IF($F17=3,0,IF(OR(83&gt;$R17,DW17&lt;=$I17),DW17,DW17-MIN(INT(ROUND(IF($F17=1,$C17*$J17,IF(HV17&gt;0,HV17*$K17,DW17*$J17))*IF(83=$R17,$S17,12)/12,6)+$B$4),DW17-$I17)))))</f>
        <v/>
      </c>
      <c r="DY17" s="68">
        <f>IF($U17=0,0,IF($F17=4,0,IF($F17=3,0,IF(OR(84&gt;$R17,DX17&lt;=$I17),DX17,DX17-MIN(INT(ROUND(IF($F17=1,$C17*$J17,IF(HW17&gt;0,HW17*$K17,DX17*$J17))*IF(84=$R17,$S17,12)/12,6)+$B$4),DX17-$I17)))))</f>
        <v/>
      </c>
      <c r="DZ17" s="68">
        <f>IF($U17=0,0,IF($F17=4,0,IF($F17=3,0,IF(OR(85&gt;$R17,DY17&lt;=$I17),DY17,DY17-MIN(INT(ROUND(IF($F17=1,$C17*$J17,IF(HX17&gt;0,HX17*$K17,DY17*$J17))*IF(85=$R17,$S17,12)/12,6)+$B$4),DY17-$I17)))))</f>
        <v/>
      </c>
      <c r="EA17" s="68">
        <f>IF($U17=0,0,IF($F17=4,0,IF($F17=3,0,IF(OR(86&gt;$R17,DZ17&lt;=$I17),DZ17,DZ17-MIN(INT(ROUND(IF($F17=1,$C17*$J17,IF(HY17&gt;0,HY17*$K17,DZ17*$J17))*IF(86=$R17,$S17,12)/12,6)+$B$4),DZ17-$I17)))))</f>
        <v/>
      </c>
      <c r="EB17" s="68">
        <f>IF($U17=0,0,IF($F17=4,0,IF($F17=3,0,IF(OR(87&gt;$R17,EA17&lt;=$I17),EA17,EA17-MIN(INT(ROUND(IF($F17=1,$C17*$J17,IF(HZ17&gt;0,HZ17*$K17,EA17*$J17))*IF(87=$R17,$S17,12)/12,6)+$B$4),EA17-$I17)))))</f>
        <v/>
      </c>
      <c r="EC17" s="68">
        <f>IF($U17=0,0,IF($F17=4,0,IF($F17=3,0,IF(OR(88&gt;$R17,EB17&lt;=$I17),EB17,EB17-MIN(INT(ROUND(IF($F17=1,$C17*$J17,IF(IA17&gt;0,IA17*$K17,EB17*$J17))*IF(88=$R17,$S17,12)/12,6)+$B$4),EB17-$I17)))))</f>
        <v/>
      </c>
      <c r="ED17" s="68">
        <f>IF($U17=0,0,IF($F17=4,0,IF($F17=3,0,IF(OR(89&gt;$R17,EC17&lt;=$I17),EC17,EC17-MIN(INT(ROUND(IF($F17=1,$C17*$J17,IF(IB17&gt;0,IB17*$K17,EC17*$J17))*IF(89=$R17,$S17,12)/12,6)+$B$4),EC17-$I17)))))</f>
        <v/>
      </c>
      <c r="EE17" s="68">
        <f>IF($U17=0,0,IF($F17=4,0,IF($F17=3,0,IF(OR(90&gt;$R17,ED17&lt;=$I17),ED17,ED17-MIN(INT(ROUND(IF($F17=1,$C17*$J17,IF(IC17&gt;0,IC17*$K17,ED17*$J17))*IF(90=$R17,$S17,12)/12,6)+$B$4),ED17-$I17)))))</f>
        <v/>
      </c>
      <c r="EF17" s="68">
        <f>IF($U17=0,0,IF($F17=4,0,IF($F17=3,0,IF(OR(91&gt;$R17,EE17&lt;=$I17),EE17,EE17-MIN(INT(ROUND(IF($F17=1,$C17*$J17,IF(ID17&gt;0,ID17*$K17,EE17*$J17))*IF(91=$R17,$S17,12)/12,6)+$B$4),EE17-$I17)))))</f>
        <v/>
      </c>
      <c r="EG17" s="68">
        <f>IF($U17=0,0,IF($F17=4,0,IF($F17=3,0,IF(OR(92&gt;$R17,EF17&lt;=$I17),EF17,EF17-MIN(INT(ROUND(IF($F17=1,$C17*$J17,IF(IE17&gt;0,IE17*$K17,EF17*$J17))*IF(92=$R17,$S17,12)/12,6)+$B$4),EF17-$I17)))))</f>
        <v/>
      </c>
      <c r="EH17" s="68">
        <f>IF($U17=0,0,IF($F17=4,0,IF($F17=3,0,IF(OR(93&gt;$R17,EG17&lt;=$I17),EG17,EG17-MIN(INT(ROUND(IF($F17=1,$C17*$J17,IF(IF17&gt;0,IF17*$K17,EG17*$J17))*IF(93=$R17,$S17,12)/12,6)+$B$4),EG17-$I17)))))</f>
        <v/>
      </c>
      <c r="EI17" s="68">
        <f>IF($U17=0,0,IF($F17=4,0,IF($F17=3,0,IF(OR(94&gt;$R17,EH17&lt;=$I17),EH17,EH17-MIN(INT(ROUND(IF($F17=1,$C17*$J17,IF(IG17&gt;0,IG17*$K17,EH17*$J17))*IF(94=$R17,$S17,12)/12,6)+$B$4),EH17-$I17)))))</f>
        <v/>
      </c>
      <c r="EJ17" s="68">
        <f>IF($U17=0,0,IF($F17=4,0,IF($F17=3,0,IF(OR(95&gt;$R17,EI17&lt;=$I17),EI17,EI17-MIN(INT(ROUND(IF($F17=1,$C17*$J17,IF(IH17&gt;0,IH17*$K17,EI17*$J17))*IF(95=$R17,$S17,12)/12,6)+$B$4),EI17-$I17)))))</f>
        <v/>
      </c>
      <c r="EK17" s="68">
        <f>IF($U17=0,0,IF($F17=4,0,IF($F17=3,0,IF(OR(96&gt;$R17,EJ17&lt;=$I17),EJ17,EJ17-MIN(INT(ROUND(IF($F17=1,$C17*$J17,IF(II17&gt;0,II17*$K17,EJ17*$J17))*IF(96=$R17,$S17,12)/12,6)+$B$4),EJ17-$I17)))))</f>
        <v/>
      </c>
      <c r="EL17" s="68">
        <f>IF($U17=0,0,IF($F17=4,0,IF($F17=3,0,IF(OR(97&gt;$R17,EK17&lt;=$I17),EK17,EK17-MIN(INT(ROUND(IF($F17=1,$C17*$J17,IF(IJ17&gt;0,IJ17*$K17,EK17*$J17))*IF(97=$R17,$S17,12)/12,6)+$B$4),EK17-$I17)))))</f>
        <v/>
      </c>
      <c r="EM17" s="68">
        <f>IF($U17=0,0,IF($F17=4,0,IF($F17=3,0,IF(OR(98&gt;$R17,EL17&lt;=$I17),EL17,EL17-MIN(INT(ROUND(IF($F17=1,$C17*$J17,IF(IK17&gt;0,IK17*$K17,EL17*$J17))*IF(98=$R17,$S17,12)/12,6)+$B$4),EL17-$I17)))))</f>
        <v/>
      </c>
      <c r="EN17" s="68">
        <f>IF($U17=0,0,IF($F17=4,0,IF($F17=3,0,IF(OR(99&gt;$R17,EM17&lt;=$I17),EM17,EM17-MIN(INT(ROUND(IF($F17=1,$C17*$J17,IF(IL17&gt;0,IL17*$K17,EM17*$J17))*IF(99=$R17,$S17,12)/12,6)+$B$4),EM17-$I17)))))</f>
        <v/>
      </c>
      <c r="EO17" s="68">
        <f>IF($U17=0,0,IF($F17=4,0,IF($F17=3,0,IF(OR(100&gt;$R17,EN17&lt;=$I17),EN17,EN17-MIN(INT(ROUND(IF($F17=1,$C17*$J17,IF(IM17&gt;0,IM17*$K17,EN17*$J17))*IF(100=$R17,$S17,12)/12,6)+$B$4),EN17-$I17)))))</f>
        <v/>
      </c>
      <c r="EP17" s="68">
        <f>IF($U17=0,0,IF($F17=4,0,IF($F17=3,0,IF(OR(101&gt;$R17,EO17&lt;=$I17),EO17,EO17-MIN(INT(ROUND(IF($F17=1,$C17*$J17,IF(IN17&gt;0,IN17*$K17,EO17*$J17))*IF(101=$R17,$S17,12)/12,6)+$B$4),EO17-$I17)))))</f>
        <v/>
      </c>
      <c r="EQ17" s="68" t="n"/>
      <c r="ER17" s="68">
        <f>IF(OR($U17=0,$F17&lt;&gt;2),0,IF(ROUND(AS17*$J17,6)&lt;ROUND($M17,6),AS17,0))</f>
        <v/>
      </c>
      <c r="ES17" s="68">
        <f>IF(OR($U17=0,$F17&lt;&gt;2),0,IF(ER17&gt;0,ER17,IF(ROUND(AT17*$J17,6)&lt;ROUND($M17,6),AT17,0)))</f>
        <v/>
      </c>
      <c r="ET17" s="68">
        <f>IF(OR($U17=0,$F17&lt;&gt;2),0,IF(ES17&gt;0,ES17,IF(ROUND(AU17*$J17,6)&lt;ROUND($M17,6),AU17,0)))</f>
        <v/>
      </c>
      <c r="EU17" s="68">
        <f>IF(OR($U17=0,$F17&lt;&gt;2),0,IF(ET17&gt;0,ET17,IF(ROUND(AV17*$J17,6)&lt;ROUND($M17,6),AV17,0)))</f>
        <v/>
      </c>
      <c r="EV17" s="68">
        <f>IF(OR($U17=0,$F17&lt;&gt;2),0,IF(EU17&gt;0,EU17,IF(ROUND(AW17*$J17,6)&lt;ROUND($M17,6),AW17,0)))</f>
        <v/>
      </c>
      <c r="EW17" s="68">
        <f>IF(OR($U17=0,$F17&lt;&gt;2),0,IF(EV17&gt;0,EV17,IF(ROUND(AX17*$J17,6)&lt;ROUND($M17,6),AX17,0)))</f>
        <v/>
      </c>
      <c r="EX17" s="68">
        <f>IF(OR($U17=0,$F17&lt;&gt;2),0,IF(EW17&gt;0,EW17,IF(ROUND(AY17*$J17,6)&lt;ROUND($M17,6),AY17,0)))</f>
        <v/>
      </c>
      <c r="EY17" s="68">
        <f>IF(OR($U17=0,$F17&lt;&gt;2),0,IF(EX17&gt;0,EX17,IF(ROUND(AZ17*$J17,6)&lt;ROUND($M17,6),AZ17,0)))</f>
        <v/>
      </c>
      <c r="EZ17" s="68">
        <f>IF(OR($U17=0,$F17&lt;&gt;2),0,IF(EY17&gt;0,EY17,IF(ROUND(BA17*$J17,6)&lt;ROUND($M17,6),BA17,0)))</f>
        <v/>
      </c>
      <c r="FA17" s="68">
        <f>IF(OR($U17=0,$F17&lt;&gt;2),0,IF(EZ17&gt;0,EZ17,IF(ROUND(BB17*$J17,6)&lt;ROUND($M17,6),BB17,0)))</f>
        <v/>
      </c>
      <c r="FB17" s="68">
        <f>IF(OR($U17=0,$F17&lt;&gt;2),0,IF(FA17&gt;0,FA17,IF(ROUND(BC17*$J17,6)&lt;ROUND($M17,6),BC17,0)))</f>
        <v/>
      </c>
      <c r="FC17" s="68">
        <f>IF(OR($U17=0,$F17&lt;&gt;2),0,IF(FB17&gt;0,FB17,IF(ROUND(BD17*$J17,6)&lt;ROUND($M17,6),BD17,0)))</f>
        <v/>
      </c>
      <c r="FD17" s="68">
        <f>IF(OR($U17=0,$F17&lt;&gt;2),0,IF(FC17&gt;0,FC17,IF(ROUND(BE17*$J17,6)&lt;ROUND($M17,6),BE17,0)))</f>
        <v/>
      </c>
      <c r="FE17" s="68">
        <f>IF(OR($U17=0,$F17&lt;&gt;2),0,IF(FD17&gt;0,FD17,IF(ROUND(BF17*$J17,6)&lt;ROUND($M17,6),BF17,0)))</f>
        <v/>
      </c>
      <c r="FF17" s="68">
        <f>IF(OR($U17=0,$F17&lt;&gt;2),0,IF(FE17&gt;0,FE17,IF(ROUND(BG17*$J17,6)&lt;ROUND($M17,6),BG17,0)))</f>
        <v/>
      </c>
      <c r="FG17" s="68">
        <f>IF(OR($U17=0,$F17&lt;&gt;2),0,IF(FF17&gt;0,FF17,IF(ROUND(BH17*$J17,6)&lt;ROUND($M17,6),BH17,0)))</f>
        <v/>
      </c>
      <c r="FH17" s="68">
        <f>IF(OR($U17=0,$F17&lt;&gt;2),0,IF(FG17&gt;0,FG17,IF(ROUND(BI17*$J17,6)&lt;ROUND($M17,6),BI17,0)))</f>
        <v/>
      </c>
      <c r="FI17" s="68">
        <f>IF(OR($U17=0,$F17&lt;&gt;2),0,IF(FH17&gt;0,FH17,IF(ROUND(BJ17*$J17,6)&lt;ROUND($M17,6),BJ17,0)))</f>
        <v/>
      </c>
      <c r="FJ17" s="68">
        <f>IF(OR($U17=0,$F17&lt;&gt;2),0,IF(FI17&gt;0,FI17,IF(ROUND(BK17*$J17,6)&lt;ROUND($M17,6),BK17,0)))</f>
        <v/>
      </c>
      <c r="FK17" s="68">
        <f>IF(OR($U17=0,$F17&lt;&gt;2),0,IF(FJ17&gt;0,FJ17,IF(ROUND(BL17*$J17,6)&lt;ROUND($M17,6),BL17,0)))</f>
        <v/>
      </c>
      <c r="FL17" s="68">
        <f>IF(OR($U17=0,$F17&lt;&gt;2),0,IF(FK17&gt;0,FK17,IF(ROUND(BM17*$J17,6)&lt;ROUND($M17,6),BM17,0)))</f>
        <v/>
      </c>
      <c r="FM17" s="68">
        <f>IF(OR($U17=0,$F17&lt;&gt;2),0,IF(FL17&gt;0,FL17,IF(ROUND(BN17*$J17,6)&lt;ROUND($M17,6),BN17,0)))</f>
        <v/>
      </c>
      <c r="FN17" s="68">
        <f>IF(OR($U17=0,$F17&lt;&gt;2),0,IF(FM17&gt;0,FM17,IF(ROUND(BO17*$J17,6)&lt;ROUND($M17,6),BO17,0)))</f>
        <v/>
      </c>
      <c r="FO17" s="68">
        <f>IF(OR($U17=0,$F17&lt;&gt;2),0,IF(FN17&gt;0,FN17,IF(ROUND(BP17*$J17,6)&lt;ROUND($M17,6),BP17,0)))</f>
        <v/>
      </c>
      <c r="FP17" s="68">
        <f>IF(OR($U17=0,$F17&lt;&gt;2),0,IF(FO17&gt;0,FO17,IF(ROUND(BQ17*$J17,6)&lt;ROUND($M17,6),BQ17,0)))</f>
        <v/>
      </c>
      <c r="FQ17" s="68">
        <f>IF(OR($U17=0,$F17&lt;&gt;2),0,IF(FP17&gt;0,FP17,IF(ROUND(BR17*$J17,6)&lt;ROUND($M17,6),BR17,0)))</f>
        <v/>
      </c>
      <c r="FR17" s="68">
        <f>IF(OR($U17=0,$F17&lt;&gt;2),0,IF(FQ17&gt;0,FQ17,IF(ROUND(BS17*$J17,6)&lt;ROUND($M17,6),BS17,0)))</f>
        <v/>
      </c>
      <c r="FS17" s="68">
        <f>IF(OR($U17=0,$F17&lt;&gt;2),0,IF(FR17&gt;0,FR17,IF(ROUND(BT17*$J17,6)&lt;ROUND($M17,6),BT17,0)))</f>
        <v/>
      </c>
      <c r="FT17" s="68">
        <f>IF(OR($U17=0,$F17&lt;&gt;2),0,IF(FS17&gt;0,FS17,IF(ROUND(BU17*$J17,6)&lt;ROUND($M17,6),BU17,0)))</f>
        <v/>
      </c>
      <c r="FU17" s="68">
        <f>IF(OR($U17=0,$F17&lt;&gt;2),0,IF(FT17&gt;0,FT17,IF(ROUND(BV17*$J17,6)&lt;ROUND($M17,6),BV17,0)))</f>
        <v/>
      </c>
      <c r="FV17" s="68">
        <f>IF(OR($U17=0,$F17&lt;&gt;2),0,IF(FU17&gt;0,FU17,IF(ROUND(BW17*$J17,6)&lt;ROUND($M17,6),BW17,0)))</f>
        <v/>
      </c>
      <c r="FW17" s="68">
        <f>IF(OR($U17=0,$F17&lt;&gt;2),0,IF(FV17&gt;0,FV17,IF(ROUND(BX17*$J17,6)&lt;ROUND($M17,6),BX17,0)))</f>
        <v/>
      </c>
      <c r="FX17" s="68">
        <f>IF(OR($U17=0,$F17&lt;&gt;2),0,IF(FW17&gt;0,FW17,IF(ROUND(BY17*$J17,6)&lt;ROUND($M17,6),BY17,0)))</f>
        <v/>
      </c>
      <c r="FY17" s="68">
        <f>IF(OR($U17=0,$F17&lt;&gt;2),0,IF(FX17&gt;0,FX17,IF(ROUND(BZ17*$J17,6)&lt;ROUND($M17,6),BZ17,0)))</f>
        <v/>
      </c>
      <c r="FZ17" s="68">
        <f>IF(OR($U17=0,$F17&lt;&gt;2),0,IF(FY17&gt;0,FY17,IF(ROUND(CA17*$J17,6)&lt;ROUND($M17,6),CA17,0)))</f>
        <v/>
      </c>
      <c r="GA17" s="68">
        <f>IF(OR($U17=0,$F17&lt;&gt;2),0,IF(FZ17&gt;0,FZ17,IF(ROUND(CB17*$J17,6)&lt;ROUND($M17,6),CB17,0)))</f>
        <v/>
      </c>
      <c r="GB17" s="68">
        <f>IF(OR($U17=0,$F17&lt;&gt;2),0,IF(GA17&gt;0,GA17,IF(ROUND(CC17*$J17,6)&lt;ROUND($M17,6),CC17,0)))</f>
        <v/>
      </c>
      <c r="GC17" s="68">
        <f>IF(OR($U17=0,$F17&lt;&gt;2),0,IF(GB17&gt;0,GB17,IF(ROUND(CD17*$J17,6)&lt;ROUND($M17,6),CD17,0)))</f>
        <v/>
      </c>
      <c r="GD17" s="68">
        <f>IF(OR($U17=0,$F17&lt;&gt;2),0,IF(GC17&gt;0,GC17,IF(ROUND(CE17*$J17,6)&lt;ROUND($M17,6),CE17,0)))</f>
        <v/>
      </c>
      <c r="GE17" s="68">
        <f>IF(OR($U17=0,$F17&lt;&gt;2),0,IF(GD17&gt;0,GD17,IF(ROUND(CF17*$J17,6)&lt;ROUND($M17,6),CF17,0)))</f>
        <v/>
      </c>
      <c r="GF17" s="68">
        <f>IF(OR($U17=0,$F17&lt;&gt;2),0,IF(GE17&gt;0,GE17,IF(ROUND(CG17*$J17,6)&lt;ROUND($M17,6),CG17,0)))</f>
        <v/>
      </c>
      <c r="GG17" s="68">
        <f>IF(OR($U17=0,$F17&lt;&gt;2),0,IF(GF17&gt;0,GF17,IF(ROUND(CH17*$J17,6)&lt;ROUND($M17,6),CH17,0)))</f>
        <v/>
      </c>
      <c r="GH17" s="68">
        <f>IF(OR($U17=0,$F17&lt;&gt;2),0,IF(GG17&gt;0,GG17,IF(ROUND(CI17*$J17,6)&lt;ROUND($M17,6),CI17,0)))</f>
        <v/>
      </c>
      <c r="GI17" s="68">
        <f>IF(OR($U17=0,$F17&lt;&gt;2),0,IF(GH17&gt;0,GH17,IF(ROUND(CJ17*$J17,6)&lt;ROUND($M17,6),CJ17,0)))</f>
        <v/>
      </c>
      <c r="GJ17" s="68">
        <f>IF(OR($U17=0,$F17&lt;&gt;2),0,IF(GI17&gt;0,GI17,IF(ROUND(CK17*$J17,6)&lt;ROUND($M17,6),CK17,0)))</f>
        <v/>
      </c>
      <c r="GK17" s="68">
        <f>IF(OR($U17=0,$F17&lt;&gt;2),0,IF(GJ17&gt;0,GJ17,IF(ROUND(CL17*$J17,6)&lt;ROUND($M17,6),CL17,0)))</f>
        <v/>
      </c>
      <c r="GL17" s="68">
        <f>IF(OR($U17=0,$F17&lt;&gt;2),0,IF(GK17&gt;0,GK17,IF(ROUND(CM17*$J17,6)&lt;ROUND($M17,6),CM17,0)))</f>
        <v/>
      </c>
      <c r="GM17" s="68">
        <f>IF(OR($U17=0,$F17&lt;&gt;2),0,IF(GL17&gt;0,GL17,IF(ROUND(CN17*$J17,6)&lt;ROUND($M17,6),CN17,0)))</f>
        <v/>
      </c>
      <c r="GN17" s="68">
        <f>IF(OR($U17=0,$F17&lt;&gt;2),0,IF(GM17&gt;0,GM17,IF(ROUND(CO17*$J17,6)&lt;ROUND($M17,6),CO17,0)))</f>
        <v/>
      </c>
      <c r="GO17" s="68">
        <f>IF(OR($U17=0,$F17&lt;&gt;2),0,IF(GN17&gt;0,GN17,IF(ROUND(CP17*$J17,6)&lt;ROUND($M17,6),CP17,0)))</f>
        <v/>
      </c>
      <c r="GP17" s="68">
        <f>IF(OR($U17=0,$F17&lt;&gt;2),0,IF(GO17&gt;0,GO17,IF(ROUND(CQ17*$J17,6)&lt;ROUND($M17,6),CQ17,0)))</f>
        <v/>
      </c>
      <c r="GQ17" s="68">
        <f>IF(OR($U17=0,$F17&lt;&gt;2),0,IF(GP17&gt;0,GP17,IF(ROUND(CR17*$J17,6)&lt;ROUND($M17,6),CR17,0)))</f>
        <v/>
      </c>
      <c r="GR17" s="68">
        <f>IF(OR($U17=0,$F17&lt;&gt;2),0,IF(GQ17&gt;0,GQ17,IF(ROUND(CS17*$J17,6)&lt;ROUND($M17,6),CS17,0)))</f>
        <v/>
      </c>
      <c r="GS17" s="68">
        <f>IF(OR($U17=0,$F17&lt;&gt;2),0,IF(GR17&gt;0,GR17,IF(ROUND(CT17*$J17,6)&lt;ROUND($M17,6),CT17,0)))</f>
        <v/>
      </c>
      <c r="GT17" s="68">
        <f>IF(OR($U17=0,$F17&lt;&gt;2),0,IF(GS17&gt;0,GS17,IF(ROUND(CU17*$J17,6)&lt;ROUND($M17,6),CU17,0)))</f>
        <v/>
      </c>
      <c r="GU17" s="68">
        <f>IF(OR($U17=0,$F17&lt;&gt;2),0,IF(GT17&gt;0,GT17,IF(ROUND(CV17*$J17,6)&lt;ROUND($M17,6),CV17,0)))</f>
        <v/>
      </c>
      <c r="GV17" s="68">
        <f>IF(OR($U17=0,$F17&lt;&gt;2),0,IF(GU17&gt;0,GU17,IF(ROUND(CW17*$J17,6)&lt;ROUND($M17,6),CW17,0)))</f>
        <v/>
      </c>
      <c r="GW17" s="68">
        <f>IF(OR($U17=0,$F17&lt;&gt;2),0,IF(GV17&gt;0,GV17,IF(ROUND(CX17*$J17,6)&lt;ROUND($M17,6),CX17,0)))</f>
        <v/>
      </c>
      <c r="GX17" s="68">
        <f>IF(OR($U17=0,$F17&lt;&gt;2),0,IF(GW17&gt;0,GW17,IF(ROUND(CY17*$J17,6)&lt;ROUND($M17,6),CY17,0)))</f>
        <v/>
      </c>
      <c r="GY17" s="68">
        <f>IF(OR($U17=0,$F17&lt;&gt;2),0,IF(GX17&gt;0,GX17,IF(ROUND(CZ17*$J17,6)&lt;ROUND($M17,6),CZ17,0)))</f>
        <v/>
      </c>
      <c r="GZ17" s="68">
        <f>IF(OR($U17=0,$F17&lt;&gt;2),0,IF(GY17&gt;0,GY17,IF(ROUND(DA17*$J17,6)&lt;ROUND($M17,6),DA17,0)))</f>
        <v/>
      </c>
      <c r="HA17" s="68">
        <f>IF(OR($U17=0,$F17&lt;&gt;2),0,IF(GZ17&gt;0,GZ17,IF(ROUND(DB17*$J17,6)&lt;ROUND($M17,6),DB17,0)))</f>
        <v/>
      </c>
      <c r="HB17" s="68">
        <f>IF(OR($U17=0,$F17&lt;&gt;2),0,IF(HA17&gt;0,HA17,IF(ROUND(DC17*$J17,6)&lt;ROUND($M17,6),DC17,0)))</f>
        <v/>
      </c>
      <c r="HC17" s="68">
        <f>IF(OR($U17=0,$F17&lt;&gt;2),0,IF(HB17&gt;0,HB17,IF(ROUND(DD17*$J17,6)&lt;ROUND($M17,6),DD17,0)))</f>
        <v/>
      </c>
      <c r="HD17" s="68">
        <f>IF(OR($U17=0,$F17&lt;&gt;2),0,IF(HC17&gt;0,HC17,IF(ROUND(DE17*$J17,6)&lt;ROUND($M17,6),DE17,0)))</f>
        <v/>
      </c>
      <c r="HE17" s="68">
        <f>IF(OR($U17=0,$F17&lt;&gt;2),0,IF(HD17&gt;0,HD17,IF(ROUND(DF17*$J17,6)&lt;ROUND($M17,6),DF17,0)))</f>
        <v/>
      </c>
      <c r="HF17" s="68">
        <f>IF(OR($U17=0,$F17&lt;&gt;2),0,IF(HE17&gt;0,HE17,IF(ROUND(DG17*$J17,6)&lt;ROUND($M17,6),DG17,0)))</f>
        <v/>
      </c>
      <c r="HG17" s="68">
        <f>IF(OR($U17=0,$F17&lt;&gt;2),0,IF(HF17&gt;0,HF17,IF(ROUND(DH17*$J17,6)&lt;ROUND($M17,6),DH17,0)))</f>
        <v/>
      </c>
      <c r="HH17" s="68">
        <f>IF(OR($U17=0,$F17&lt;&gt;2),0,IF(HG17&gt;0,HG17,IF(ROUND(DI17*$J17,6)&lt;ROUND($M17,6),DI17,0)))</f>
        <v/>
      </c>
      <c r="HI17" s="68">
        <f>IF(OR($U17=0,$F17&lt;&gt;2),0,IF(HH17&gt;0,HH17,IF(ROUND(DJ17*$J17,6)&lt;ROUND($M17,6),DJ17,0)))</f>
        <v/>
      </c>
      <c r="HJ17" s="68">
        <f>IF(OR($U17=0,$F17&lt;&gt;2),0,IF(HI17&gt;0,HI17,IF(ROUND(DK17*$J17,6)&lt;ROUND($M17,6),DK17,0)))</f>
        <v/>
      </c>
      <c r="HK17" s="68">
        <f>IF(OR($U17=0,$F17&lt;&gt;2),0,IF(HJ17&gt;0,HJ17,IF(ROUND(DL17*$J17,6)&lt;ROUND($M17,6),DL17,0)))</f>
        <v/>
      </c>
      <c r="HL17" s="68">
        <f>IF(OR($U17=0,$F17&lt;&gt;2),0,IF(HK17&gt;0,HK17,IF(ROUND(DM17*$J17,6)&lt;ROUND($M17,6),DM17,0)))</f>
        <v/>
      </c>
      <c r="HM17" s="68">
        <f>IF(OR($U17=0,$F17&lt;&gt;2),0,IF(HL17&gt;0,HL17,IF(ROUND(DN17*$J17,6)&lt;ROUND($M17,6),DN17,0)))</f>
        <v/>
      </c>
      <c r="HN17" s="68">
        <f>IF(OR($U17=0,$F17&lt;&gt;2),0,IF(HM17&gt;0,HM17,IF(ROUND(DO17*$J17,6)&lt;ROUND($M17,6),DO17,0)))</f>
        <v/>
      </c>
      <c r="HO17" s="68">
        <f>IF(OR($U17=0,$F17&lt;&gt;2),0,IF(HN17&gt;0,HN17,IF(ROUND(DP17*$J17,6)&lt;ROUND($M17,6),DP17,0)))</f>
        <v/>
      </c>
      <c r="HP17" s="68">
        <f>IF(OR($U17=0,$F17&lt;&gt;2),0,IF(HO17&gt;0,HO17,IF(ROUND(DQ17*$J17,6)&lt;ROUND($M17,6),DQ17,0)))</f>
        <v/>
      </c>
      <c r="HQ17" s="68">
        <f>IF(OR($U17=0,$F17&lt;&gt;2),0,IF(HP17&gt;0,HP17,IF(ROUND(DR17*$J17,6)&lt;ROUND($M17,6),DR17,0)))</f>
        <v/>
      </c>
      <c r="HR17" s="68">
        <f>IF(OR($U17=0,$F17&lt;&gt;2),0,IF(HQ17&gt;0,HQ17,IF(ROUND(DS17*$J17,6)&lt;ROUND($M17,6),DS17,0)))</f>
        <v/>
      </c>
      <c r="HS17" s="68">
        <f>IF(OR($U17=0,$F17&lt;&gt;2),0,IF(HR17&gt;0,HR17,IF(ROUND(DT17*$J17,6)&lt;ROUND($M17,6),DT17,0)))</f>
        <v/>
      </c>
      <c r="HT17" s="68">
        <f>IF(OR($U17=0,$F17&lt;&gt;2),0,IF(HS17&gt;0,HS17,IF(ROUND(DU17*$J17,6)&lt;ROUND($M17,6),DU17,0)))</f>
        <v/>
      </c>
      <c r="HU17" s="68">
        <f>IF(OR($U17=0,$F17&lt;&gt;2),0,IF(HT17&gt;0,HT17,IF(ROUND(DV17*$J17,6)&lt;ROUND($M17,6),DV17,0)))</f>
        <v/>
      </c>
      <c r="HV17" s="68">
        <f>IF(OR($U17=0,$F17&lt;&gt;2),0,IF(HU17&gt;0,HU17,IF(ROUND(DW17*$J17,6)&lt;ROUND($M17,6),DW17,0)))</f>
        <v/>
      </c>
      <c r="HW17" s="68">
        <f>IF(OR($U17=0,$F17&lt;&gt;2),0,IF(HV17&gt;0,HV17,IF(ROUND(DX17*$J17,6)&lt;ROUND($M17,6),DX17,0)))</f>
        <v/>
      </c>
      <c r="HX17" s="68">
        <f>IF(OR($U17=0,$F17&lt;&gt;2),0,IF(HW17&gt;0,HW17,IF(ROUND(DY17*$J17,6)&lt;ROUND($M17,6),DY17,0)))</f>
        <v/>
      </c>
      <c r="HY17" s="68">
        <f>IF(OR($U17=0,$F17&lt;&gt;2),0,IF(HX17&gt;0,HX17,IF(ROUND(DZ17*$J17,6)&lt;ROUND($M17,6),DZ17,0)))</f>
        <v/>
      </c>
      <c r="HZ17" s="68">
        <f>IF(OR($U17=0,$F17&lt;&gt;2),0,IF(HY17&gt;0,HY17,IF(ROUND(EA17*$J17,6)&lt;ROUND($M17,6),EA17,0)))</f>
        <v/>
      </c>
      <c r="IA17" s="68">
        <f>IF(OR($U17=0,$F17&lt;&gt;2),0,IF(HZ17&gt;0,HZ17,IF(ROUND(EB17*$J17,6)&lt;ROUND($M17,6),EB17,0)))</f>
        <v/>
      </c>
      <c r="IB17" s="68">
        <f>IF(OR($U17=0,$F17&lt;&gt;2),0,IF(IA17&gt;0,IA17,IF(ROUND(EC17*$J17,6)&lt;ROUND($M17,6),EC17,0)))</f>
        <v/>
      </c>
      <c r="IC17" s="68">
        <f>IF(OR($U17=0,$F17&lt;&gt;2),0,IF(IB17&gt;0,IB17,IF(ROUND(ED17*$J17,6)&lt;ROUND($M17,6),ED17,0)))</f>
        <v/>
      </c>
      <c r="ID17" s="68">
        <f>IF(OR($U17=0,$F17&lt;&gt;2),0,IF(IC17&gt;0,IC17,IF(ROUND(EE17*$J17,6)&lt;ROUND($M17,6),EE17,0)))</f>
        <v/>
      </c>
      <c r="IE17" s="68">
        <f>IF(OR($U17=0,$F17&lt;&gt;2),0,IF(ID17&gt;0,ID17,IF(ROUND(EF17*$J17,6)&lt;ROUND($M17,6),EF17,0)))</f>
        <v/>
      </c>
      <c r="IF17" s="68">
        <f>IF(OR($U17=0,$F17&lt;&gt;2),0,IF(IE17&gt;0,IE17,IF(ROUND(EG17*$J17,6)&lt;ROUND($M17,6),EG17,0)))</f>
        <v/>
      </c>
      <c r="IG17" s="68">
        <f>IF(OR($U17=0,$F17&lt;&gt;2),0,IF(IF17&gt;0,IF17,IF(ROUND(EH17*$J17,6)&lt;ROUND($M17,6),EH17,0)))</f>
        <v/>
      </c>
      <c r="IH17" s="68">
        <f>IF(OR($U17=0,$F17&lt;&gt;2),0,IF(IG17&gt;0,IG17,IF(ROUND(EI17*$J17,6)&lt;ROUND($M17,6),EI17,0)))</f>
        <v/>
      </c>
      <c r="II17" s="68">
        <f>IF(OR($U17=0,$F17&lt;&gt;2),0,IF(IH17&gt;0,IH17,IF(ROUND(EJ17*$J17,6)&lt;ROUND($M17,6),EJ17,0)))</f>
        <v/>
      </c>
      <c r="IJ17" s="68">
        <f>IF(OR($U17=0,$F17&lt;&gt;2),0,IF(II17&gt;0,II17,IF(ROUND(EK17*$J17,6)&lt;ROUND($M17,6),EK17,0)))</f>
        <v/>
      </c>
      <c r="IK17" s="68">
        <f>IF(OR($U17=0,$F17&lt;&gt;2),0,IF(IJ17&gt;0,IJ17,IF(ROUND(EL17*$J17,6)&lt;ROUND($M17,6),EL17,0)))</f>
        <v/>
      </c>
      <c r="IL17" s="68">
        <f>IF(OR($U17=0,$F17&lt;&gt;2),0,IF(IK17&gt;0,IK17,IF(ROUND(EM17*$J17,6)&lt;ROUND($M17,6),EM17,0)))</f>
        <v/>
      </c>
      <c r="IM17" s="68">
        <f>IF(OR($U17=0,$F17&lt;&gt;2),0,IF(IL17&gt;0,IL17,IF(ROUND(EN17*$J17,6)&lt;ROUND($M17,6),EN17,0)))</f>
        <v/>
      </c>
      <c r="IN17" s="68">
        <f>IF(OR($U17=0,$F17&lt;&gt;2),0,IF(IM17&gt;0,IM17,IF(ROUND(EO17*$J17,6)&lt;ROUND($M17,6),EO17,0)))</f>
        <v/>
      </c>
    </row>
    <row r="18">
      <c r="A18" s="68" t="n">
        <v>13</v>
      </c>
      <c r="B18" s="68">
        <f>IF(OR(TRIM('固定資産台帳'!$B18)&lt;&gt;"",'固定資産台帳'!$E18&lt;&gt;"",'固定資産台帳'!$G18&lt;&gt;"",'固定資産台帳'!$H18&lt;&gt;""),1,0)</f>
        <v/>
      </c>
      <c r="C18" s="68">
        <f>IF(ISNUMBER('固定資産台帳'!$G18),MAX(ROUND('固定資産台帳'!$G18,0),0),0)</f>
        <v/>
      </c>
      <c r="D18" s="84">
        <f>IF(ISNUMBER('固定資産台帳'!$E18),INT('固定資産台帳'!$E18),0)</f>
        <v/>
      </c>
      <c r="E18" s="84">
        <f>IF(ISNUMBER('固定資産台帳'!$F18),INT('固定資産台帳'!$F18),$D18)</f>
        <v/>
      </c>
      <c r="F18" s="68">
        <f>IF('固定資産台帳'!$H18="定額法",1,IF(OR('固定資産台帳'!$H18="定率法",'固定資産台帳'!$H18="定率法（200%）",'固定資産台帳'!$H18="定率法（250%）"),2,IF('固定資産台帳'!$H18="一括償却（3年）",3,IF('固定資産台帳'!$H18="少額特例",4,0))))</f>
        <v/>
      </c>
      <c r="G18" s="68">
        <f>IF('固定資産台帳'!$H18="定率法（250%）",250,IF('固定資産台帳'!$H18="定率法（200%）",200,IF($D18&gt;=DATE(2012,4,1),200,250)))</f>
        <v/>
      </c>
      <c r="H18" s="68">
        <f>IF(ISNUMBER('固定資産台帳'!$I18),IF(AND('固定資産台帳'!$I18&gt;=2,'固定資産台帳'!$I18&lt;=100,'固定資産台帳'!$I18=INT('固定資産台帳'!$I18)),'固定資産台帳'!$I18,0),0)</f>
        <v/>
      </c>
      <c r="I18" s="68">
        <f>IF('固定資産台帳'!$C18="無形固定資産",0,1)</f>
        <v/>
      </c>
      <c r="J18" s="68">
        <f>IF(OR($H18=0,$F18=0,$F18&gt;2),0,IF($F18=1,INDEX('償却率表'!$B$6:$B$104,$H18-1),IF($G18=200,INDEX('償却率表'!$C$6:$C$104,$H18-1),INDEX('償却率表'!$F$6:$F$104,$H18-1))))</f>
        <v/>
      </c>
      <c r="K18" s="68">
        <f>IF(AND($F18=2,$H18&gt;0),IF($G18=200,INDEX('償却率表'!$D$6:$D$104,$H18-1),INDEX('償却率表'!$G$6:$G$104,$H18-1)),0)</f>
        <v/>
      </c>
      <c r="L18" s="68">
        <f>IF(AND($F18=2,$H18&gt;0),IF($G18=200,INDEX('償却率表'!$E$6:$E$104,$H18-1),INDEX('償却率表'!$H$6:$H$104,$H18-1)),0)</f>
        <v/>
      </c>
      <c r="M18" s="68">
        <f>$C18*$L18</f>
        <v/>
      </c>
      <c r="N18" s="68">
        <f>IF($B$1=1,1,IF('固定資産台帳'!$J18="",1,IF(ISNUMBER('固定資産台帳'!$J18),IF(AND('固定資産台帳'!$J18&gt;0,'固定資産台帳'!$J18&lt;=1),'固定資産台帳'!$J18,0),0)))</f>
        <v/>
      </c>
      <c r="O18" s="68">
        <f>IF($E18=0,0,YEAR($E18)-IF(MONTH($E18)&lt;$B$2,1,0))</f>
        <v/>
      </c>
      <c r="P18" s="68">
        <f>IF($E18=0,0,12-MOD(MONTH($E18)-$B$2,12))</f>
        <v/>
      </c>
      <c r="Q18" s="84">
        <f>IF(ISNUMBER('固定資産台帳'!$K18),INT('固定資産台帳'!$K18),0)</f>
        <v/>
      </c>
      <c r="R18" s="68">
        <f>IF(OR($Q18=0,$E18=0),999,YEAR($Q18)-IF(MONTH($Q18)&lt;$B$2,1,0)-$O18)</f>
        <v/>
      </c>
      <c r="S18" s="68">
        <f>IF($R18=999,0,MOD(MONTH($Q18)-$B$2,12)+1-IF($R18=0,12-$P18,0))</f>
        <v/>
      </c>
      <c r="T18" s="68">
        <f>IF($B18=0,0,IF($C18&lt;=0,1,IF($D18=0,2,IF($F18=0,3,IF(AND($F18&lt;=2,$H18=0),4,IF(AND($F18&lt;=2,$D18&lt;DATE(2007,4,1)),5,IF($E18&lt;$D18,6,IF(AND($Q18&gt;0,$Q18&lt;$E18),7,IF($N18=0,8,IF($B$3=0,9,0))))))))))</f>
        <v/>
      </c>
      <c r="U18" s="68">
        <f>IF(AND($B18=1,$T18=0),1,0)</f>
        <v/>
      </c>
      <c r="V18" s="68">
        <f>$B$3-$O18</f>
        <v/>
      </c>
      <c r="W18" s="68">
        <f>IF(AND($U18=1,$V18&gt;=0),1,0)</f>
        <v/>
      </c>
      <c r="X18" s="68">
        <f>IF($W18=0,0,IF($V18=0,$C18,INDEX($AS18:$EP18,MIN($V18,102))))</f>
        <v/>
      </c>
      <c r="Y18" s="68">
        <f>IF($W18=0,0,INDEX($AS18:$EP18,MIN($V18,101)+1))</f>
        <v/>
      </c>
      <c r="Z18" s="68">
        <f>$X18-$Y18</f>
        <v/>
      </c>
      <c r="AA18" s="68">
        <f>IF(AND($W18=1,$F18=2,$V18&gt;=1),INDEX($ER18:$IN18,MIN($V18,101)),0)</f>
        <v/>
      </c>
      <c r="AB18" s="68">
        <f>IF(OR($W18=0,$F18&gt;2,$Z18=0),0,IF($V18=0,IF($R18=0,$S18,$P18),IF($V18=$R18,$S18,12)))</f>
        <v/>
      </c>
      <c r="AC18" s="68">
        <f>IF($W18=0,0,INT(ROUND($Z18*$N18,6)+$B$4))</f>
        <v/>
      </c>
      <c r="AD18" s="68">
        <f>IF(AND($W18=1,$F18&lt;=2,$V18=$R18),1,0)</f>
        <v/>
      </c>
      <c r="AE18" s="68">
        <f>IF(AND($W18=1,$F18&lt;=2,$V18&gt;$R18),1,0)</f>
        <v/>
      </c>
      <c r="AF18" s="68">
        <f>IF(AND($W18=1,$AE18=0,OR($Z18&gt;0,$AD18=1)),1,0)</f>
        <v/>
      </c>
      <c r="AG18" s="68">
        <f>IF($AF18=1,SUM($AF$6:$AF18),0)</f>
        <v/>
      </c>
      <c r="AH18" s="68">
        <f>IF($T18=0,"",CHOOSE($T18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8" s="68">
        <f>IF(AND($F18=2,OR('固定資産台帳'!$C18="建物",'固定資産台帳'!$C18="無形固定資産",AND(OR('固定資産台帳'!$C18="建物附属設備",'固定資産台帳'!$C18="構築物"),$D18&gt;=DATE(2016,4,1)))),"この資産は定額法だけです（定率法は使えません）。","")&amp;IF(AND($F18=3,$C18&gt;=200000),"一括償却は20万円未満の資産だけです。","")&amp;IF(AND($F18=3,$B$1=0,$C18&lt;100000),"10万円未満は一括償却にせず、全額をその年の経費にします。","")&amp;IF(AND($F18=4,$C18&lt;100000),"10万円未満は少額特例ではなく、全額をその年の経費にします。","")&amp;IF(AND($F18=4,$D18&lt;DATE(2026,4,1),$C18&gt;=300000),"2026年3月31日までの取得で少額特例が使えるのは30万円未満です。","")&amp;IF(AND($F18=4,$D18&gt;=DATE(2026,4,1),$C18&gt;=400000),"少額特例は40万円未満の資産だけです。","")&amp;IF(AND($F18=4,OR($D18&lt;DATE(2006,4,1),$D18&gt;DATE(2029,3,31))),"少額特例は2006年4月1日〜2029年3月31日に取得した資産だけです。","")&amp;IF(AND($F18=2,$G18=250,$D18&gt;DATE(2012,12,31)),"250%定率法は2012年12月31日までの取得だけです。","")</f>
        <v/>
      </c>
      <c r="AJ18" s="68">
        <f>IF(AND($F18=2,'固定資産台帳'!$H18="定率法（200%）",$D18&lt;DATE(2012,4,1)),"2012年3月31日までの取得に200%を使うのは、経過措置の届出をした場合です。","")&amp;IF(AND($F18=2,'固定資産台帳'!$H18="定率法（250%）",$D18&gt;=DATE(2012,4,1),$D18&lt;=DATE(2012,12,31)),"2012年4〜12月の取得に250%を使うのは、経過措置を選んだ場合です。","")</f>
        <v/>
      </c>
      <c r="AK18" s="68">
        <f>IF($U18=0,"",IF($V18&lt;0,"表示している年より後に使い始める資産です。",IF($AE18=1,"売却・除却済みです。",IF($AD18=1,"この年に売却・除却。期末の帳簿価額 "&amp;TEXT($Y18,"#,##0")&amp;"円を帳簿から外します。",IF($F18=4,IF($V18=0,"少額特例：この年に全額を経費にします。","少額特例で経費にした資産です。"),IF($F18=3,IF($V18&gt;2,"一括償却は終わっています。","一括償却 "&amp;($V18+1)&amp;"年目（3年のうち）。"),IF($Z18=0,"償却済み（帳簿価額 "&amp;TEXT($Y18,"#,##0")&amp;"円）。",IF($AA18&gt;0,"改定償却率で計算（改定取得価額 "&amp;TEXT($AA18,"#,##0")&amp;"円）。",IF($V18=0,"この年に使い始め（"&amp;$AB18&amp;"か月分）。","")))))))))</f>
        <v/>
      </c>
      <c r="AL18" s="68">
        <f>IF(AND($U18=1,$F18=4,$V18=0),$C18,0)</f>
        <v/>
      </c>
      <c r="AM18" s="68">
        <f>IF($F18=2,INT(ROUND($M18,6)+$B$4),0)</f>
        <v/>
      </c>
      <c r="AN18" s="68">
        <f>IF($W18=0,0,IF($F18=2,IF($AA18&gt;0,$AA18,$X18),$C18))</f>
        <v/>
      </c>
      <c r="AO18" s="68">
        <f>IF($W18=0,"",IF($F18=3,"1/3",IF($F18=4,"―",IF($AA18&gt;0,$K18,$J18))))</f>
        <v/>
      </c>
      <c r="AP18" s="68" t="n"/>
      <c r="AQ18" s="68" t="n"/>
      <c r="AR18" s="68" t="n"/>
      <c r="AS18" s="68">
        <f>IF($U18=0,0,IF($F18=4,0,IF($F18=3,MAX($C18-INT(ROUND($C18/3,6)+$B$4),0),$C18-MIN(INT(ROUND($C18*$J18*IF($R18=0,$S18,$P18)/12,6)+$B$4),MAX($C18-$I18,0)))))</f>
        <v/>
      </c>
      <c r="AT18" s="68">
        <f>IF($U18=0,0,IF($F18=4,0,IF($F18=3,AS18-MIN(INT(ROUND($C18/3,6)+$B$4),AS18),IF(OR(1&gt;$R18,AS18&lt;=$I18),AS18,AS18-MIN(INT(ROUND(IF($F18=1,$C18*$J18,IF(ER18&gt;0,ER18*$K18,AS18*$J18))*IF(1=$R18,$S18,12)/12,6)+$B$4),AS18-$I18)))))</f>
        <v/>
      </c>
      <c r="AU18" s="68">
        <f>IF($U18=0,0,IF($F18=4,0,IF($F18=3,0,IF(OR(2&gt;$R18,AT18&lt;=$I18),AT18,AT18-MIN(INT(ROUND(IF($F18=1,$C18*$J18,IF(ES18&gt;0,ES18*$K18,AT18*$J18))*IF(2=$R18,$S18,12)/12,6)+$B$4),AT18-$I18)))))</f>
        <v/>
      </c>
      <c r="AV18" s="68">
        <f>IF($U18=0,0,IF($F18=4,0,IF($F18=3,0,IF(OR(3&gt;$R18,AU18&lt;=$I18),AU18,AU18-MIN(INT(ROUND(IF($F18=1,$C18*$J18,IF(ET18&gt;0,ET18*$K18,AU18*$J18))*IF(3=$R18,$S18,12)/12,6)+$B$4),AU18-$I18)))))</f>
        <v/>
      </c>
      <c r="AW18" s="68">
        <f>IF($U18=0,0,IF($F18=4,0,IF($F18=3,0,IF(OR(4&gt;$R18,AV18&lt;=$I18),AV18,AV18-MIN(INT(ROUND(IF($F18=1,$C18*$J18,IF(EU18&gt;0,EU18*$K18,AV18*$J18))*IF(4=$R18,$S18,12)/12,6)+$B$4),AV18-$I18)))))</f>
        <v/>
      </c>
      <c r="AX18" s="68">
        <f>IF($U18=0,0,IF($F18=4,0,IF($F18=3,0,IF(OR(5&gt;$R18,AW18&lt;=$I18),AW18,AW18-MIN(INT(ROUND(IF($F18=1,$C18*$J18,IF(EV18&gt;0,EV18*$K18,AW18*$J18))*IF(5=$R18,$S18,12)/12,6)+$B$4),AW18-$I18)))))</f>
        <v/>
      </c>
      <c r="AY18" s="68">
        <f>IF($U18=0,0,IF($F18=4,0,IF($F18=3,0,IF(OR(6&gt;$R18,AX18&lt;=$I18),AX18,AX18-MIN(INT(ROUND(IF($F18=1,$C18*$J18,IF(EW18&gt;0,EW18*$K18,AX18*$J18))*IF(6=$R18,$S18,12)/12,6)+$B$4),AX18-$I18)))))</f>
        <v/>
      </c>
      <c r="AZ18" s="68">
        <f>IF($U18=0,0,IF($F18=4,0,IF($F18=3,0,IF(OR(7&gt;$R18,AY18&lt;=$I18),AY18,AY18-MIN(INT(ROUND(IF($F18=1,$C18*$J18,IF(EX18&gt;0,EX18*$K18,AY18*$J18))*IF(7=$R18,$S18,12)/12,6)+$B$4),AY18-$I18)))))</f>
        <v/>
      </c>
      <c r="BA18" s="68">
        <f>IF($U18=0,0,IF($F18=4,0,IF($F18=3,0,IF(OR(8&gt;$R18,AZ18&lt;=$I18),AZ18,AZ18-MIN(INT(ROUND(IF($F18=1,$C18*$J18,IF(EY18&gt;0,EY18*$K18,AZ18*$J18))*IF(8=$R18,$S18,12)/12,6)+$B$4),AZ18-$I18)))))</f>
        <v/>
      </c>
      <c r="BB18" s="68">
        <f>IF($U18=0,0,IF($F18=4,0,IF($F18=3,0,IF(OR(9&gt;$R18,BA18&lt;=$I18),BA18,BA18-MIN(INT(ROUND(IF($F18=1,$C18*$J18,IF(EZ18&gt;0,EZ18*$K18,BA18*$J18))*IF(9=$R18,$S18,12)/12,6)+$B$4),BA18-$I18)))))</f>
        <v/>
      </c>
      <c r="BC18" s="68">
        <f>IF($U18=0,0,IF($F18=4,0,IF($F18=3,0,IF(OR(10&gt;$R18,BB18&lt;=$I18),BB18,BB18-MIN(INT(ROUND(IF($F18=1,$C18*$J18,IF(FA18&gt;0,FA18*$K18,BB18*$J18))*IF(10=$R18,$S18,12)/12,6)+$B$4),BB18-$I18)))))</f>
        <v/>
      </c>
      <c r="BD18" s="68">
        <f>IF($U18=0,0,IF($F18=4,0,IF($F18=3,0,IF(OR(11&gt;$R18,BC18&lt;=$I18),BC18,BC18-MIN(INT(ROUND(IF($F18=1,$C18*$J18,IF(FB18&gt;0,FB18*$K18,BC18*$J18))*IF(11=$R18,$S18,12)/12,6)+$B$4),BC18-$I18)))))</f>
        <v/>
      </c>
      <c r="BE18" s="68">
        <f>IF($U18=0,0,IF($F18=4,0,IF($F18=3,0,IF(OR(12&gt;$R18,BD18&lt;=$I18),BD18,BD18-MIN(INT(ROUND(IF($F18=1,$C18*$J18,IF(FC18&gt;0,FC18*$K18,BD18*$J18))*IF(12=$R18,$S18,12)/12,6)+$B$4),BD18-$I18)))))</f>
        <v/>
      </c>
      <c r="BF18" s="68">
        <f>IF($U18=0,0,IF($F18=4,0,IF($F18=3,0,IF(OR(13&gt;$R18,BE18&lt;=$I18),BE18,BE18-MIN(INT(ROUND(IF($F18=1,$C18*$J18,IF(FD18&gt;0,FD18*$K18,BE18*$J18))*IF(13=$R18,$S18,12)/12,6)+$B$4),BE18-$I18)))))</f>
        <v/>
      </c>
      <c r="BG18" s="68">
        <f>IF($U18=0,0,IF($F18=4,0,IF($F18=3,0,IF(OR(14&gt;$R18,BF18&lt;=$I18),BF18,BF18-MIN(INT(ROUND(IF($F18=1,$C18*$J18,IF(FE18&gt;0,FE18*$K18,BF18*$J18))*IF(14=$R18,$S18,12)/12,6)+$B$4),BF18-$I18)))))</f>
        <v/>
      </c>
      <c r="BH18" s="68">
        <f>IF($U18=0,0,IF($F18=4,0,IF($F18=3,0,IF(OR(15&gt;$R18,BG18&lt;=$I18),BG18,BG18-MIN(INT(ROUND(IF($F18=1,$C18*$J18,IF(FF18&gt;0,FF18*$K18,BG18*$J18))*IF(15=$R18,$S18,12)/12,6)+$B$4),BG18-$I18)))))</f>
        <v/>
      </c>
      <c r="BI18" s="68">
        <f>IF($U18=0,0,IF($F18=4,0,IF($F18=3,0,IF(OR(16&gt;$R18,BH18&lt;=$I18),BH18,BH18-MIN(INT(ROUND(IF($F18=1,$C18*$J18,IF(FG18&gt;0,FG18*$K18,BH18*$J18))*IF(16=$R18,$S18,12)/12,6)+$B$4),BH18-$I18)))))</f>
        <v/>
      </c>
      <c r="BJ18" s="68">
        <f>IF($U18=0,0,IF($F18=4,0,IF($F18=3,0,IF(OR(17&gt;$R18,BI18&lt;=$I18),BI18,BI18-MIN(INT(ROUND(IF($F18=1,$C18*$J18,IF(FH18&gt;0,FH18*$K18,BI18*$J18))*IF(17=$R18,$S18,12)/12,6)+$B$4),BI18-$I18)))))</f>
        <v/>
      </c>
      <c r="BK18" s="68">
        <f>IF($U18=0,0,IF($F18=4,0,IF($F18=3,0,IF(OR(18&gt;$R18,BJ18&lt;=$I18),BJ18,BJ18-MIN(INT(ROUND(IF($F18=1,$C18*$J18,IF(FI18&gt;0,FI18*$K18,BJ18*$J18))*IF(18=$R18,$S18,12)/12,6)+$B$4),BJ18-$I18)))))</f>
        <v/>
      </c>
      <c r="BL18" s="68">
        <f>IF($U18=0,0,IF($F18=4,0,IF($F18=3,0,IF(OR(19&gt;$R18,BK18&lt;=$I18),BK18,BK18-MIN(INT(ROUND(IF($F18=1,$C18*$J18,IF(FJ18&gt;0,FJ18*$K18,BK18*$J18))*IF(19=$R18,$S18,12)/12,6)+$B$4),BK18-$I18)))))</f>
        <v/>
      </c>
      <c r="BM18" s="68">
        <f>IF($U18=0,0,IF($F18=4,0,IF($F18=3,0,IF(OR(20&gt;$R18,BL18&lt;=$I18),BL18,BL18-MIN(INT(ROUND(IF($F18=1,$C18*$J18,IF(FK18&gt;0,FK18*$K18,BL18*$J18))*IF(20=$R18,$S18,12)/12,6)+$B$4),BL18-$I18)))))</f>
        <v/>
      </c>
      <c r="BN18" s="68">
        <f>IF($U18=0,0,IF($F18=4,0,IF($F18=3,0,IF(OR(21&gt;$R18,BM18&lt;=$I18),BM18,BM18-MIN(INT(ROUND(IF($F18=1,$C18*$J18,IF(FL18&gt;0,FL18*$K18,BM18*$J18))*IF(21=$R18,$S18,12)/12,6)+$B$4),BM18-$I18)))))</f>
        <v/>
      </c>
      <c r="BO18" s="68">
        <f>IF($U18=0,0,IF($F18=4,0,IF($F18=3,0,IF(OR(22&gt;$R18,BN18&lt;=$I18),BN18,BN18-MIN(INT(ROUND(IF($F18=1,$C18*$J18,IF(FM18&gt;0,FM18*$K18,BN18*$J18))*IF(22=$R18,$S18,12)/12,6)+$B$4),BN18-$I18)))))</f>
        <v/>
      </c>
      <c r="BP18" s="68">
        <f>IF($U18=0,0,IF($F18=4,0,IF($F18=3,0,IF(OR(23&gt;$R18,BO18&lt;=$I18),BO18,BO18-MIN(INT(ROUND(IF($F18=1,$C18*$J18,IF(FN18&gt;0,FN18*$K18,BO18*$J18))*IF(23=$R18,$S18,12)/12,6)+$B$4),BO18-$I18)))))</f>
        <v/>
      </c>
      <c r="BQ18" s="68">
        <f>IF($U18=0,0,IF($F18=4,0,IF($F18=3,0,IF(OR(24&gt;$R18,BP18&lt;=$I18),BP18,BP18-MIN(INT(ROUND(IF($F18=1,$C18*$J18,IF(FO18&gt;0,FO18*$K18,BP18*$J18))*IF(24=$R18,$S18,12)/12,6)+$B$4),BP18-$I18)))))</f>
        <v/>
      </c>
      <c r="BR18" s="68">
        <f>IF($U18=0,0,IF($F18=4,0,IF($F18=3,0,IF(OR(25&gt;$R18,BQ18&lt;=$I18),BQ18,BQ18-MIN(INT(ROUND(IF($F18=1,$C18*$J18,IF(FP18&gt;0,FP18*$K18,BQ18*$J18))*IF(25=$R18,$S18,12)/12,6)+$B$4),BQ18-$I18)))))</f>
        <v/>
      </c>
      <c r="BS18" s="68">
        <f>IF($U18=0,0,IF($F18=4,0,IF($F18=3,0,IF(OR(26&gt;$R18,BR18&lt;=$I18),BR18,BR18-MIN(INT(ROUND(IF($F18=1,$C18*$J18,IF(FQ18&gt;0,FQ18*$K18,BR18*$J18))*IF(26=$R18,$S18,12)/12,6)+$B$4),BR18-$I18)))))</f>
        <v/>
      </c>
      <c r="BT18" s="68">
        <f>IF($U18=0,0,IF($F18=4,0,IF($F18=3,0,IF(OR(27&gt;$R18,BS18&lt;=$I18),BS18,BS18-MIN(INT(ROUND(IF($F18=1,$C18*$J18,IF(FR18&gt;0,FR18*$K18,BS18*$J18))*IF(27=$R18,$S18,12)/12,6)+$B$4),BS18-$I18)))))</f>
        <v/>
      </c>
      <c r="BU18" s="68">
        <f>IF($U18=0,0,IF($F18=4,0,IF($F18=3,0,IF(OR(28&gt;$R18,BT18&lt;=$I18),BT18,BT18-MIN(INT(ROUND(IF($F18=1,$C18*$J18,IF(FS18&gt;0,FS18*$K18,BT18*$J18))*IF(28=$R18,$S18,12)/12,6)+$B$4),BT18-$I18)))))</f>
        <v/>
      </c>
      <c r="BV18" s="68">
        <f>IF($U18=0,0,IF($F18=4,0,IF($F18=3,0,IF(OR(29&gt;$R18,BU18&lt;=$I18),BU18,BU18-MIN(INT(ROUND(IF($F18=1,$C18*$J18,IF(FT18&gt;0,FT18*$K18,BU18*$J18))*IF(29=$R18,$S18,12)/12,6)+$B$4),BU18-$I18)))))</f>
        <v/>
      </c>
      <c r="BW18" s="68">
        <f>IF($U18=0,0,IF($F18=4,0,IF($F18=3,0,IF(OR(30&gt;$R18,BV18&lt;=$I18),BV18,BV18-MIN(INT(ROUND(IF($F18=1,$C18*$J18,IF(FU18&gt;0,FU18*$K18,BV18*$J18))*IF(30=$R18,$S18,12)/12,6)+$B$4),BV18-$I18)))))</f>
        <v/>
      </c>
      <c r="BX18" s="68">
        <f>IF($U18=0,0,IF($F18=4,0,IF($F18=3,0,IF(OR(31&gt;$R18,BW18&lt;=$I18),BW18,BW18-MIN(INT(ROUND(IF($F18=1,$C18*$J18,IF(FV18&gt;0,FV18*$K18,BW18*$J18))*IF(31=$R18,$S18,12)/12,6)+$B$4),BW18-$I18)))))</f>
        <v/>
      </c>
      <c r="BY18" s="68">
        <f>IF($U18=0,0,IF($F18=4,0,IF($F18=3,0,IF(OR(32&gt;$R18,BX18&lt;=$I18),BX18,BX18-MIN(INT(ROUND(IF($F18=1,$C18*$J18,IF(FW18&gt;0,FW18*$K18,BX18*$J18))*IF(32=$R18,$S18,12)/12,6)+$B$4),BX18-$I18)))))</f>
        <v/>
      </c>
      <c r="BZ18" s="68">
        <f>IF($U18=0,0,IF($F18=4,0,IF($F18=3,0,IF(OR(33&gt;$R18,BY18&lt;=$I18),BY18,BY18-MIN(INT(ROUND(IF($F18=1,$C18*$J18,IF(FX18&gt;0,FX18*$K18,BY18*$J18))*IF(33=$R18,$S18,12)/12,6)+$B$4),BY18-$I18)))))</f>
        <v/>
      </c>
      <c r="CA18" s="68">
        <f>IF($U18=0,0,IF($F18=4,0,IF($F18=3,0,IF(OR(34&gt;$R18,BZ18&lt;=$I18),BZ18,BZ18-MIN(INT(ROUND(IF($F18=1,$C18*$J18,IF(FY18&gt;0,FY18*$K18,BZ18*$J18))*IF(34=$R18,$S18,12)/12,6)+$B$4),BZ18-$I18)))))</f>
        <v/>
      </c>
      <c r="CB18" s="68">
        <f>IF($U18=0,0,IF($F18=4,0,IF($F18=3,0,IF(OR(35&gt;$R18,CA18&lt;=$I18),CA18,CA18-MIN(INT(ROUND(IF($F18=1,$C18*$J18,IF(FZ18&gt;0,FZ18*$K18,CA18*$J18))*IF(35=$R18,$S18,12)/12,6)+$B$4),CA18-$I18)))))</f>
        <v/>
      </c>
      <c r="CC18" s="68">
        <f>IF($U18=0,0,IF($F18=4,0,IF($F18=3,0,IF(OR(36&gt;$R18,CB18&lt;=$I18),CB18,CB18-MIN(INT(ROUND(IF($F18=1,$C18*$J18,IF(GA18&gt;0,GA18*$K18,CB18*$J18))*IF(36=$R18,$S18,12)/12,6)+$B$4),CB18-$I18)))))</f>
        <v/>
      </c>
      <c r="CD18" s="68">
        <f>IF($U18=0,0,IF($F18=4,0,IF($F18=3,0,IF(OR(37&gt;$R18,CC18&lt;=$I18),CC18,CC18-MIN(INT(ROUND(IF($F18=1,$C18*$J18,IF(GB18&gt;0,GB18*$K18,CC18*$J18))*IF(37=$R18,$S18,12)/12,6)+$B$4),CC18-$I18)))))</f>
        <v/>
      </c>
      <c r="CE18" s="68">
        <f>IF($U18=0,0,IF($F18=4,0,IF($F18=3,0,IF(OR(38&gt;$R18,CD18&lt;=$I18),CD18,CD18-MIN(INT(ROUND(IF($F18=1,$C18*$J18,IF(GC18&gt;0,GC18*$K18,CD18*$J18))*IF(38=$R18,$S18,12)/12,6)+$B$4),CD18-$I18)))))</f>
        <v/>
      </c>
      <c r="CF18" s="68">
        <f>IF($U18=0,0,IF($F18=4,0,IF($F18=3,0,IF(OR(39&gt;$R18,CE18&lt;=$I18),CE18,CE18-MIN(INT(ROUND(IF($F18=1,$C18*$J18,IF(GD18&gt;0,GD18*$K18,CE18*$J18))*IF(39=$R18,$S18,12)/12,6)+$B$4),CE18-$I18)))))</f>
        <v/>
      </c>
      <c r="CG18" s="68">
        <f>IF($U18=0,0,IF($F18=4,0,IF($F18=3,0,IF(OR(40&gt;$R18,CF18&lt;=$I18),CF18,CF18-MIN(INT(ROUND(IF($F18=1,$C18*$J18,IF(GE18&gt;0,GE18*$K18,CF18*$J18))*IF(40=$R18,$S18,12)/12,6)+$B$4),CF18-$I18)))))</f>
        <v/>
      </c>
      <c r="CH18" s="68">
        <f>IF($U18=0,0,IF($F18=4,0,IF($F18=3,0,IF(OR(41&gt;$R18,CG18&lt;=$I18),CG18,CG18-MIN(INT(ROUND(IF($F18=1,$C18*$J18,IF(GF18&gt;0,GF18*$K18,CG18*$J18))*IF(41=$R18,$S18,12)/12,6)+$B$4),CG18-$I18)))))</f>
        <v/>
      </c>
      <c r="CI18" s="68">
        <f>IF($U18=0,0,IF($F18=4,0,IF($F18=3,0,IF(OR(42&gt;$R18,CH18&lt;=$I18),CH18,CH18-MIN(INT(ROUND(IF($F18=1,$C18*$J18,IF(GG18&gt;0,GG18*$K18,CH18*$J18))*IF(42=$R18,$S18,12)/12,6)+$B$4),CH18-$I18)))))</f>
        <v/>
      </c>
      <c r="CJ18" s="68">
        <f>IF($U18=0,0,IF($F18=4,0,IF($F18=3,0,IF(OR(43&gt;$R18,CI18&lt;=$I18),CI18,CI18-MIN(INT(ROUND(IF($F18=1,$C18*$J18,IF(GH18&gt;0,GH18*$K18,CI18*$J18))*IF(43=$R18,$S18,12)/12,6)+$B$4),CI18-$I18)))))</f>
        <v/>
      </c>
      <c r="CK18" s="68">
        <f>IF($U18=0,0,IF($F18=4,0,IF($F18=3,0,IF(OR(44&gt;$R18,CJ18&lt;=$I18),CJ18,CJ18-MIN(INT(ROUND(IF($F18=1,$C18*$J18,IF(GI18&gt;0,GI18*$K18,CJ18*$J18))*IF(44=$R18,$S18,12)/12,6)+$B$4),CJ18-$I18)))))</f>
        <v/>
      </c>
      <c r="CL18" s="68">
        <f>IF($U18=0,0,IF($F18=4,0,IF($F18=3,0,IF(OR(45&gt;$R18,CK18&lt;=$I18),CK18,CK18-MIN(INT(ROUND(IF($F18=1,$C18*$J18,IF(GJ18&gt;0,GJ18*$K18,CK18*$J18))*IF(45=$R18,$S18,12)/12,6)+$B$4),CK18-$I18)))))</f>
        <v/>
      </c>
      <c r="CM18" s="68">
        <f>IF($U18=0,0,IF($F18=4,0,IF($F18=3,0,IF(OR(46&gt;$R18,CL18&lt;=$I18),CL18,CL18-MIN(INT(ROUND(IF($F18=1,$C18*$J18,IF(GK18&gt;0,GK18*$K18,CL18*$J18))*IF(46=$R18,$S18,12)/12,6)+$B$4),CL18-$I18)))))</f>
        <v/>
      </c>
      <c r="CN18" s="68">
        <f>IF($U18=0,0,IF($F18=4,0,IF($F18=3,0,IF(OR(47&gt;$R18,CM18&lt;=$I18),CM18,CM18-MIN(INT(ROUND(IF($F18=1,$C18*$J18,IF(GL18&gt;0,GL18*$K18,CM18*$J18))*IF(47=$R18,$S18,12)/12,6)+$B$4),CM18-$I18)))))</f>
        <v/>
      </c>
      <c r="CO18" s="68">
        <f>IF($U18=0,0,IF($F18=4,0,IF($F18=3,0,IF(OR(48&gt;$R18,CN18&lt;=$I18),CN18,CN18-MIN(INT(ROUND(IF($F18=1,$C18*$J18,IF(GM18&gt;0,GM18*$K18,CN18*$J18))*IF(48=$R18,$S18,12)/12,6)+$B$4),CN18-$I18)))))</f>
        <v/>
      </c>
      <c r="CP18" s="68">
        <f>IF($U18=0,0,IF($F18=4,0,IF($F18=3,0,IF(OR(49&gt;$R18,CO18&lt;=$I18),CO18,CO18-MIN(INT(ROUND(IF($F18=1,$C18*$J18,IF(GN18&gt;0,GN18*$K18,CO18*$J18))*IF(49=$R18,$S18,12)/12,6)+$B$4),CO18-$I18)))))</f>
        <v/>
      </c>
      <c r="CQ18" s="68">
        <f>IF($U18=0,0,IF($F18=4,0,IF($F18=3,0,IF(OR(50&gt;$R18,CP18&lt;=$I18),CP18,CP18-MIN(INT(ROUND(IF($F18=1,$C18*$J18,IF(GO18&gt;0,GO18*$K18,CP18*$J18))*IF(50=$R18,$S18,12)/12,6)+$B$4),CP18-$I18)))))</f>
        <v/>
      </c>
      <c r="CR18" s="68">
        <f>IF($U18=0,0,IF($F18=4,0,IF($F18=3,0,IF(OR(51&gt;$R18,CQ18&lt;=$I18),CQ18,CQ18-MIN(INT(ROUND(IF($F18=1,$C18*$J18,IF(GP18&gt;0,GP18*$K18,CQ18*$J18))*IF(51=$R18,$S18,12)/12,6)+$B$4),CQ18-$I18)))))</f>
        <v/>
      </c>
      <c r="CS18" s="68">
        <f>IF($U18=0,0,IF($F18=4,0,IF($F18=3,0,IF(OR(52&gt;$R18,CR18&lt;=$I18),CR18,CR18-MIN(INT(ROUND(IF($F18=1,$C18*$J18,IF(GQ18&gt;0,GQ18*$K18,CR18*$J18))*IF(52=$R18,$S18,12)/12,6)+$B$4),CR18-$I18)))))</f>
        <v/>
      </c>
      <c r="CT18" s="68">
        <f>IF($U18=0,0,IF($F18=4,0,IF($F18=3,0,IF(OR(53&gt;$R18,CS18&lt;=$I18),CS18,CS18-MIN(INT(ROUND(IF($F18=1,$C18*$J18,IF(GR18&gt;0,GR18*$K18,CS18*$J18))*IF(53=$R18,$S18,12)/12,6)+$B$4),CS18-$I18)))))</f>
        <v/>
      </c>
      <c r="CU18" s="68">
        <f>IF($U18=0,0,IF($F18=4,0,IF($F18=3,0,IF(OR(54&gt;$R18,CT18&lt;=$I18),CT18,CT18-MIN(INT(ROUND(IF($F18=1,$C18*$J18,IF(GS18&gt;0,GS18*$K18,CT18*$J18))*IF(54=$R18,$S18,12)/12,6)+$B$4),CT18-$I18)))))</f>
        <v/>
      </c>
      <c r="CV18" s="68">
        <f>IF($U18=0,0,IF($F18=4,0,IF($F18=3,0,IF(OR(55&gt;$R18,CU18&lt;=$I18),CU18,CU18-MIN(INT(ROUND(IF($F18=1,$C18*$J18,IF(GT18&gt;0,GT18*$K18,CU18*$J18))*IF(55=$R18,$S18,12)/12,6)+$B$4),CU18-$I18)))))</f>
        <v/>
      </c>
      <c r="CW18" s="68">
        <f>IF($U18=0,0,IF($F18=4,0,IF($F18=3,0,IF(OR(56&gt;$R18,CV18&lt;=$I18),CV18,CV18-MIN(INT(ROUND(IF($F18=1,$C18*$J18,IF(GU18&gt;0,GU18*$K18,CV18*$J18))*IF(56=$R18,$S18,12)/12,6)+$B$4),CV18-$I18)))))</f>
        <v/>
      </c>
      <c r="CX18" s="68">
        <f>IF($U18=0,0,IF($F18=4,0,IF($F18=3,0,IF(OR(57&gt;$R18,CW18&lt;=$I18),CW18,CW18-MIN(INT(ROUND(IF($F18=1,$C18*$J18,IF(GV18&gt;0,GV18*$K18,CW18*$J18))*IF(57=$R18,$S18,12)/12,6)+$B$4),CW18-$I18)))))</f>
        <v/>
      </c>
      <c r="CY18" s="68">
        <f>IF($U18=0,0,IF($F18=4,0,IF($F18=3,0,IF(OR(58&gt;$R18,CX18&lt;=$I18),CX18,CX18-MIN(INT(ROUND(IF($F18=1,$C18*$J18,IF(GW18&gt;0,GW18*$K18,CX18*$J18))*IF(58=$R18,$S18,12)/12,6)+$B$4),CX18-$I18)))))</f>
        <v/>
      </c>
      <c r="CZ18" s="68">
        <f>IF($U18=0,0,IF($F18=4,0,IF($F18=3,0,IF(OR(59&gt;$R18,CY18&lt;=$I18),CY18,CY18-MIN(INT(ROUND(IF($F18=1,$C18*$J18,IF(GX18&gt;0,GX18*$K18,CY18*$J18))*IF(59=$R18,$S18,12)/12,6)+$B$4),CY18-$I18)))))</f>
        <v/>
      </c>
      <c r="DA18" s="68">
        <f>IF($U18=0,0,IF($F18=4,0,IF($F18=3,0,IF(OR(60&gt;$R18,CZ18&lt;=$I18),CZ18,CZ18-MIN(INT(ROUND(IF($F18=1,$C18*$J18,IF(GY18&gt;0,GY18*$K18,CZ18*$J18))*IF(60=$R18,$S18,12)/12,6)+$B$4),CZ18-$I18)))))</f>
        <v/>
      </c>
      <c r="DB18" s="68">
        <f>IF($U18=0,0,IF($F18=4,0,IF($F18=3,0,IF(OR(61&gt;$R18,DA18&lt;=$I18),DA18,DA18-MIN(INT(ROUND(IF($F18=1,$C18*$J18,IF(GZ18&gt;0,GZ18*$K18,DA18*$J18))*IF(61=$R18,$S18,12)/12,6)+$B$4),DA18-$I18)))))</f>
        <v/>
      </c>
      <c r="DC18" s="68">
        <f>IF($U18=0,0,IF($F18=4,0,IF($F18=3,0,IF(OR(62&gt;$R18,DB18&lt;=$I18),DB18,DB18-MIN(INT(ROUND(IF($F18=1,$C18*$J18,IF(HA18&gt;0,HA18*$K18,DB18*$J18))*IF(62=$R18,$S18,12)/12,6)+$B$4),DB18-$I18)))))</f>
        <v/>
      </c>
      <c r="DD18" s="68">
        <f>IF($U18=0,0,IF($F18=4,0,IF($F18=3,0,IF(OR(63&gt;$R18,DC18&lt;=$I18),DC18,DC18-MIN(INT(ROUND(IF($F18=1,$C18*$J18,IF(HB18&gt;0,HB18*$K18,DC18*$J18))*IF(63=$R18,$S18,12)/12,6)+$B$4),DC18-$I18)))))</f>
        <v/>
      </c>
      <c r="DE18" s="68">
        <f>IF($U18=0,0,IF($F18=4,0,IF($F18=3,0,IF(OR(64&gt;$R18,DD18&lt;=$I18),DD18,DD18-MIN(INT(ROUND(IF($F18=1,$C18*$J18,IF(HC18&gt;0,HC18*$K18,DD18*$J18))*IF(64=$R18,$S18,12)/12,6)+$B$4),DD18-$I18)))))</f>
        <v/>
      </c>
      <c r="DF18" s="68">
        <f>IF($U18=0,0,IF($F18=4,0,IF($F18=3,0,IF(OR(65&gt;$R18,DE18&lt;=$I18),DE18,DE18-MIN(INT(ROUND(IF($F18=1,$C18*$J18,IF(HD18&gt;0,HD18*$K18,DE18*$J18))*IF(65=$R18,$S18,12)/12,6)+$B$4),DE18-$I18)))))</f>
        <v/>
      </c>
      <c r="DG18" s="68">
        <f>IF($U18=0,0,IF($F18=4,0,IF($F18=3,0,IF(OR(66&gt;$R18,DF18&lt;=$I18),DF18,DF18-MIN(INT(ROUND(IF($F18=1,$C18*$J18,IF(HE18&gt;0,HE18*$K18,DF18*$J18))*IF(66=$R18,$S18,12)/12,6)+$B$4),DF18-$I18)))))</f>
        <v/>
      </c>
      <c r="DH18" s="68">
        <f>IF($U18=0,0,IF($F18=4,0,IF($F18=3,0,IF(OR(67&gt;$R18,DG18&lt;=$I18),DG18,DG18-MIN(INT(ROUND(IF($F18=1,$C18*$J18,IF(HF18&gt;0,HF18*$K18,DG18*$J18))*IF(67=$R18,$S18,12)/12,6)+$B$4),DG18-$I18)))))</f>
        <v/>
      </c>
      <c r="DI18" s="68">
        <f>IF($U18=0,0,IF($F18=4,0,IF($F18=3,0,IF(OR(68&gt;$R18,DH18&lt;=$I18),DH18,DH18-MIN(INT(ROUND(IF($F18=1,$C18*$J18,IF(HG18&gt;0,HG18*$K18,DH18*$J18))*IF(68=$R18,$S18,12)/12,6)+$B$4),DH18-$I18)))))</f>
        <v/>
      </c>
      <c r="DJ18" s="68">
        <f>IF($U18=0,0,IF($F18=4,0,IF($F18=3,0,IF(OR(69&gt;$R18,DI18&lt;=$I18),DI18,DI18-MIN(INT(ROUND(IF($F18=1,$C18*$J18,IF(HH18&gt;0,HH18*$K18,DI18*$J18))*IF(69=$R18,$S18,12)/12,6)+$B$4),DI18-$I18)))))</f>
        <v/>
      </c>
      <c r="DK18" s="68">
        <f>IF($U18=0,0,IF($F18=4,0,IF($F18=3,0,IF(OR(70&gt;$R18,DJ18&lt;=$I18),DJ18,DJ18-MIN(INT(ROUND(IF($F18=1,$C18*$J18,IF(HI18&gt;0,HI18*$K18,DJ18*$J18))*IF(70=$R18,$S18,12)/12,6)+$B$4),DJ18-$I18)))))</f>
        <v/>
      </c>
      <c r="DL18" s="68">
        <f>IF($U18=0,0,IF($F18=4,0,IF($F18=3,0,IF(OR(71&gt;$R18,DK18&lt;=$I18),DK18,DK18-MIN(INT(ROUND(IF($F18=1,$C18*$J18,IF(HJ18&gt;0,HJ18*$K18,DK18*$J18))*IF(71=$R18,$S18,12)/12,6)+$B$4),DK18-$I18)))))</f>
        <v/>
      </c>
      <c r="DM18" s="68">
        <f>IF($U18=0,0,IF($F18=4,0,IF($F18=3,0,IF(OR(72&gt;$R18,DL18&lt;=$I18),DL18,DL18-MIN(INT(ROUND(IF($F18=1,$C18*$J18,IF(HK18&gt;0,HK18*$K18,DL18*$J18))*IF(72=$R18,$S18,12)/12,6)+$B$4),DL18-$I18)))))</f>
        <v/>
      </c>
      <c r="DN18" s="68">
        <f>IF($U18=0,0,IF($F18=4,0,IF($F18=3,0,IF(OR(73&gt;$R18,DM18&lt;=$I18),DM18,DM18-MIN(INT(ROUND(IF($F18=1,$C18*$J18,IF(HL18&gt;0,HL18*$K18,DM18*$J18))*IF(73=$R18,$S18,12)/12,6)+$B$4),DM18-$I18)))))</f>
        <v/>
      </c>
      <c r="DO18" s="68">
        <f>IF($U18=0,0,IF($F18=4,0,IF($F18=3,0,IF(OR(74&gt;$R18,DN18&lt;=$I18),DN18,DN18-MIN(INT(ROUND(IF($F18=1,$C18*$J18,IF(HM18&gt;0,HM18*$K18,DN18*$J18))*IF(74=$R18,$S18,12)/12,6)+$B$4),DN18-$I18)))))</f>
        <v/>
      </c>
      <c r="DP18" s="68">
        <f>IF($U18=0,0,IF($F18=4,0,IF($F18=3,0,IF(OR(75&gt;$R18,DO18&lt;=$I18),DO18,DO18-MIN(INT(ROUND(IF($F18=1,$C18*$J18,IF(HN18&gt;0,HN18*$K18,DO18*$J18))*IF(75=$R18,$S18,12)/12,6)+$B$4),DO18-$I18)))))</f>
        <v/>
      </c>
      <c r="DQ18" s="68">
        <f>IF($U18=0,0,IF($F18=4,0,IF($F18=3,0,IF(OR(76&gt;$R18,DP18&lt;=$I18),DP18,DP18-MIN(INT(ROUND(IF($F18=1,$C18*$J18,IF(HO18&gt;0,HO18*$K18,DP18*$J18))*IF(76=$R18,$S18,12)/12,6)+$B$4),DP18-$I18)))))</f>
        <v/>
      </c>
      <c r="DR18" s="68">
        <f>IF($U18=0,0,IF($F18=4,0,IF($F18=3,0,IF(OR(77&gt;$R18,DQ18&lt;=$I18),DQ18,DQ18-MIN(INT(ROUND(IF($F18=1,$C18*$J18,IF(HP18&gt;0,HP18*$K18,DQ18*$J18))*IF(77=$R18,$S18,12)/12,6)+$B$4),DQ18-$I18)))))</f>
        <v/>
      </c>
      <c r="DS18" s="68">
        <f>IF($U18=0,0,IF($F18=4,0,IF($F18=3,0,IF(OR(78&gt;$R18,DR18&lt;=$I18),DR18,DR18-MIN(INT(ROUND(IF($F18=1,$C18*$J18,IF(HQ18&gt;0,HQ18*$K18,DR18*$J18))*IF(78=$R18,$S18,12)/12,6)+$B$4),DR18-$I18)))))</f>
        <v/>
      </c>
      <c r="DT18" s="68">
        <f>IF($U18=0,0,IF($F18=4,0,IF($F18=3,0,IF(OR(79&gt;$R18,DS18&lt;=$I18),DS18,DS18-MIN(INT(ROUND(IF($F18=1,$C18*$J18,IF(HR18&gt;0,HR18*$K18,DS18*$J18))*IF(79=$R18,$S18,12)/12,6)+$B$4),DS18-$I18)))))</f>
        <v/>
      </c>
      <c r="DU18" s="68">
        <f>IF($U18=0,0,IF($F18=4,0,IF($F18=3,0,IF(OR(80&gt;$R18,DT18&lt;=$I18),DT18,DT18-MIN(INT(ROUND(IF($F18=1,$C18*$J18,IF(HS18&gt;0,HS18*$K18,DT18*$J18))*IF(80=$R18,$S18,12)/12,6)+$B$4),DT18-$I18)))))</f>
        <v/>
      </c>
      <c r="DV18" s="68">
        <f>IF($U18=0,0,IF($F18=4,0,IF($F18=3,0,IF(OR(81&gt;$R18,DU18&lt;=$I18),DU18,DU18-MIN(INT(ROUND(IF($F18=1,$C18*$J18,IF(HT18&gt;0,HT18*$K18,DU18*$J18))*IF(81=$R18,$S18,12)/12,6)+$B$4),DU18-$I18)))))</f>
        <v/>
      </c>
      <c r="DW18" s="68">
        <f>IF($U18=0,0,IF($F18=4,0,IF($F18=3,0,IF(OR(82&gt;$R18,DV18&lt;=$I18),DV18,DV18-MIN(INT(ROUND(IF($F18=1,$C18*$J18,IF(HU18&gt;0,HU18*$K18,DV18*$J18))*IF(82=$R18,$S18,12)/12,6)+$B$4),DV18-$I18)))))</f>
        <v/>
      </c>
      <c r="DX18" s="68">
        <f>IF($U18=0,0,IF($F18=4,0,IF($F18=3,0,IF(OR(83&gt;$R18,DW18&lt;=$I18),DW18,DW18-MIN(INT(ROUND(IF($F18=1,$C18*$J18,IF(HV18&gt;0,HV18*$K18,DW18*$J18))*IF(83=$R18,$S18,12)/12,6)+$B$4),DW18-$I18)))))</f>
        <v/>
      </c>
      <c r="DY18" s="68">
        <f>IF($U18=0,0,IF($F18=4,0,IF($F18=3,0,IF(OR(84&gt;$R18,DX18&lt;=$I18),DX18,DX18-MIN(INT(ROUND(IF($F18=1,$C18*$J18,IF(HW18&gt;0,HW18*$K18,DX18*$J18))*IF(84=$R18,$S18,12)/12,6)+$B$4),DX18-$I18)))))</f>
        <v/>
      </c>
      <c r="DZ18" s="68">
        <f>IF($U18=0,0,IF($F18=4,0,IF($F18=3,0,IF(OR(85&gt;$R18,DY18&lt;=$I18),DY18,DY18-MIN(INT(ROUND(IF($F18=1,$C18*$J18,IF(HX18&gt;0,HX18*$K18,DY18*$J18))*IF(85=$R18,$S18,12)/12,6)+$B$4),DY18-$I18)))))</f>
        <v/>
      </c>
      <c r="EA18" s="68">
        <f>IF($U18=0,0,IF($F18=4,0,IF($F18=3,0,IF(OR(86&gt;$R18,DZ18&lt;=$I18),DZ18,DZ18-MIN(INT(ROUND(IF($F18=1,$C18*$J18,IF(HY18&gt;0,HY18*$K18,DZ18*$J18))*IF(86=$R18,$S18,12)/12,6)+$B$4),DZ18-$I18)))))</f>
        <v/>
      </c>
      <c r="EB18" s="68">
        <f>IF($U18=0,0,IF($F18=4,0,IF($F18=3,0,IF(OR(87&gt;$R18,EA18&lt;=$I18),EA18,EA18-MIN(INT(ROUND(IF($F18=1,$C18*$J18,IF(HZ18&gt;0,HZ18*$K18,EA18*$J18))*IF(87=$R18,$S18,12)/12,6)+$B$4),EA18-$I18)))))</f>
        <v/>
      </c>
      <c r="EC18" s="68">
        <f>IF($U18=0,0,IF($F18=4,0,IF($F18=3,0,IF(OR(88&gt;$R18,EB18&lt;=$I18),EB18,EB18-MIN(INT(ROUND(IF($F18=1,$C18*$J18,IF(IA18&gt;0,IA18*$K18,EB18*$J18))*IF(88=$R18,$S18,12)/12,6)+$B$4),EB18-$I18)))))</f>
        <v/>
      </c>
      <c r="ED18" s="68">
        <f>IF($U18=0,0,IF($F18=4,0,IF($F18=3,0,IF(OR(89&gt;$R18,EC18&lt;=$I18),EC18,EC18-MIN(INT(ROUND(IF($F18=1,$C18*$J18,IF(IB18&gt;0,IB18*$K18,EC18*$J18))*IF(89=$R18,$S18,12)/12,6)+$B$4),EC18-$I18)))))</f>
        <v/>
      </c>
      <c r="EE18" s="68">
        <f>IF($U18=0,0,IF($F18=4,0,IF($F18=3,0,IF(OR(90&gt;$R18,ED18&lt;=$I18),ED18,ED18-MIN(INT(ROUND(IF($F18=1,$C18*$J18,IF(IC18&gt;0,IC18*$K18,ED18*$J18))*IF(90=$R18,$S18,12)/12,6)+$B$4),ED18-$I18)))))</f>
        <v/>
      </c>
      <c r="EF18" s="68">
        <f>IF($U18=0,0,IF($F18=4,0,IF($F18=3,0,IF(OR(91&gt;$R18,EE18&lt;=$I18),EE18,EE18-MIN(INT(ROUND(IF($F18=1,$C18*$J18,IF(ID18&gt;0,ID18*$K18,EE18*$J18))*IF(91=$R18,$S18,12)/12,6)+$B$4),EE18-$I18)))))</f>
        <v/>
      </c>
      <c r="EG18" s="68">
        <f>IF($U18=0,0,IF($F18=4,0,IF($F18=3,0,IF(OR(92&gt;$R18,EF18&lt;=$I18),EF18,EF18-MIN(INT(ROUND(IF($F18=1,$C18*$J18,IF(IE18&gt;0,IE18*$K18,EF18*$J18))*IF(92=$R18,$S18,12)/12,6)+$B$4),EF18-$I18)))))</f>
        <v/>
      </c>
      <c r="EH18" s="68">
        <f>IF($U18=0,0,IF($F18=4,0,IF($F18=3,0,IF(OR(93&gt;$R18,EG18&lt;=$I18),EG18,EG18-MIN(INT(ROUND(IF($F18=1,$C18*$J18,IF(IF18&gt;0,IF18*$K18,EG18*$J18))*IF(93=$R18,$S18,12)/12,6)+$B$4),EG18-$I18)))))</f>
        <v/>
      </c>
      <c r="EI18" s="68">
        <f>IF($U18=0,0,IF($F18=4,0,IF($F18=3,0,IF(OR(94&gt;$R18,EH18&lt;=$I18),EH18,EH18-MIN(INT(ROUND(IF($F18=1,$C18*$J18,IF(IG18&gt;0,IG18*$K18,EH18*$J18))*IF(94=$R18,$S18,12)/12,6)+$B$4),EH18-$I18)))))</f>
        <v/>
      </c>
      <c r="EJ18" s="68">
        <f>IF($U18=0,0,IF($F18=4,0,IF($F18=3,0,IF(OR(95&gt;$R18,EI18&lt;=$I18),EI18,EI18-MIN(INT(ROUND(IF($F18=1,$C18*$J18,IF(IH18&gt;0,IH18*$K18,EI18*$J18))*IF(95=$R18,$S18,12)/12,6)+$B$4),EI18-$I18)))))</f>
        <v/>
      </c>
      <c r="EK18" s="68">
        <f>IF($U18=0,0,IF($F18=4,0,IF($F18=3,0,IF(OR(96&gt;$R18,EJ18&lt;=$I18),EJ18,EJ18-MIN(INT(ROUND(IF($F18=1,$C18*$J18,IF(II18&gt;0,II18*$K18,EJ18*$J18))*IF(96=$R18,$S18,12)/12,6)+$B$4),EJ18-$I18)))))</f>
        <v/>
      </c>
      <c r="EL18" s="68">
        <f>IF($U18=0,0,IF($F18=4,0,IF($F18=3,0,IF(OR(97&gt;$R18,EK18&lt;=$I18),EK18,EK18-MIN(INT(ROUND(IF($F18=1,$C18*$J18,IF(IJ18&gt;0,IJ18*$K18,EK18*$J18))*IF(97=$R18,$S18,12)/12,6)+$B$4),EK18-$I18)))))</f>
        <v/>
      </c>
      <c r="EM18" s="68">
        <f>IF($U18=0,0,IF($F18=4,0,IF($F18=3,0,IF(OR(98&gt;$R18,EL18&lt;=$I18),EL18,EL18-MIN(INT(ROUND(IF($F18=1,$C18*$J18,IF(IK18&gt;0,IK18*$K18,EL18*$J18))*IF(98=$R18,$S18,12)/12,6)+$B$4),EL18-$I18)))))</f>
        <v/>
      </c>
      <c r="EN18" s="68">
        <f>IF($U18=0,0,IF($F18=4,0,IF($F18=3,0,IF(OR(99&gt;$R18,EM18&lt;=$I18),EM18,EM18-MIN(INT(ROUND(IF($F18=1,$C18*$J18,IF(IL18&gt;0,IL18*$K18,EM18*$J18))*IF(99=$R18,$S18,12)/12,6)+$B$4),EM18-$I18)))))</f>
        <v/>
      </c>
      <c r="EO18" s="68">
        <f>IF($U18=0,0,IF($F18=4,0,IF($F18=3,0,IF(OR(100&gt;$R18,EN18&lt;=$I18),EN18,EN18-MIN(INT(ROUND(IF($F18=1,$C18*$J18,IF(IM18&gt;0,IM18*$K18,EN18*$J18))*IF(100=$R18,$S18,12)/12,6)+$B$4),EN18-$I18)))))</f>
        <v/>
      </c>
      <c r="EP18" s="68">
        <f>IF($U18=0,0,IF($F18=4,0,IF($F18=3,0,IF(OR(101&gt;$R18,EO18&lt;=$I18),EO18,EO18-MIN(INT(ROUND(IF($F18=1,$C18*$J18,IF(IN18&gt;0,IN18*$K18,EO18*$J18))*IF(101=$R18,$S18,12)/12,6)+$B$4),EO18-$I18)))))</f>
        <v/>
      </c>
      <c r="EQ18" s="68" t="n"/>
      <c r="ER18" s="68">
        <f>IF(OR($U18=0,$F18&lt;&gt;2),0,IF(ROUND(AS18*$J18,6)&lt;ROUND($M18,6),AS18,0))</f>
        <v/>
      </c>
      <c r="ES18" s="68">
        <f>IF(OR($U18=0,$F18&lt;&gt;2),0,IF(ER18&gt;0,ER18,IF(ROUND(AT18*$J18,6)&lt;ROUND($M18,6),AT18,0)))</f>
        <v/>
      </c>
      <c r="ET18" s="68">
        <f>IF(OR($U18=0,$F18&lt;&gt;2),0,IF(ES18&gt;0,ES18,IF(ROUND(AU18*$J18,6)&lt;ROUND($M18,6),AU18,0)))</f>
        <v/>
      </c>
      <c r="EU18" s="68">
        <f>IF(OR($U18=0,$F18&lt;&gt;2),0,IF(ET18&gt;0,ET18,IF(ROUND(AV18*$J18,6)&lt;ROUND($M18,6),AV18,0)))</f>
        <v/>
      </c>
      <c r="EV18" s="68">
        <f>IF(OR($U18=0,$F18&lt;&gt;2),0,IF(EU18&gt;0,EU18,IF(ROUND(AW18*$J18,6)&lt;ROUND($M18,6),AW18,0)))</f>
        <v/>
      </c>
      <c r="EW18" s="68">
        <f>IF(OR($U18=0,$F18&lt;&gt;2),0,IF(EV18&gt;0,EV18,IF(ROUND(AX18*$J18,6)&lt;ROUND($M18,6),AX18,0)))</f>
        <v/>
      </c>
      <c r="EX18" s="68">
        <f>IF(OR($U18=0,$F18&lt;&gt;2),0,IF(EW18&gt;0,EW18,IF(ROUND(AY18*$J18,6)&lt;ROUND($M18,6),AY18,0)))</f>
        <v/>
      </c>
      <c r="EY18" s="68">
        <f>IF(OR($U18=0,$F18&lt;&gt;2),0,IF(EX18&gt;0,EX18,IF(ROUND(AZ18*$J18,6)&lt;ROUND($M18,6),AZ18,0)))</f>
        <v/>
      </c>
      <c r="EZ18" s="68">
        <f>IF(OR($U18=0,$F18&lt;&gt;2),0,IF(EY18&gt;0,EY18,IF(ROUND(BA18*$J18,6)&lt;ROUND($M18,6),BA18,0)))</f>
        <v/>
      </c>
      <c r="FA18" s="68">
        <f>IF(OR($U18=0,$F18&lt;&gt;2),0,IF(EZ18&gt;0,EZ18,IF(ROUND(BB18*$J18,6)&lt;ROUND($M18,6),BB18,0)))</f>
        <v/>
      </c>
      <c r="FB18" s="68">
        <f>IF(OR($U18=0,$F18&lt;&gt;2),0,IF(FA18&gt;0,FA18,IF(ROUND(BC18*$J18,6)&lt;ROUND($M18,6),BC18,0)))</f>
        <v/>
      </c>
      <c r="FC18" s="68">
        <f>IF(OR($U18=0,$F18&lt;&gt;2),0,IF(FB18&gt;0,FB18,IF(ROUND(BD18*$J18,6)&lt;ROUND($M18,6),BD18,0)))</f>
        <v/>
      </c>
      <c r="FD18" s="68">
        <f>IF(OR($U18=0,$F18&lt;&gt;2),0,IF(FC18&gt;0,FC18,IF(ROUND(BE18*$J18,6)&lt;ROUND($M18,6),BE18,0)))</f>
        <v/>
      </c>
      <c r="FE18" s="68">
        <f>IF(OR($U18=0,$F18&lt;&gt;2),0,IF(FD18&gt;0,FD18,IF(ROUND(BF18*$J18,6)&lt;ROUND($M18,6),BF18,0)))</f>
        <v/>
      </c>
      <c r="FF18" s="68">
        <f>IF(OR($U18=0,$F18&lt;&gt;2),0,IF(FE18&gt;0,FE18,IF(ROUND(BG18*$J18,6)&lt;ROUND($M18,6),BG18,0)))</f>
        <v/>
      </c>
      <c r="FG18" s="68">
        <f>IF(OR($U18=0,$F18&lt;&gt;2),0,IF(FF18&gt;0,FF18,IF(ROUND(BH18*$J18,6)&lt;ROUND($M18,6),BH18,0)))</f>
        <v/>
      </c>
      <c r="FH18" s="68">
        <f>IF(OR($U18=0,$F18&lt;&gt;2),0,IF(FG18&gt;0,FG18,IF(ROUND(BI18*$J18,6)&lt;ROUND($M18,6),BI18,0)))</f>
        <v/>
      </c>
      <c r="FI18" s="68">
        <f>IF(OR($U18=0,$F18&lt;&gt;2),0,IF(FH18&gt;0,FH18,IF(ROUND(BJ18*$J18,6)&lt;ROUND($M18,6),BJ18,0)))</f>
        <v/>
      </c>
      <c r="FJ18" s="68">
        <f>IF(OR($U18=0,$F18&lt;&gt;2),0,IF(FI18&gt;0,FI18,IF(ROUND(BK18*$J18,6)&lt;ROUND($M18,6),BK18,0)))</f>
        <v/>
      </c>
      <c r="FK18" s="68">
        <f>IF(OR($U18=0,$F18&lt;&gt;2),0,IF(FJ18&gt;0,FJ18,IF(ROUND(BL18*$J18,6)&lt;ROUND($M18,6),BL18,0)))</f>
        <v/>
      </c>
      <c r="FL18" s="68">
        <f>IF(OR($U18=0,$F18&lt;&gt;2),0,IF(FK18&gt;0,FK18,IF(ROUND(BM18*$J18,6)&lt;ROUND($M18,6),BM18,0)))</f>
        <v/>
      </c>
      <c r="FM18" s="68">
        <f>IF(OR($U18=0,$F18&lt;&gt;2),0,IF(FL18&gt;0,FL18,IF(ROUND(BN18*$J18,6)&lt;ROUND($M18,6),BN18,0)))</f>
        <v/>
      </c>
      <c r="FN18" s="68">
        <f>IF(OR($U18=0,$F18&lt;&gt;2),0,IF(FM18&gt;0,FM18,IF(ROUND(BO18*$J18,6)&lt;ROUND($M18,6),BO18,0)))</f>
        <v/>
      </c>
      <c r="FO18" s="68">
        <f>IF(OR($U18=0,$F18&lt;&gt;2),0,IF(FN18&gt;0,FN18,IF(ROUND(BP18*$J18,6)&lt;ROUND($M18,6),BP18,0)))</f>
        <v/>
      </c>
      <c r="FP18" s="68">
        <f>IF(OR($U18=0,$F18&lt;&gt;2),0,IF(FO18&gt;0,FO18,IF(ROUND(BQ18*$J18,6)&lt;ROUND($M18,6),BQ18,0)))</f>
        <v/>
      </c>
      <c r="FQ18" s="68">
        <f>IF(OR($U18=0,$F18&lt;&gt;2),0,IF(FP18&gt;0,FP18,IF(ROUND(BR18*$J18,6)&lt;ROUND($M18,6),BR18,0)))</f>
        <v/>
      </c>
      <c r="FR18" s="68">
        <f>IF(OR($U18=0,$F18&lt;&gt;2),0,IF(FQ18&gt;0,FQ18,IF(ROUND(BS18*$J18,6)&lt;ROUND($M18,6),BS18,0)))</f>
        <v/>
      </c>
      <c r="FS18" s="68">
        <f>IF(OR($U18=0,$F18&lt;&gt;2),0,IF(FR18&gt;0,FR18,IF(ROUND(BT18*$J18,6)&lt;ROUND($M18,6),BT18,0)))</f>
        <v/>
      </c>
      <c r="FT18" s="68">
        <f>IF(OR($U18=0,$F18&lt;&gt;2),0,IF(FS18&gt;0,FS18,IF(ROUND(BU18*$J18,6)&lt;ROUND($M18,6),BU18,0)))</f>
        <v/>
      </c>
      <c r="FU18" s="68">
        <f>IF(OR($U18=0,$F18&lt;&gt;2),0,IF(FT18&gt;0,FT18,IF(ROUND(BV18*$J18,6)&lt;ROUND($M18,6),BV18,0)))</f>
        <v/>
      </c>
      <c r="FV18" s="68">
        <f>IF(OR($U18=0,$F18&lt;&gt;2),0,IF(FU18&gt;0,FU18,IF(ROUND(BW18*$J18,6)&lt;ROUND($M18,6),BW18,0)))</f>
        <v/>
      </c>
      <c r="FW18" s="68">
        <f>IF(OR($U18=0,$F18&lt;&gt;2),0,IF(FV18&gt;0,FV18,IF(ROUND(BX18*$J18,6)&lt;ROUND($M18,6),BX18,0)))</f>
        <v/>
      </c>
      <c r="FX18" s="68">
        <f>IF(OR($U18=0,$F18&lt;&gt;2),0,IF(FW18&gt;0,FW18,IF(ROUND(BY18*$J18,6)&lt;ROUND($M18,6),BY18,0)))</f>
        <v/>
      </c>
      <c r="FY18" s="68">
        <f>IF(OR($U18=0,$F18&lt;&gt;2),0,IF(FX18&gt;0,FX18,IF(ROUND(BZ18*$J18,6)&lt;ROUND($M18,6),BZ18,0)))</f>
        <v/>
      </c>
      <c r="FZ18" s="68">
        <f>IF(OR($U18=0,$F18&lt;&gt;2),0,IF(FY18&gt;0,FY18,IF(ROUND(CA18*$J18,6)&lt;ROUND($M18,6),CA18,0)))</f>
        <v/>
      </c>
      <c r="GA18" s="68">
        <f>IF(OR($U18=0,$F18&lt;&gt;2),0,IF(FZ18&gt;0,FZ18,IF(ROUND(CB18*$J18,6)&lt;ROUND($M18,6),CB18,0)))</f>
        <v/>
      </c>
      <c r="GB18" s="68">
        <f>IF(OR($U18=0,$F18&lt;&gt;2),0,IF(GA18&gt;0,GA18,IF(ROUND(CC18*$J18,6)&lt;ROUND($M18,6),CC18,0)))</f>
        <v/>
      </c>
      <c r="GC18" s="68">
        <f>IF(OR($U18=0,$F18&lt;&gt;2),0,IF(GB18&gt;0,GB18,IF(ROUND(CD18*$J18,6)&lt;ROUND($M18,6),CD18,0)))</f>
        <v/>
      </c>
      <c r="GD18" s="68">
        <f>IF(OR($U18=0,$F18&lt;&gt;2),0,IF(GC18&gt;0,GC18,IF(ROUND(CE18*$J18,6)&lt;ROUND($M18,6),CE18,0)))</f>
        <v/>
      </c>
      <c r="GE18" s="68">
        <f>IF(OR($U18=0,$F18&lt;&gt;2),0,IF(GD18&gt;0,GD18,IF(ROUND(CF18*$J18,6)&lt;ROUND($M18,6),CF18,0)))</f>
        <v/>
      </c>
      <c r="GF18" s="68">
        <f>IF(OR($U18=0,$F18&lt;&gt;2),0,IF(GE18&gt;0,GE18,IF(ROUND(CG18*$J18,6)&lt;ROUND($M18,6),CG18,0)))</f>
        <v/>
      </c>
      <c r="GG18" s="68">
        <f>IF(OR($U18=0,$F18&lt;&gt;2),0,IF(GF18&gt;0,GF18,IF(ROUND(CH18*$J18,6)&lt;ROUND($M18,6),CH18,0)))</f>
        <v/>
      </c>
      <c r="GH18" s="68">
        <f>IF(OR($U18=0,$F18&lt;&gt;2),0,IF(GG18&gt;0,GG18,IF(ROUND(CI18*$J18,6)&lt;ROUND($M18,6),CI18,0)))</f>
        <v/>
      </c>
      <c r="GI18" s="68">
        <f>IF(OR($U18=0,$F18&lt;&gt;2),0,IF(GH18&gt;0,GH18,IF(ROUND(CJ18*$J18,6)&lt;ROUND($M18,6),CJ18,0)))</f>
        <v/>
      </c>
      <c r="GJ18" s="68">
        <f>IF(OR($U18=0,$F18&lt;&gt;2),0,IF(GI18&gt;0,GI18,IF(ROUND(CK18*$J18,6)&lt;ROUND($M18,6),CK18,0)))</f>
        <v/>
      </c>
      <c r="GK18" s="68">
        <f>IF(OR($U18=0,$F18&lt;&gt;2),0,IF(GJ18&gt;0,GJ18,IF(ROUND(CL18*$J18,6)&lt;ROUND($M18,6),CL18,0)))</f>
        <v/>
      </c>
      <c r="GL18" s="68">
        <f>IF(OR($U18=0,$F18&lt;&gt;2),0,IF(GK18&gt;0,GK18,IF(ROUND(CM18*$J18,6)&lt;ROUND($M18,6),CM18,0)))</f>
        <v/>
      </c>
      <c r="GM18" s="68">
        <f>IF(OR($U18=0,$F18&lt;&gt;2),0,IF(GL18&gt;0,GL18,IF(ROUND(CN18*$J18,6)&lt;ROUND($M18,6),CN18,0)))</f>
        <v/>
      </c>
      <c r="GN18" s="68">
        <f>IF(OR($U18=0,$F18&lt;&gt;2),0,IF(GM18&gt;0,GM18,IF(ROUND(CO18*$J18,6)&lt;ROUND($M18,6),CO18,0)))</f>
        <v/>
      </c>
      <c r="GO18" s="68">
        <f>IF(OR($U18=0,$F18&lt;&gt;2),0,IF(GN18&gt;0,GN18,IF(ROUND(CP18*$J18,6)&lt;ROUND($M18,6),CP18,0)))</f>
        <v/>
      </c>
      <c r="GP18" s="68">
        <f>IF(OR($U18=0,$F18&lt;&gt;2),0,IF(GO18&gt;0,GO18,IF(ROUND(CQ18*$J18,6)&lt;ROUND($M18,6),CQ18,0)))</f>
        <v/>
      </c>
      <c r="GQ18" s="68">
        <f>IF(OR($U18=0,$F18&lt;&gt;2),0,IF(GP18&gt;0,GP18,IF(ROUND(CR18*$J18,6)&lt;ROUND($M18,6),CR18,0)))</f>
        <v/>
      </c>
      <c r="GR18" s="68">
        <f>IF(OR($U18=0,$F18&lt;&gt;2),0,IF(GQ18&gt;0,GQ18,IF(ROUND(CS18*$J18,6)&lt;ROUND($M18,6),CS18,0)))</f>
        <v/>
      </c>
      <c r="GS18" s="68">
        <f>IF(OR($U18=0,$F18&lt;&gt;2),0,IF(GR18&gt;0,GR18,IF(ROUND(CT18*$J18,6)&lt;ROUND($M18,6),CT18,0)))</f>
        <v/>
      </c>
      <c r="GT18" s="68">
        <f>IF(OR($U18=0,$F18&lt;&gt;2),0,IF(GS18&gt;0,GS18,IF(ROUND(CU18*$J18,6)&lt;ROUND($M18,6),CU18,0)))</f>
        <v/>
      </c>
      <c r="GU18" s="68">
        <f>IF(OR($U18=0,$F18&lt;&gt;2),0,IF(GT18&gt;0,GT18,IF(ROUND(CV18*$J18,6)&lt;ROUND($M18,6),CV18,0)))</f>
        <v/>
      </c>
      <c r="GV18" s="68">
        <f>IF(OR($U18=0,$F18&lt;&gt;2),0,IF(GU18&gt;0,GU18,IF(ROUND(CW18*$J18,6)&lt;ROUND($M18,6),CW18,0)))</f>
        <v/>
      </c>
      <c r="GW18" s="68">
        <f>IF(OR($U18=0,$F18&lt;&gt;2),0,IF(GV18&gt;0,GV18,IF(ROUND(CX18*$J18,6)&lt;ROUND($M18,6),CX18,0)))</f>
        <v/>
      </c>
      <c r="GX18" s="68">
        <f>IF(OR($U18=0,$F18&lt;&gt;2),0,IF(GW18&gt;0,GW18,IF(ROUND(CY18*$J18,6)&lt;ROUND($M18,6),CY18,0)))</f>
        <v/>
      </c>
      <c r="GY18" s="68">
        <f>IF(OR($U18=0,$F18&lt;&gt;2),0,IF(GX18&gt;0,GX18,IF(ROUND(CZ18*$J18,6)&lt;ROUND($M18,6),CZ18,0)))</f>
        <v/>
      </c>
      <c r="GZ18" s="68">
        <f>IF(OR($U18=0,$F18&lt;&gt;2),0,IF(GY18&gt;0,GY18,IF(ROUND(DA18*$J18,6)&lt;ROUND($M18,6),DA18,0)))</f>
        <v/>
      </c>
      <c r="HA18" s="68">
        <f>IF(OR($U18=0,$F18&lt;&gt;2),0,IF(GZ18&gt;0,GZ18,IF(ROUND(DB18*$J18,6)&lt;ROUND($M18,6),DB18,0)))</f>
        <v/>
      </c>
      <c r="HB18" s="68">
        <f>IF(OR($U18=0,$F18&lt;&gt;2),0,IF(HA18&gt;0,HA18,IF(ROUND(DC18*$J18,6)&lt;ROUND($M18,6),DC18,0)))</f>
        <v/>
      </c>
      <c r="HC18" s="68">
        <f>IF(OR($U18=0,$F18&lt;&gt;2),0,IF(HB18&gt;0,HB18,IF(ROUND(DD18*$J18,6)&lt;ROUND($M18,6),DD18,0)))</f>
        <v/>
      </c>
      <c r="HD18" s="68">
        <f>IF(OR($U18=0,$F18&lt;&gt;2),0,IF(HC18&gt;0,HC18,IF(ROUND(DE18*$J18,6)&lt;ROUND($M18,6),DE18,0)))</f>
        <v/>
      </c>
      <c r="HE18" s="68">
        <f>IF(OR($U18=0,$F18&lt;&gt;2),0,IF(HD18&gt;0,HD18,IF(ROUND(DF18*$J18,6)&lt;ROUND($M18,6),DF18,0)))</f>
        <v/>
      </c>
      <c r="HF18" s="68">
        <f>IF(OR($U18=0,$F18&lt;&gt;2),0,IF(HE18&gt;0,HE18,IF(ROUND(DG18*$J18,6)&lt;ROUND($M18,6),DG18,0)))</f>
        <v/>
      </c>
      <c r="HG18" s="68">
        <f>IF(OR($U18=0,$F18&lt;&gt;2),0,IF(HF18&gt;0,HF18,IF(ROUND(DH18*$J18,6)&lt;ROUND($M18,6),DH18,0)))</f>
        <v/>
      </c>
      <c r="HH18" s="68">
        <f>IF(OR($U18=0,$F18&lt;&gt;2),0,IF(HG18&gt;0,HG18,IF(ROUND(DI18*$J18,6)&lt;ROUND($M18,6),DI18,0)))</f>
        <v/>
      </c>
      <c r="HI18" s="68">
        <f>IF(OR($U18=0,$F18&lt;&gt;2),0,IF(HH18&gt;0,HH18,IF(ROUND(DJ18*$J18,6)&lt;ROUND($M18,6),DJ18,0)))</f>
        <v/>
      </c>
      <c r="HJ18" s="68">
        <f>IF(OR($U18=0,$F18&lt;&gt;2),0,IF(HI18&gt;0,HI18,IF(ROUND(DK18*$J18,6)&lt;ROUND($M18,6),DK18,0)))</f>
        <v/>
      </c>
      <c r="HK18" s="68">
        <f>IF(OR($U18=0,$F18&lt;&gt;2),0,IF(HJ18&gt;0,HJ18,IF(ROUND(DL18*$J18,6)&lt;ROUND($M18,6),DL18,0)))</f>
        <v/>
      </c>
      <c r="HL18" s="68">
        <f>IF(OR($U18=0,$F18&lt;&gt;2),0,IF(HK18&gt;0,HK18,IF(ROUND(DM18*$J18,6)&lt;ROUND($M18,6),DM18,0)))</f>
        <v/>
      </c>
      <c r="HM18" s="68">
        <f>IF(OR($U18=0,$F18&lt;&gt;2),0,IF(HL18&gt;0,HL18,IF(ROUND(DN18*$J18,6)&lt;ROUND($M18,6),DN18,0)))</f>
        <v/>
      </c>
      <c r="HN18" s="68">
        <f>IF(OR($U18=0,$F18&lt;&gt;2),0,IF(HM18&gt;0,HM18,IF(ROUND(DO18*$J18,6)&lt;ROUND($M18,6),DO18,0)))</f>
        <v/>
      </c>
      <c r="HO18" s="68">
        <f>IF(OR($U18=0,$F18&lt;&gt;2),0,IF(HN18&gt;0,HN18,IF(ROUND(DP18*$J18,6)&lt;ROUND($M18,6),DP18,0)))</f>
        <v/>
      </c>
      <c r="HP18" s="68">
        <f>IF(OR($U18=0,$F18&lt;&gt;2),0,IF(HO18&gt;0,HO18,IF(ROUND(DQ18*$J18,6)&lt;ROUND($M18,6),DQ18,0)))</f>
        <v/>
      </c>
      <c r="HQ18" s="68">
        <f>IF(OR($U18=0,$F18&lt;&gt;2),0,IF(HP18&gt;0,HP18,IF(ROUND(DR18*$J18,6)&lt;ROUND($M18,6),DR18,0)))</f>
        <v/>
      </c>
      <c r="HR18" s="68">
        <f>IF(OR($U18=0,$F18&lt;&gt;2),0,IF(HQ18&gt;0,HQ18,IF(ROUND(DS18*$J18,6)&lt;ROUND($M18,6),DS18,0)))</f>
        <v/>
      </c>
      <c r="HS18" s="68">
        <f>IF(OR($U18=0,$F18&lt;&gt;2),0,IF(HR18&gt;0,HR18,IF(ROUND(DT18*$J18,6)&lt;ROUND($M18,6),DT18,0)))</f>
        <v/>
      </c>
      <c r="HT18" s="68">
        <f>IF(OR($U18=0,$F18&lt;&gt;2),0,IF(HS18&gt;0,HS18,IF(ROUND(DU18*$J18,6)&lt;ROUND($M18,6),DU18,0)))</f>
        <v/>
      </c>
      <c r="HU18" s="68">
        <f>IF(OR($U18=0,$F18&lt;&gt;2),0,IF(HT18&gt;0,HT18,IF(ROUND(DV18*$J18,6)&lt;ROUND($M18,6),DV18,0)))</f>
        <v/>
      </c>
      <c r="HV18" s="68">
        <f>IF(OR($U18=0,$F18&lt;&gt;2),0,IF(HU18&gt;0,HU18,IF(ROUND(DW18*$J18,6)&lt;ROUND($M18,6),DW18,0)))</f>
        <v/>
      </c>
      <c r="HW18" s="68">
        <f>IF(OR($U18=0,$F18&lt;&gt;2),0,IF(HV18&gt;0,HV18,IF(ROUND(DX18*$J18,6)&lt;ROUND($M18,6),DX18,0)))</f>
        <v/>
      </c>
      <c r="HX18" s="68">
        <f>IF(OR($U18=0,$F18&lt;&gt;2),0,IF(HW18&gt;0,HW18,IF(ROUND(DY18*$J18,6)&lt;ROUND($M18,6),DY18,0)))</f>
        <v/>
      </c>
      <c r="HY18" s="68">
        <f>IF(OR($U18=0,$F18&lt;&gt;2),0,IF(HX18&gt;0,HX18,IF(ROUND(DZ18*$J18,6)&lt;ROUND($M18,6),DZ18,0)))</f>
        <v/>
      </c>
      <c r="HZ18" s="68">
        <f>IF(OR($U18=0,$F18&lt;&gt;2),0,IF(HY18&gt;0,HY18,IF(ROUND(EA18*$J18,6)&lt;ROUND($M18,6),EA18,0)))</f>
        <v/>
      </c>
      <c r="IA18" s="68">
        <f>IF(OR($U18=0,$F18&lt;&gt;2),0,IF(HZ18&gt;0,HZ18,IF(ROUND(EB18*$J18,6)&lt;ROUND($M18,6),EB18,0)))</f>
        <v/>
      </c>
      <c r="IB18" s="68">
        <f>IF(OR($U18=0,$F18&lt;&gt;2),0,IF(IA18&gt;0,IA18,IF(ROUND(EC18*$J18,6)&lt;ROUND($M18,6),EC18,0)))</f>
        <v/>
      </c>
      <c r="IC18" s="68">
        <f>IF(OR($U18=0,$F18&lt;&gt;2),0,IF(IB18&gt;0,IB18,IF(ROUND(ED18*$J18,6)&lt;ROUND($M18,6),ED18,0)))</f>
        <v/>
      </c>
      <c r="ID18" s="68">
        <f>IF(OR($U18=0,$F18&lt;&gt;2),0,IF(IC18&gt;0,IC18,IF(ROUND(EE18*$J18,6)&lt;ROUND($M18,6),EE18,0)))</f>
        <v/>
      </c>
      <c r="IE18" s="68">
        <f>IF(OR($U18=0,$F18&lt;&gt;2),0,IF(ID18&gt;0,ID18,IF(ROUND(EF18*$J18,6)&lt;ROUND($M18,6),EF18,0)))</f>
        <v/>
      </c>
      <c r="IF18" s="68">
        <f>IF(OR($U18=0,$F18&lt;&gt;2),0,IF(IE18&gt;0,IE18,IF(ROUND(EG18*$J18,6)&lt;ROUND($M18,6),EG18,0)))</f>
        <v/>
      </c>
      <c r="IG18" s="68">
        <f>IF(OR($U18=0,$F18&lt;&gt;2),0,IF(IF18&gt;0,IF18,IF(ROUND(EH18*$J18,6)&lt;ROUND($M18,6),EH18,0)))</f>
        <v/>
      </c>
      <c r="IH18" s="68">
        <f>IF(OR($U18=0,$F18&lt;&gt;2),0,IF(IG18&gt;0,IG18,IF(ROUND(EI18*$J18,6)&lt;ROUND($M18,6),EI18,0)))</f>
        <v/>
      </c>
      <c r="II18" s="68">
        <f>IF(OR($U18=0,$F18&lt;&gt;2),0,IF(IH18&gt;0,IH18,IF(ROUND(EJ18*$J18,6)&lt;ROUND($M18,6),EJ18,0)))</f>
        <v/>
      </c>
      <c r="IJ18" s="68">
        <f>IF(OR($U18=0,$F18&lt;&gt;2),0,IF(II18&gt;0,II18,IF(ROUND(EK18*$J18,6)&lt;ROUND($M18,6),EK18,0)))</f>
        <v/>
      </c>
      <c r="IK18" s="68">
        <f>IF(OR($U18=0,$F18&lt;&gt;2),0,IF(IJ18&gt;0,IJ18,IF(ROUND(EL18*$J18,6)&lt;ROUND($M18,6),EL18,0)))</f>
        <v/>
      </c>
      <c r="IL18" s="68">
        <f>IF(OR($U18=0,$F18&lt;&gt;2),0,IF(IK18&gt;0,IK18,IF(ROUND(EM18*$J18,6)&lt;ROUND($M18,6),EM18,0)))</f>
        <v/>
      </c>
      <c r="IM18" s="68">
        <f>IF(OR($U18=0,$F18&lt;&gt;2),0,IF(IL18&gt;0,IL18,IF(ROUND(EN18*$J18,6)&lt;ROUND($M18,6),EN18,0)))</f>
        <v/>
      </c>
      <c r="IN18" s="68">
        <f>IF(OR($U18=0,$F18&lt;&gt;2),0,IF(IM18&gt;0,IM18,IF(ROUND(EO18*$J18,6)&lt;ROUND($M18,6),EO18,0)))</f>
        <v/>
      </c>
    </row>
    <row r="19">
      <c r="A19" s="68" t="n">
        <v>14</v>
      </c>
      <c r="B19" s="68">
        <f>IF(OR(TRIM('固定資産台帳'!$B19)&lt;&gt;"",'固定資産台帳'!$E19&lt;&gt;"",'固定資産台帳'!$G19&lt;&gt;"",'固定資産台帳'!$H19&lt;&gt;""),1,0)</f>
        <v/>
      </c>
      <c r="C19" s="68">
        <f>IF(ISNUMBER('固定資産台帳'!$G19),MAX(ROUND('固定資産台帳'!$G19,0),0),0)</f>
        <v/>
      </c>
      <c r="D19" s="84">
        <f>IF(ISNUMBER('固定資産台帳'!$E19),INT('固定資産台帳'!$E19),0)</f>
        <v/>
      </c>
      <c r="E19" s="84">
        <f>IF(ISNUMBER('固定資産台帳'!$F19),INT('固定資産台帳'!$F19),$D19)</f>
        <v/>
      </c>
      <c r="F19" s="68">
        <f>IF('固定資産台帳'!$H19="定額法",1,IF(OR('固定資産台帳'!$H19="定率法",'固定資産台帳'!$H19="定率法（200%）",'固定資産台帳'!$H19="定率法（250%）"),2,IF('固定資産台帳'!$H19="一括償却（3年）",3,IF('固定資産台帳'!$H19="少額特例",4,0))))</f>
        <v/>
      </c>
      <c r="G19" s="68">
        <f>IF('固定資産台帳'!$H19="定率法（250%）",250,IF('固定資産台帳'!$H19="定率法（200%）",200,IF($D19&gt;=DATE(2012,4,1),200,250)))</f>
        <v/>
      </c>
      <c r="H19" s="68">
        <f>IF(ISNUMBER('固定資産台帳'!$I19),IF(AND('固定資産台帳'!$I19&gt;=2,'固定資産台帳'!$I19&lt;=100,'固定資産台帳'!$I19=INT('固定資産台帳'!$I19)),'固定資産台帳'!$I19,0),0)</f>
        <v/>
      </c>
      <c r="I19" s="68">
        <f>IF('固定資産台帳'!$C19="無形固定資産",0,1)</f>
        <v/>
      </c>
      <c r="J19" s="68">
        <f>IF(OR($H19=0,$F19=0,$F19&gt;2),0,IF($F19=1,INDEX('償却率表'!$B$6:$B$104,$H19-1),IF($G19=200,INDEX('償却率表'!$C$6:$C$104,$H19-1),INDEX('償却率表'!$F$6:$F$104,$H19-1))))</f>
        <v/>
      </c>
      <c r="K19" s="68">
        <f>IF(AND($F19=2,$H19&gt;0),IF($G19=200,INDEX('償却率表'!$D$6:$D$104,$H19-1),INDEX('償却率表'!$G$6:$G$104,$H19-1)),0)</f>
        <v/>
      </c>
      <c r="L19" s="68">
        <f>IF(AND($F19=2,$H19&gt;0),IF($G19=200,INDEX('償却率表'!$E$6:$E$104,$H19-1),INDEX('償却率表'!$H$6:$H$104,$H19-1)),0)</f>
        <v/>
      </c>
      <c r="M19" s="68">
        <f>$C19*$L19</f>
        <v/>
      </c>
      <c r="N19" s="68">
        <f>IF($B$1=1,1,IF('固定資産台帳'!$J19="",1,IF(ISNUMBER('固定資産台帳'!$J19),IF(AND('固定資産台帳'!$J19&gt;0,'固定資産台帳'!$J19&lt;=1),'固定資産台帳'!$J19,0),0)))</f>
        <v/>
      </c>
      <c r="O19" s="68">
        <f>IF($E19=0,0,YEAR($E19)-IF(MONTH($E19)&lt;$B$2,1,0))</f>
        <v/>
      </c>
      <c r="P19" s="68">
        <f>IF($E19=0,0,12-MOD(MONTH($E19)-$B$2,12))</f>
        <v/>
      </c>
      <c r="Q19" s="84">
        <f>IF(ISNUMBER('固定資産台帳'!$K19),INT('固定資産台帳'!$K19),0)</f>
        <v/>
      </c>
      <c r="R19" s="68">
        <f>IF(OR($Q19=0,$E19=0),999,YEAR($Q19)-IF(MONTH($Q19)&lt;$B$2,1,0)-$O19)</f>
        <v/>
      </c>
      <c r="S19" s="68">
        <f>IF($R19=999,0,MOD(MONTH($Q19)-$B$2,12)+1-IF($R19=0,12-$P19,0))</f>
        <v/>
      </c>
      <c r="T19" s="68">
        <f>IF($B19=0,0,IF($C19&lt;=0,1,IF($D19=0,2,IF($F19=0,3,IF(AND($F19&lt;=2,$H19=0),4,IF(AND($F19&lt;=2,$D19&lt;DATE(2007,4,1)),5,IF($E19&lt;$D19,6,IF(AND($Q19&gt;0,$Q19&lt;$E19),7,IF($N19=0,8,IF($B$3=0,9,0))))))))))</f>
        <v/>
      </c>
      <c r="U19" s="68">
        <f>IF(AND($B19=1,$T19=0),1,0)</f>
        <v/>
      </c>
      <c r="V19" s="68">
        <f>$B$3-$O19</f>
        <v/>
      </c>
      <c r="W19" s="68">
        <f>IF(AND($U19=1,$V19&gt;=0),1,0)</f>
        <v/>
      </c>
      <c r="X19" s="68">
        <f>IF($W19=0,0,IF($V19=0,$C19,INDEX($AS19:$EP19,MIN($V19,102))))</f>
        <v/>
      </c>
      <c r="Y19" s="68">
        <f>IF($W19=0,0,INDEX($AS19:$EP19,MIN($V19,101)+1))</f>
        <v/>
      </c>
      <c r="Z19" s="68">
        <f>$X19-$Y19</f>
        <v/>
      </c>
      <c r="AA19" s="68">
        <f>IF(AND($W19=1,$F19=2,$V19&gt;=1),INDEX($ER19:$IN19,MIN($V19,101)),0)</f>
        <v/>
      </c>
      <c r="AB19" s="68">
        <f>IF(OR($W19=0,$F19&gt;2,$Z19=0),0,IF($V19=0,IF($R19=0,$S19,$P19),IF($V19=$R19,$S19,12)))</f>
        <v/>
      </c>
      <c r="AC19" s="68">
        <f>IF($W19=0,0,INT(ROUND($Z19*$N19,6)+$B$4))</f>
        <v/>
      </c>
      <c r="AD19" s="68">
        <f>IF(AND($W19=1,$F19&lt;=2,$V19=$R19),1,0)</f>
        <v/>
      </c>
      <c r="AE19" s="68">
        <f>IF(AND($W19=1,$F19&lt;=2,$V19&gt;$R19),1,0)</f>
        <v/>
      </c>
      <c r="AF19" s="68">
        <f>IF(AND($W19=1,$AE19=0,OR($Z19&gt;0,$AD19=1)),1,0)</f>
        <v/>
      </c>
      <c r="AG19" s="68">
        <f>IF($AF19=1,SUM($AF$6:$AF19),0)</f>
        <v/>
      </c>
      <c r="AH19" s="68">
        <f>IF($T19=0,"",CHOOSE($T19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9" s="68">
        <f>IF(AND($F19=2,OR('固定資産台帳'!$C19="建物",'固定資産台帳'!$C19="無形固定資産",AND(OR('固定資産台帳'!$C19="建物附属設備",'固定資産台帳'!$C19="構築物"),$D19&gt;=DATE(2016,4,1)))),"この資産は定額法だけです（定率法は使えません）。","")&amp;IF(AND($F19=3,$C19&gt;=200000),"一括償却は20万円未満の資産だけです。","")&amp;IF(AND($F19=3,$B$1=0,$C19&lt;100000),"10万円未満は一括償却にせず、全額をその年の経費にします。","")&amp;IF(AND($F19=4,$C19&lt;100000),"10万円未満は少額特例ではなく、全額をその年の経費にします。","")&amp;IF(AND($F19=4,$D19&lt;DATE(2026,4,1),$C19&gt;=300000),"2026年3月31日までの取得で少額特例が使えるのは30万円未満です。","")&amp;IF(AND($F19=4,$D19&gt;=DATE(2026,4,1),$C19&gt;=400000),"少額特例は40万円未満の資産だけです。","")&amp;IF(AND($F19=4,OR($D19&lt;DATE(2006,4,1),$D19&gt;DATE(2029,3,31))),"少額特例は2006年4月1日〜2029年3月31日に取得した資産だけです。","")&amp;IF(AND($F19=2,$G19=250,$D19&gt;DATE(2012,12,31)),"250%定率法は2012年12月31日までの取得だけです。","")</f>
        <v/>
      </c>
      <c r="AJ19" s="68">
        <f>IF(AND($F19=2,'固定資産台帳'!$H19="定率法（200%）",$D19&lt;DATE(2012,4,1)),"2012年3月31日までの取得に200%を使うのは、経過措置の届出をした場合です。","")&amp;IF(AND($F19=2,'固定資産台帳'!$H19="定率法（250%）",$D19&gt;=DATE(2012,4,1),$D19&lt;=DATE(2012,12,31)),"2012年4〜12月の取得に250%を使うのは、経過措置を選んだ場合です。","")</f>
        <v/>
      </c>
      <c r="AK19" s="68">
        <f>IF($U19=0,"",IF($V19&lt;0,"表示している年より後に使い始める資産です。",IF($AE19=1,"売却・除却済みです。",IF($AD19=1,"この年に売却・除却。期末の帳簿価額 "&amp;TEXT($Y19,"#,##0")&amp;"円を帳簿から外します。",IF($F19=4,IF($V19=0,"少額特例：この年に全額を経費にします。","少額特例で経費にした資産です。"),IF($F19=3,IF($V19&gt;2,"一括償却は終わっています。","一括償却 "&amp;($V19+1)&amp;"年目（3年のうち）。"),IF($Z19=0,"償却済み（帳簿価額 "&amp;TEXT($Y19,"#,##0")&amp;"円）。",IF($AA19&gt;0,"改定償却率で計算（改定取得価額 "&amp;TEXT($AA19,"#,##0")&amp;"円）。",IF($V19=0,"この年に使い始め（"&amp;$AB19&amp;"か月分）。","")))))))))</f>
        <v/>
      </c>
      <c r="AL19" s="68">
        <f>IF(AND($U19=1,$F19=4,$V19=0),$C19,0)</f>
        <v/>
      </c>
      <c r="AM19" s="68">
        <f>IF($F19=2,INT(ROUND($M19,6)+$B$4),0)</f>
        <v/>
      </c>
      <c r="AN19" s="68">
        <f>IF($W19=0,0,IF($F19=2,IF($AA19&gt;0,$AA19,$X19),$C19))</f>
        <v/>
      </c>
      <c r="AO19" s="68">
        <f>IF($W19=0,"",IF($F19=3,"1/3",IF($F19=4,"―",IF($AA19&gt;0,$K19,$J19))))</f>
        <v/>
      </c>
      <c r="AP19" s="68" t="n"/>
      <c r="AQ19" s="68" t="n"/>
      <c r="AR19" s="68" t="n"/>
      <c r="AS19" s="68">
        <f>IF($U19=0,0,IF($F19=4,0,IF($F19=3,MAX($C19-INT(ROUND($C19/3,6)+$B$4),0),$C19-MIN(INT(ROUND($C19*$J19*IF($R19=0,$S19,$P19)/12,6)+$B$4),MAX($C19-$I19,0)))))</f>
        <v/>
      </c>
      <c r="AT19" s="68">
        <f>IF($U19=0,0,IF($F19=4,0,IF($F19=3,AS19-MIN(INT(ROUND($C19/3,6)+$B$4),AS19),IF(OR(1&gt;$R19,AS19&lt;=$I19),AS19,AS19-MIN(INT(ROUND(IF($F19=1,$C19*$J19,IF(ER19&gt;0,ER19*$K19,AS19*$J19))*IF(1=$R19,$S19,12)/12,6)+$B$4),AS19-$I19)))))</f>
        <v/>
      </c>
      <c r="AU19" s="68">
        <f>IF($U19=0,0,IF($F19=4,0,IF($F19=3,0,IF(OR(2&gt;$R19,AT19&lt;=$I19),AT19,AT19-MIN(INT(ROUND(IF($F19=1,$C19*$J19,IF(ES19&gt;0,ES19*$K19,AT19*$J19))*IF(2=$R19,$S19,12)/12,6)+$B$4),AT19-$I19)))))</f>
        <v/>
      </c>
      <c r="AV19" s="68">
        <f>IF($U19=0,0,IF($F19=4,0,IF($F19=3,0,IF(OR(3&gt;$R19,AU19&lt;=$I19),AU19,AU19-MIN(INT(ROUND(IF($F19=1,$C19*$J19,IF(ET19&gt;0,ET19*$K19,AU19*$J19))*IF(3=$R19,$S19,12)/12,6)+$B$4),AU19-$I19)))))</f>
        <v/>
      </c>
      <c r="AW19" s="68">
        <f>IF($U19=0,0,IF($F19=4,0,IF($F19=3,0,IF(OR(4&gt;$R19,AV19&lt;=$I19),AV19,AV19-MIN(INT(ROUND(IF($F19=1,$C19*$J19,IF(EU19&gt;0,EU19*$K19,AV19*$J19))*IF(4=$R19,$S19,12)/12,6)+$B$4),AV19-$I19)))))</f>
        <v/>
      </c>
      <c r="AX19" s="68">
        <f>IF($U19=0,0,IF($F19=4,0,IF($F19=3,0,IF(OR(5&gt;$R19,AW19&lt;=$I19),AW19,AW19-MIN(INT(ROUND(IF($F19=1,$C19*$J19,IF(EV19&gt;0,EV19*$K19,AW19*$J19))*IF(5=$R19,$S19,12)/12,6)+$B$4),AW19-$I19)))))</f>
        <v/>
      </c>
      <c r="AY19" s="68">
        <f>IF($U19=0,0,IF($F19=4,0,IF($F19=3,0,IF(OR(6&gt;$R19,AX19&lt;=$I19),AX19,AX19-MIN(INT(ROUND(IF($F19=1,$C19*$J19,IF(EW19&gt;0,EW19*$K19,AX19*$J19))*IF(6=$R19,$S19,12)/12,6)+$B$4),AX19-$I19)))))</f>
        <v/>
      </c>
      <c r="AZ19" s="68">
        <f>IF($U19=0,0,IF($F19=4,0,IF($F19=3,0,IF(OR(7&gt;$R19,AY19&lt;=$I19),AY19,AY19-MIN(INT(ROUND(IF($F19=1,$C19*$J19,IF(EX19&gt;0,EX19*$K19,AY19*$J19))*IF(7=$R19,$S19,12)/12,6)+$B$4),AY19-$I19)))))</f>
        <v/>
      </c>
      <c r="BA19" s="68">
        <f>IF($U19=0,0,IF($F19=4,0,IF($F19=3,0,IF(OR(8&gt;$R19,AZ19&lt;=$I19),AZ19,AZ19-MIN(INT(ROUND(IF($F19=1,$C19*$J19,IF(EY19&gt;0,EY19*$K19,AZ19*$J19))*IF(8=$R19,$S19,12)/12,6)+$B$4),AZ19-$I19)))))</f>
        <v/>
      </c>
      <c r="BB19" s="68">
        <f>IF($U19=0,0,IF($F19=4,0,IF($F19=3,0,IF(OR(9&gt;$R19,BA19&lt;=$I19),BA19,BA19-MIN(INT(ROUND(IF($F19=1,$C19*$J19,IF(EZ19&gt;0,EZ19*$K19,BA19*$J19))*IF(9=$R19,$S19,12)/12,6)+$B$4),BA19-$I19)))))</f>
        <v/>
      </c>
      <c r="BC19" s="68">
        <f>IF($U19=0,0,IF($F19=4,0,IF($F19=3,0,IF(OR(10&gt;$R19,BB19&lt;=$I19),BB19,BB19-MIN(INT(ROUND(IF($F19=1,$C19*$J19,IF(FA19&gt;0,FA19*$K19,BB19*$J19))*IF(10=$R19,$S19,12)/12,6)+$B$4),BB19-$I19)))))</f>
        <v/>
      </c>
      <c r="BD19" s="68">
        <f>IF($U19=0,0,IF($F19=4,0,IF($F19=3,0,IF(OR(11&gt;$R19,BC19&lt;=$I19),BC19,BC19-MIN(INT(ROUND(IF($F19=1,$C19*$J19,IF(FB19&gt;0,FB19*$K19,BC19*$J19))*IF(11=$R19,$S19,12)/12,6)+$B$4),BC19-$I19)))))</f>
        <v/>
      </c>
      <c r="BE19" s="68">
        <f>IF($U19=0,0,IF($F19=4,0,IF($F19=3,0,IF(OR(12&gt;$R19,BD19&lt;=$I19),BD19,BD19-MIN(INT(ROUND(IF($F19=1,$C19*$J19,IF(FC19&gt;0,FC19*$K19,BD19*$J19))*IF(12=$R19,$S19,12)/12,6)+$B$4),BD19-$I19)))))</f>
        <v/>
      </c>
      <c r="BF19" s="68">
        <f>IF($U19=0,0,IF($F19=4,0,IF($F19=3,0,IF(OR(13&gt;$R19,BE19&lt;=$I19),BE19,BE19-MIN(INT(ROUND(IF($F19=1,$C19*$J19,IF(FD19&gt;0,FD19*$K19,BE19*$J19))*IF(13=$R19,$S19,12)/12,6)+$B$4),BE19-$I19)))))</f>
        <v/>
      </c>
      <c r="BG19" s="68">
        <f>IF($U19=0,0,IF($F19=4,0,IF($F19=3,0,IF(OR(14&gt;$R19,BF19&lt;=$I19),BF19,BF19-MIN(INT(ROUND(IF($F19=1,$C19*$J19,IF(FE19&gt;0,FE19*$K19,BF19*$J19))*IF(14=$R19,$S19,12)/12,6)+$B$4),BF19-$I19)))))</f>
        <v/>
      </c>
      <c r="BH19" s="68">
        <f>IF($U19=0,0,IF($F19=4,0,IF($F19=3,0,IF(OR(15&gt;$R19,BG19&lt;=$I19),BG19,BG19-MIN(INT(ROUND(IF($F19=1,$C19*$J19,IF(FF19&gt;0,FF19*$K19,BG19*$J19))*IF(15=$R19,$S19,12)/12,6)+$B$4),BG19-$I19)))))</f>
        <v/>
      </c>
      <c r="BI19" s="68">
        <f>IF($U19=0,0,IF($F19=4,0,IF($F19=3,0,IF(OR(16&gt;$R19,BH19&lt;=$I19),BH19,BH19-MIN(INT(ROUND(IF($F19=1,$C19*$J19,IF(FG19&gt;0,FG19*$K19,BH19*$J19))*IF(16=$R19,$S19,12)/12,6)+$B$4),BH19-$I19)))))</f>
        <v/>
      </c>
      <c r="BJ19" s="68">
        <f>IF($U19=0,0,IF($F19=4,0,IF($F19=3,0,IF(OR(17&gt;$R19,BI19&lt;=$I19),BI19,BI19-MIN(INT(ROUND(IF($F19=1,$C19*$J19,IF(FH19&gt;0,FH19*$K19,BI19*$J19))*IF(17=$R19,$S19,12)/12,6)+$B$4),BI19-$I19)))))</f>
        <v/>
      </c>
      <c r="BK19" s="68">
        <f>IF($U19=0,0,IF($F19=4,0,IF($F19=3,0,IF(OR(18&gt;$R19,BJ19&lt;=$I19),BJ19,BJ19-MIN(INT(ROUND(IF($F19=1,$C19*$J19,IF(FI19&gt;0,FI19*$K19,BJ19*$J19))*IF(18=$R19,$S19,12)/12,6)+$B$4),BJ19-$I19)))))</f>
        <v/>
      </c>
      <c r="BL19" s="68">
        <f>IF($U19=0,0,IF($F19=4,0,IF($F19=3,0,IF(OR(19&gt;$R19,BK19&lt;=$I19),BK19,BK19-MIN(INT(ROUND(IF($F19=1,$C19*$J19,IF(FJ19&gt;0,FJ19*$K19,BK19*$J19))*IF(19=$R19,$S19,12)/12,6)+$B$4),BK19-$I19)))))</f>
        <v/>
      </c>
      <c r="BM19" s="68">
        <f>IF($U19=0,0,IF($F19=4,0,IF($F19=3,0,IF(OR(20&gt;$R19,BL19&lt;=$I19),BL19,BL19-MIN(INT(ROUND(IF($F19=1,$C19*$J19,IF(FK19&gt;0,FK19*$K19,BL19*$J19))*IF(20=$R19,$S19,12)/12,6)+$B$4),BL19-$I19)))))</f>
        <v/>
      </c>
      <c r="BN19" s="68">
        <f>IF($U19=0,0,IF($F19=4,0,IF($F19=3,0,IF(OR(21&gt;$R19,BM19&lt;=$I19),BM19,BM19-MIN(INT(ROUND(IF($F19=1,$C19*$J19,IF(FL19&gt;0,FL19*$K19,BM19*$J19))*IF(21=$R19,$S19,12)/12,6)+$B$4),BM19-$I19)))))</f>
        <v/>
      </c>
      <c r="BO19" s="68">
        <f>IF($U19=0,0,IF($F19=4,0,IF($F19=3,0,IF(OR(22&gt;$R19,BN19&lt;=$I19),BN19,BN19-MIN(INT(ROUND(IF($F19=1,$C19*$J19,IF(FM19&gt;0,FM19*$K19,BN19*$J19))*IF(22=$R19,$S19,12)/12,6)+$B$4),BN19-$I19)))))</f>
        <v/>
      </c>
      <c r="BP19" s="68">
        <f>IF($U19=0,0,IF($F19=4,0,IF($F19=3,0,IF(OR(23&gt;$R19,BO19&lt;=$I19),BO19,BO19-MIN(INT(ROUND(IF($F19=1,$C19*$J19,IF(FN19&gt;0,FN19*$K19,BO19*$J19))*IF(23=$R19,$S19,12)/12,6)+$B$4),BO19-$I19)))))</f>
        <v/>
      </c>
      <c r="BQ19" s="68">
        <f>IF($U19=0,0,IF($F19=4,0,IF($F19=3,0,IF(OR(24&gt;$R19,BP19&lt;=$I19),BP19,BP19-MIN(INT(ROUND(IF($F19=1,$C19*$J19,IF(FO19&gt;0,FO19*$K19,BP19*$J19))*IF(24=$R19,$S19,12)/12,6)+$B$4),BP19-$I19)))))</f>
        <v/>
      </c>
      <c r="BR19" s="68">
        <f>IF($U19=0,0,IF($F19=4,0,IF($F19=3,0,IF(OR(25&gt;$R19,BQ19&lt;=$I19),BQ19,BQ19-MIN(INT(ROUND(IF($F19=1,$C19*$J19,IF(FP19&gt;0,FP19*$K19,BQ19*$J19))*IF(25=$R19,$S19,12)/12,6)+$B$4),BQ19-$I19)))))</f>
        <v/>
      </c>
      <c r="BS19" s="68">
        <f>IF($U19=0,0,IF($F19=4,0,IF($F19=3,0,IF(OR(26&gt;$R19,BR19&lt;=$I19),BR19,BR19-MIN(INT(ROUND(IF($F19=1,$C19*$J19,IF(FQ19&gt;0,FQ19*$K19,BR19*$J19))*IF(26=$R19,$S19,12)/12,6)+$B$4),BR19-$I19)))))</f>
        <v/>
      </c>
      <c r="BT19" s="68">
        <f>IF($U19=0,0,IF($F19=4,0,IF($F19=3,0,IF(OR(27&gt;$R19,BS19&lt;=$I19),BS19,BS19-MIN(INT(ROUND(IF($F19=1,$C19*$J19,IF(FR19&gt;0,FR19*$K19,BS19*$J19))*IF(27=$R19,$S19,12)/12,6)+$B$4),BS19-$I19)))))</f>
        <v/>
      </c>
      <c r="BU19" s="68">
        <f>IF($U19=0,0,IF($F19=4,0,IF($F19=3,0,IF(OR(28&gt;$R19,BT19&lt;=$I19),BT19,BT19-MIN(INT(ROUND(IF($F19=1,$C19*$J19,IF(FS19&gt;0,FS19*$K19,BT19*$J19))*IF(28=$R19,$S19,12)/12,6)+$B$4),BT19-$I19)))))</f>
        <v/>
      </c>
      <c r="BV19" s="68">
        <f>IF($U19=0,0,IF($F19=4,0,IF($F19=3,0,IF(OR(29&gt;$R19,BU19&lt;=$I19),BU19,BU19-MIN(INT(ROUND(IF($F19=1,$C19*$J19,IF(FT19&gt;0,FT19*$K19,BU19*$J19))*IF(29=$R19,$S19,12)/12,6)+$B$4),BU19-$I19)))))</f>
        <v/>
      </c>
      <c r="BW19" s="68">
        <f>IF($U19=0,0,IF($F19=4,0,IF($F19=3,0,IF(OR(30&gt;$R19,BV19&lt;=$I19),BV19,BV19-MIN(INT(ROUND(IF($F19=1,$C19*$J19,IF(FU19&gt;0,FU19*$K19,BV19*$J19))*IF(30=$R19,$S19,12)/12,6)+$B$4),BV19-$I19)))))</f>
        <v/>
      </c>
      <c r="BX19" s="68">
        <f>IF($U19=0,0,IF($F19=4,0,IF($F19=3,0,IF(OR(31&gt;$R19,BW19&lt;=$I19),BW19,BW19-MIN(INT(ROUND(IF($F19=1,$C19*$J19,IF(FV19&gt;0,FV19*$K19,BW19*$J19))*IF(31=$R19,$S19,12)/12,6)+$B$4),BW19-$I19)))))</f>
        <v/>
      </c>
      <c r="BY19" s="68">
        <f>IF($U19=0,0,IF($F19=4,0,IF($F19=3,0,IF(OR(32&gt;$R19,BX19&lt;=$I19),BX19,BX19-MIN(INT(ROUND(IF($F19=1,$C19*$J19,IF(FW19&gt;0,FW19*$K19,BX19*$J19))*IF(32=$R19,$S19,12)/12,6)+$B$4),BX19-$I19)))))</f>
        <v/>
      </c>
      <c r="BZ19" s="68">
        <f>IF($U19=0,0,IF($F19=4,0,IF($F19=3,0,IF(OR(33&gt;$R19,BY19&lt;=$I19),BY19,BY19-MIN(INT(ROUND(IF($F19=1,$C19*$J19,IF(FX19&gt;0,FX19*$K19,BY19*$J19))*IF(33=$R19,$S19,12)/12,6)+$B$4),BY19-$I19)))))</f>
        <v/>
      </c>
      <c r="CA19" s="68">
        <f>IF($U19=0,0,IF($F19=4,0,IF($F19=3,0,IF(OR(34&gt;$R19,BZ19&lt;=$I19),BZ19,BZ19-MIN(INT(ROUND(IF($F19=1,$C19*$J19,IF(FY19&gt;0,FY19*$K19,BZ19*$J19))*IF(34=$R19,$S19,12)/12,6)+$B$4),BZ19-$I19)))))</f>
        <v/>
      </c>
      <c r="CB19" s="68">
        <f>IF($U19=0,0,IF($F19=4,0,IF($F19=3,0,IF(OR(35&gt;$R19,CA19&lt;=$I19),CA19,CA19-MIN(INT(ROUND(IF($F19=1,$C19*$J19,IF(FZ19&gt;0,FZ19*$K19,CA19*$J19))*IF(35=$R19,$S19,12)/12,6)+$B$4),CA19-$I19)))))</f>
        <v/>
      </c>
      <c r="CC19" s="68">
        <f>IF($U19=0,0,IF($F19=4,0,IF($F19=3,0,IF(OR(36&gt;$R19,CB19&lt;=$I19),CB19,CB19-MIN(INT(ROUND(IF($F19=1,$C19*$J19,IF(GA19&gt;0,GA19*$K19,CB19*$J19))*IF(36=$R19,$S19,12)/12,6)+$B$4),CB19-$I19)))))</f>
        <v/>
      </c>
      <c r="CD19" s="68">
        <f>IF($U19=0,0,IF($F19=4,0,IF($F19=3,0,IF(OR(37&gt;$R19,CC19&lt;=$I19),CC19,CC19-MIN(INT(ROUND(IF($F19=1,$C19*$J19,IF(GB19&gt;0,GB19*$K19,CC19*$J19))*IF(37=$R19,$S19,12)/12,6)+$B$4),CC19-$I19)))))</f>
        <v/>
      </c>
      <c r="CE19" s="68">
        <f>IF($U19=0,0,IF($F19=4,0,IF($F19=3,0,IF(OR(38&gt;$R19,CD19&lt;=$I19),CD19,CD19-MIN(INT(ROUND(IF($F19=1,$C19*$J19,IF(GC19&gt;0,GC19*$K19,CD19*$J19))*IF(38=$R19,$S19,12)/12,6)+$B$4),CD19-$I19)))))</f>
        <v/>
      </c>
      <c r="CF19" s="68">
        <f>IF($U19=0,0,IF($F19=4,0,IF($F19=3,0,IF(OR(39&gt;$R19,CE19&lt;=$I19),CE19,CE19-MIN(INT(ROUND(IF($F19=1,$C19*$J19,IF(GD19&gt;0,GD19*$K19,CE19*$J19))*IF(39=$R19,$S19,12)/12,6)+$B$4),CE19-$I19)))))</f>
        <v/>
      </c>
      <c r="CG19" s="68">
        <f>IF($U19=0,0,IF($F19=4,0,IF($F19=3,0,IF(OR(40&gt;$R19,CF19&lt;=$I19),CF19,CF19-MIN(INT(ROUND(IF($F19=1,$C19*$J19,IF(GE19&gt;0,GE19*$K19,CF19*$J19))*IF(40=$R19,$S19,12)/12,6)+$B$4),CF19-$I19)))))</f>
        <v/>
      </c>
      <c r="CH19" s="68">
        <f>IF($U19=0,0,IF($F19=4,0,IF($F19=3,0,IF(OR(41&gt;$R19,CG19&lt;=$I19),CG19,CG19-MIN(INT(ROUND(IF($F19=1,$C19*$J19,IF(GF19&gt;0,GF19*$K19,CG19*$J19))*IF(41=$R19,$S19,12)/12,6)+$B$4),CG19-$I19)))))</f>
        <v/>
      </c>
      <c r="CI19" s="68">
        <f>IF($U19=0,0,IF($F19=4,0,IF($F19=3,0,IF(OR(42&gt;$R19,CH19&lt;=$I19),CH19,CH19-MIN(INT(ROUND(IF($F19=1,$C19*$J19,IF(GG19&gt;0,GG19*$K19,CH19*$J19))*IF(42=$R19,$S19,12)/12,6)+$B$4),CH19-$I19)))))</f>
        <v/>
      </c>
      <c r="CJ19" s="68">
        <f>IF($U19=0,0,IF($F19=4,0,IF($F19=3,0,IF(OR(43&gt;$R19,CI19&lt;=$I19),CI19,CI19-MIN(INT(ROUND(IF($F19=1,$C19*$J19,IF(GH19&gt;0,GH19*$K19,CI19*$J19))*IF(43=$R19,$S19,12)/12,6)+$B$4),CI19-$I19)))))</f>
        <v/>
      </c>
      <c r="CK19" s="68">
        <f>IF($U19=0,0,IF($F19=4,0,IF($F19=3,0,IF(OR(44&gt;$R19,CJ19&lt;=$I19),CJ19,CJ19-MIN(INT(ROUND(IF($F19=1,$C19*$J19,IF(GI19&gt;0,GI19*$K19,CJ19*$J19))*IF(44=$R19,$S19,12)/12,6)+$B$4),CJ19-$I19)))))</f>
        <v/>
      </c>
      <c r="CL19" s="68">
        <f>IF($U19=0,0,IF($F19=4,0,IF($F19=3,0,IF(OR(45&gt;$R19,CK19&lt;=$I19),CK19,CK19-MIN(INT(ROUND(IF($F19=1,$C19*$J19,IF(GJ19&gt;0,GJ19*$K19,CK19*$J19))*IF(45=$R19,$S19,12)/12,6)+$B$4),CK19-$I19)))))</f>
        <v/>
      </c>
      <c r="CM19" s="68">
        <f>IF($U19=0,0,IF($F19=4,0,IF($F19=3,0,IF(OR(46&gt;$R19,CL19&lt;=$I19),CL19,CL19-MIN(INT(ROUND(IF($F19=1,$C19*$J19,IF(GK19&gt;0,GK19*$K19,CL19*$J19))*IF(46=$R19,$S19,12)/12,6)+$B$4),CL19-$I19)))))</f>
        <v/>
      </c>
      <c r="CN19" s="68">
        <f>IF($U19=0,0,IF($F19=4,0,IF($F19=3,0,IF(OR(47&gt;$R19,CM19&lt;=$I19),CM19,CM19-MIN(INT(ROUND(IF($F19=1,$C19*$J19,IF(GL19&gt;0,GL19*$K19,CM19*$J19))*IF(47=$R19,$S19,12)/12,6)+$B$4),CM19-$I19)))))</f>
        <v/>
      </c>
      <c r="CO19" s="68">
        <f>IF($U19=0,0,IF($F19=4,0,IF($F19=3,0,IF(OR(48&gt;$R19,CN19&lt;=$I19),CN19,CN19-MIN(INT(ROUND(IF($F19=1,$C19*$J19,IF(GM19&gt;0,GM19*$K19,CN19*$J19))*IF(48=$R19,$S19,12)/12,6)+$B$4),CN19-$I19)))))</f>
        <v/>
      </c>
      <c r="CP19" s="68">
        <f>IF($U19=0,0,IF($F19=4,0,IF($F19=3,0,IF(OR(49&gt;$R19,CO19&lt;=$I19),CO19,CO19-MIN(INT(ROUND(IF($F19=1,$C19*$J19,IF(GN19&gt;0,GN19*$K19,CO19*$J19))*IF(49=$R19,$S19,12)/12,6)+$B$4),CO19-$I19)))))</f>
        <v/>
      </c>
      <c r="CQ19" s="68">
        <f>IF($U19=0,0,IF($F19=4,0,IF($F19=3,0,IF(OR(50&gt;$R19,CP19&lt;=$I19),CP19,CP19-MIN(INT(ROUND(IF($F19=1,$C19*$J19,IF(GO19&gt;0,GO19*$K19,CP19*$J19))*IF(50=$R19,$S19,12)/12,6)+$B$4),CP19-$I19)))))</f>
        <v/>
      </c>
      <c r="CR19" s="68">
        <f>IF($U19=0,0,IF($F19=4,0,IF($F19=3,0,IF(OR(51&gt;$R19,CQ19&lt;=$I19),CQ19,CQ19-MIN(INT(ROUND(IF($F19=1,$C19*$J19,IF(GP19&gt;0,GP19*$K19,CQ19*$J19))*IF(51=$R19,$S19,12)/12,6)+$B$4),CQ19-$I19)))))</f>
        <v/>
      </c>
      <c r="CS19" s="68">
        <f>IF($U19=0,0,IF($F19=4,0,IF($F19=3,0,IF(OR(52&gt;$R19,CR19&lt;=$I19),CR19,CR19-MIN(INT(ROUND(IF($F19=1,$C19*$J19,IF(GQ19&gt;0,GQ19*$K19,CR19*$J19))*IF(52=$R19,$S19,12)/12,6)+$B$4),CR19-$I19)))))</f>
        <v/>
      </c>
      <c r="CT19" s="68">
        <f>IF($U19=0,0,IF($F19=4,0,IF($F19=3,0,IF(OR(53&gt;$R19,CS19&lt;=$I19),CS19,CS19-MIN(INT(ROUND(IF($F19=1,$C19*$J19,IF(GR19&gt;0,GR19*$K19,CS19*$J19))*IF(53=$R19,$S19,12)/12,6)+$B$4),CS19-$I19)))))</f>
        <v/>
      </c>
      <c r="CU19" s="68">
        <f>IF($U19=0,0,IF($F19=4,0,IF($F19=3,0,IF(OR(54&gt;$R19,CT19&lt;=$I19),CT19,CT19-MIN(INT(ROUND(IF($F19=1,$C19*$J19,IF(GS19&gt;0,GS19*$K19,CT19*$J19))*IF(54=$R19,$S19,12)/12,6)+$B$4),CT19-$I19)))))</f>
        <v/>
      </c>
      <c r="CV19" s="68">
        <f>IF($U19=0,0,IF($F19=4,0,IF($F19=3,0,IF(OR(55&gt;$R19,CU19&lt;=$I19),CU19,CU19-MIN(INT(ROUND(IF($F19=1,$C19*$J19,IF(GT19&gt;0,GT19*$K19,CU19*$J19))*IF(55=$R19,$S19,12)/12,6)+$B$4),CU19-$I19)))))</f>
        <v/>
      </c>
      <c r="CW19" s="68">
        <f>IF($U19=0,0,IF($F19=4,0,IF($F19=3,0,IF(OR(56&gt;$R19,CV19&lt;=$I19),CV19,CV19-MIN(INT(ROUND(IF($F19=1,$C19*$J19,IF(GU19&gt;0,GU19*$K19,CV19*$J19))*IF(56=$R19,$S19,12)/12,6)+$B$4),CV19-$I19)))))</f>
        <v/>
      </c>
      <c r="CX19" s="68">
        <f>IF($U19=0,0,IF($F19=4,0,IF($F19=3,0,IF(OR(57&gt;$R19,CW19&lt;=$I19),CW19,CW19-MIN(INT(ROUND(IF($F19=1,$C19*$J19,IF(GV19&gt;0,GV19*$K19,CW19*$J19))*IF(57=$R19,$S19,12)/12,6)+$B$4),CW19-$I19)))))</f>
        <v/>
      </c>
      <c r="CY19" s="68">
        <f>IF($U19=0,0,IF($F19=4,0,IF($F19=3,0,IF(OR(58&gt;$R19,CX19&lt;=$I19),CX19,CX19-MIN(INT(ROUND(IF($F19=1,$C19*$J19,IF(GW19&gt;0,GW19*$K19,CX19*$J19))*IF(58=$R19,$S19,12)/12,6)+$B$4),CX19-$I19)))))</f>
        <v/>
      </c>
      <c r="CZ19" s="68">
        <f>IF($U19=0,0,IF($F19=4,0,IF($F19=3,0,IF(OR(59&gt;$R19,CY19&lt;=$I19),CY19,CY19-MIN(INT(ROUND(IF($F19=1,$C19*$J19,IF(GX19&gt;0,GX19*$K19,CY19*$J19))*IF(59=$R19,$S19,12)/12,6)+$B$4),CY19-$I19)))))</f>
        <v/>
      </c>
      <c r="DA19" s="68">
        <f>IF($U19=0,0,IF($F19=4,0,IF($F19=3,0,IF(OR(60&gt;$R19,CZ19&lt;=$I19),CZ19,CZ19-MIN(INT(ROUND(IF($F19=1,$C19*$J19,IF(GY19&gt;0,GY19*$K19,CZ19*$J19))*IF(60=$R19,$S19,12)/12,6)+$B$4),CZ19-$I19)))))</f>
        <v/>
      </c>
      <c r="DB19" s="68">
        <f>IF($U19=0,0,IF($F19=4,0,IF($F19=3,0,IF(OR(61&gt;$R19,DA19&lt;=$I19),DA19,DA19-MIN(INT(ROUND(IF($F19=1,$C19*$J19,IF(GZ19&gt;0,GZ19*$K19,DA19*$J19))*IF(61=$R19,$S19,12)/12,6)+$B$4),DA19-$I19)))))</f>
        <v/>
      </c>
      <c r="DC19" s="68">
        <f>IF($U19=0,0,IF($F19=4,0,IF($F19=3,0,IF(OR(62&gt;$R19,DB19&lt;=$I19),DB19,DB19-MIN(INT(ROUND(IF($F19=1,$C19*$J19,IF(HA19&gt;0,HA19*$K19,DB19*$J19))*IF(62=$R19,$S19,12)/12,6)+$B$4),DB19-$I19)))))</f>
        <v/>
      </c>
      <c r="DD19" s="68">
        <f>IF($U19=0,0,IF($F19=4,0,IF($F19=3,0,IF(OR(63&gt;$R19,DC19&lt;=$I19),DC19,DC19-MIN(INT(ROUND(IF($F19=1,$C19*$J19,IF(HB19&gt;0,HB19*$K19,DC19*$J19))*IF(63=$R19,$S19,12)/12,6)+$B$4),DC19-$I19)))))</f>
        <v/>
      </c>
      <c r="DE19" s="68">
        <f>IF($U19=0,0,IF($F19=4,0,IF($F19=3,0,IF(OR(64&gt;$R19,DD19&lt;=$I19),DD19,DD19-MIN(INT(ROUND(IF($F19=1,$C19*$J19,IF(HC19&gt;0,HC19*$K19,DD19*$J19))*IF(64=$R19,$S19,12)/12,6)+$B$4),DD19-$I19)))))</f>
        <v/>
      </c>
      <c r="DF19" s="68">
        <f>IF($U19=0,0,IF($F19=4,0,IF($F19=3,0,IF(OR(65&gt;$R19,DE19&lt;=$I19),DE19,DE19-MIN(INT(ROUND(IF($F19=1,$C19*$J19,IF(HD19&gt;0,HD19*$K19,DE19*$J19))*IF(65=$R19,$S19,12)/12,6)+$B$4),DE19-$I19)))))</f>
        <v/>
      </c>
      <c r="DG19" s="68">
        <f>IF($U19=0,0,IF($F19=4,0,IF($F19=3,0,IF(OR(66&gt;$R19,DF19&lt;=$I19),DF19,DF19-MIN(INT(ROUND(IF($F19=1,$C19*$J19,IF(HE19&gt;0,HE19*$K19,DF19*$J19))*IF(66=$R19,$S19,12)/12,6)+$B$4),DF19-$I19)))))</f>
        <v/>
      </c>
      <c r="DH19" s="68">
        <f>IF($U19=0,0,IF($F19=4,0,IF($F19=3,0,IF(OR(67&gt;$R19,DG19&lt;=$I19),DG19,DG19-MIN(INT(ROUND(IF($F19=1,$C19*$J19,IF(HF19&gt;0,HF19*$K19,DG19*$J19))*IF(67=$R19,$S19,12)/12,6)+$B$4),DG19-$I19)))))</f>
        <v/>
      </c>
      <c r="DI19" s="68">
        <f>IF($U19=0,0,IF($F19=4,0,IF($F19=3,0,IF(OR(68&gt;$R19,DH19&lt;=$I19),DH19,DH19-MIN(INT(ROUND(IF($F19=1,$C19*$J19,IF(HG19&gt;0,HG19*$K19,DH19*$J19))*IF(68=$R19,$S19,12)/12,6)+$B$4),DH19-$I19)))))</f>
        <v/>
      </c>
      <c r="DJ19" s="68">
        <f>IF($U19=0,0,IF($F19=4,0,IF($F19=3,0,IF(OR(69&gt;$R19,DI19&lt;=$I19),DI19,DI19-MIN(INT(ROUND(IF($F19=1,$C19*$J19,IF(HH19&gt;0,HH19*$K19,DI19*$J19))*IF(69=$R19,$S19,12)/12,6)+$B$4),DI19-$I19)))))</f>
        <v/>
      </c>
      <c r="DK19" s="68">
        <f>IF($U19=0,0,IF($F19=4,0,IF($F19=3,0,IF(OR(70&gt;$R19,DJ19&lt;=$I19),DJ19,DJ19-MIN(INT(ROUND(IF($F19=1,$C19*$J19,IF(HI19&gt;0,HI19*$K19,DJ19*$J19))*IF(70=$R19,$S19,12)/12,6)+$B$4),DJ19-$I19)))))</f>
        <v/>
      </c>
      <c r="DL19" s="68">
        <f>IF($U19=0,0,IF($F19=4,0,IF($F19=3,0,IF(OR(71&gt;$R19,DK19&lt;=$I19),DK19,DK19-MIN(INT(ROUND(IF($F19=1,$C19*$J19,IF(HJ19&gt;0,HJ19*$K19,DK19*$J19))*IF(71=$R19,$S19,12)/12,6)+$B$4),DK19-$I19)))))</f>
        <v/>
      </c>
      <c r="DM19" s="68">
        <f>IF($U19=0,0,IF($F19=4,0,IF($F19=3,0,IF(OR(72&gt;$R19,DL19&lt;=$I19),DL19,DL19-MIN(INT(ROUND(IF($F19=1,$C19*$J19,IF(HK19&gt;0,HK19*$K19,DL19*$J19))*IF(72=$R19,$S19,12)/12,6)+$B$4),DL19-$I19)))))</f>
        <v/>
      </c>
      <c r="DN19" s="68">
        <f>IF($U19=0,0,IF($F19=4,0,IF($F19=3,0,IF(OR(73&gt;$R19,DM19&lt;=$I19),DM19,DM19-MIN(INT(ROUND(IF($F19=1,$C19*$J19,IF(HL19&gt;0,HL19*$K19,DM19*$J19))*IF(73=$R19,$S19,12)/12,6)+$B$4),DM19-$I19)))))</f>
        <v/>
      </c>
      <c r="DO19" s="68">
        <f>IF($U19=0,0,IF($F19=4,0,IF($F19=3,0,IF(OR(74&gt;$R19,DN19&lt;=$I19),DN19,DN19-MIN(INT(ROUND(IF($F19=1,$C19*$J19,IF(HM19&gt;0,HM19*$K19,DN19*$J19))*IF(74=$R19,$S19,12)/12,6)+$B$4),DN19-$I19)))))</f>
        <v/>
      </c>
      <c r="DP19" s="68">
        <f>IF($U19=0,0,IF($F19=4,0,IF($F19=3,0,IF(OR(75&gt;$R19,DO19&lt;=$I19),DO19,DO19-MIN(INT(ROUND(IF($F19=1,$C19*$J19,IF(HN19&gt;0,HN19*$K19,DO19*$J19))*IF(75=$R19,$S19,12)/12,6)+$B$4),DO19-$I19)))))</f>
        <v/>
      </c>
      <c r="DQ19" s="68">
        <f>IF($U19=0,0,IF($F19=4,0,IF($F19=3,0,IF(OR(76&gt;$R19,DP19&lt;=$I19),DP19,DP19-MIN(INT(ROUND(IF($F19=1,$C19*$J19,IF(HO19&gt;0,HO19*$K19,DP19*$J19))*IF(76=$R19,$S19,12)/12,6)+$B$4),DP19-$I19)))))</f>
        <v/>
      </c>
      <c r="DR19" s="68">
        <f>IF($U19=0,0,IF($F19=4,0,IF($F19=3,0,IF(OR(77&gt;$R19,DQ19&lt;=$I19),DQ19,DQ19-MIN(INT(ROUND(IF($F19=1,$C19*$J19,IF(HP19&gt;0,HP19*$K19,DQ19*$J19))*IF(77=$R19,$S19,12)/12,6)+$B$4),DQ19-$I19)))))</f>
        <v/>
      </c>
      <c r="DS19" s="68">
        <f>IF($U19=0,0,IF($F19=4,0,IF($F19=3,0,IF(OR(78&gt;$R19,DR19&lt;=$I19),DR19,DR19-MIN(INT(ROUND(IF($F19=1,$C19*$J19,IF(HQ19&gt;0,HQ19*$K19,DR19*$J19))*IF(78=$R19,$S19,12)/12,6)+$B$4),DR19-$I19)))))</f>
        <v/>
      </c>
      <c r="DT19" s="68">
        <f>IF($U19=0,0,IF($F19=4,0,IF($F19=3,0,IF(OR(79&gt;$R19,DS19&lt;=$I19),DS19,DS19-MIN(INT(ROUND(IF($F19=1,$C19*$J19,IF(HR19&gt;0,HR19*$K19,DS19*$J19))*IF(79=$R19,$S19,12)/12,6)+$B$4),DS19-$I19)))))</f>
        <v/>
      </c>
      <c r="DU19" s="68">
        <f>IF($U19=0,0,IF($F19=4,0,IF($F19=3,0,IF(OR(80&gt;$R19,DT19&lt;=$I19),DT19,DT19-MIN(INT(ROUND(IF($F19=1,$C19*$J19,IF(HS19&gt;0,HS19*$K19,DT19*$J19))*IF(80=$R19,$S19,12)/12,6)+$B$4),DT19-$I19)))))</f>
        <v/>
      </c>
      <c r="DV19" s="68">
        <f>IF($U19=0,0,IF($F19=4,0,IF($F19=3,0,IF(OR(81&gt;$R19,DU19&lt;=$I19),DU19,DU19-MIN(INT(ROUND(IF($F19=1,$C19*$J19,IF(HT19&gt;0,HT19*$K19,DU19*$J19))*IF(81=$R19,$S19,12)/12,6)+$B$4),DU19-$I19)))))</f>
        <v/>
      </c>
      <c r="DW19" s="68">
        <f>IF($U19=0,0,IF($F19=4,0,IF($F19=3,0,IF(OR(82&gt;$R19,DV19&lt;=$I19),DV19,DV19-MIN(INT(ROUND(IF($F19=1,$C19*$J19,IF(HU19&gt;0,HU19*$K19,DV19*$J19))*IF(82=$R19,$S19,12)/12,6)+$B$4),DV19-$I19)))))</f>
        <v/>
      </c>
      <c r="DX19" s="68">
        <f>IF($U19=0,0,IF($F19=4,0,IF($F19=3,0,IF(OR(83&gt;$R19,DW19&lt;=$I19),DW19,DW19-MIN(INT(ROUND(IF($F19=1,$C19*$J19,IF(HV19&gt;0,HV19*$K19,DW19*$J19))*IF(83=$R19,$S19,12)/12,6)+$B$4),DW19-$I19)))))</f>
        <v/>
      </c>
      <c r="DY19" s="68">
        <f>IF($U19=0,0,IF($F19=4,0,IF($F19=3,0,IF(OR(84&gt;$R19,DX19&lt;=$I19),DX19,DX19-MIN(INT(ROUND(IF($F19=1,$C19*$J19,IF(HW19&gt;0,HW19*$K19,DX19*$J19))*IF(84=$R19,$S19,12)/12,6)+$B$4),DX19-$I19)))))</f>
        <v/>
      </c>
      <c r="DZ19" s="68">
        <f>IF($U19=0,0,IF($F19=4,0,IF($F19=3,0,IF(OR(85&gt;$R19,DY19&lt;=$I19),DY19,DY19-MIN(INT(ROUND(IF($F19=1,$C19*$J19,IF(HX19&gt;0,HX19*$K19,DY19*$J19))*IF(85=$R19,$S19,12)/12,6)+$B$4),DY19-$I19)))))</f>
        <v/>
      </c>
      <c r="EA19" s="68">
        <f>IF($U19=0,0,IF($F19=4,0,IF($F19=3,0,IF(OR(86&gt;$R19,DZ19&lt;=$I19),DZ19,DZ19-MIN(INT(ROUND(IF($F19=1,$C19*$J19,IF(HY19&gt;0,HY19*$K19,DZ19*$J19))*IF(86=$R19,$S19,12)/12,6)+$B$4),DZ19-$I19)))))</f>
        <v/>
      </c>
      <c r="EB19" s="68">
        <f>IF($U19=0,0,IF($F19=4,0,IF($F19=3,0,IF(OR(87&gt;$R19,EA19&lt;=$I19),EA19,EA19-MIN(INT(ROUND(IF($F19=1,$C19*$J19,IF(HZ19&gt;0,HZ19*$K19,EA19*$J19))*IF(87=$R19,$S19,12)/12,6)+$B$4),EA19-$I19)))))</f>
        <v/>
      </c>
      <c r="EC19" s="68">
        <f>IF($U19=0,0,IF($F19=4,0,IF($F19=3,0,IF(OR(88&gt;$R19,EB19&lt;=$I19),EB19,EB19-MIN(INT(ROUND(IF($F19=1,$C19*$J19,IF(IA19&gt;0,IA19*$K19,EB19*$J19))*IF(88=$R19,$S19,12)/12,6)+$B$4),EB19-$I19)))))</f>
        <v/>
      </c>
      <c r="ED19" s="68">
        <f>IF($U19=0,0,IF($F19=4,0,IF($F19=3,0,IF(OR(89&gt;$R19,EC19&lt;=$I19),EC19,EC19-MIN(INT(ROUND(IF($F19=1,$C19*$J19,IF(IB19&gt;0,IB19*$K19,EC19*$J19))*IF(89=$R19,$S19,12)/12,6)+$B$4),EC19-$I19)))))</f>
        <v/>
      </c>
      <c r="EE19" s="68">
        <f>IF($U19=0,0,IF($F19=4,0,IF($F19=3,0,IF(OR(90&gt;$R19,ED19&lt;=$I19),ED19,ED19-MIN(INT(ROUND(IF($F19=1,$C19*$J19,IF(IC19&gt;0,IC19*$K19,ED19*$J19))*IF(90=$R19,$S19,12)/12,6)+$B$4),ED19-$I19)))))</f>
        <v/>
      </c>
      <c r="EF19" s="68">
        <f>IF($U19=0,0,IF($F19=4,0,IF($F19=3,0,IF(OR(91&gt;$R19,EE19&lt;=$I19),EE19,EE19-MIN(INT(ROUND(IF($F19=1,$C19*$J19,IF(ID19&gt;0,ID19*$K19,EE19*$J19))*IF(91=$R19,$S19,12)/12,6)+$B$4),EE19-$I19)))))</f>
        <v/>
      </c>
      <c r="EG19" s="68">
        <f>IF($U19=0,0,IF($F19=4,0,IF($F19=3,0,IF(OR(92&gt;$R19,EF19&lt;=$I19),EF19,EF19-MIN(INT(ROUND(IF($F19=1,$C19*$J19,IF(IE19&gt;0,IE19*$K19,EF19*$J19))*IF(92=$R19,$S19,12)/12,6)+$B$4),EF19-$I19)))))</f>
        <v/>
      </c>
      <c r="EH19" s="68">
        <f>IF($U19=0,0,IF($F19=4,0,IF($F19=3,0,IF(OR(93&gt;$R19,EG19&lt;=$I19),EG19,EG19-MIN(INT(ROUND(IF($F19=1,$C19*$J19,IF(IF19&gt;0,IF19*$K19,EG19*$J19))*IF(93=$R19,$S19,12)/12,6)+$B$4),EG19-$I19)))))</f>
        <v/>
      </c>
      <c r="EI19" s="68">
        <f>IF($U19=0,0,IF($F19=4,0,IF($F19=3,0,IF(OR(94&gt;$R19,EH19&lt;=$I19),EH19,EH19-MIN(INT(ROUND(IF($F19=1,$C19*$J19,IF(IG19&gt;0,IG19*$K19,EH19*$J19))*IF(94=$R19,$S19,12)/12,6)+$B$4),EH19-$I19)))))</f>
        <v/>
      </c>
      <c r="EJ19" s="68">
        <f>IF($U19=0,0,IF($F19=4,0,IF($F19=3,0,IF(OR(95&gt;$R19,EI19&lt;=$I19),EI19,EI19-MIN(INT(ROUND(IF($F19=1,$C19*$J19,IF(IH19&gt;0,IH19*$K19,EI19*$J19))*IF(95=$R19,$S19,12)/12,6)+$B$4),EI19-$I19)))))</f>
        <v/>
      </c>
      <c r="EK19" s="68">
        <f>IF($U19=0,0,IF($F19=4,0,IF($F19=3,0,IF(OR(96&gt;$R19,EJ19&lt;=$I19),EJ19,EJ19-MIN(INT(ROUND(IF($F19=1,$C19*$J19,IF(II19&gt;0,II19*$K19,EJ19*$J19))*IF(96=$R19,$S19,12)/12,6)+$B$4),EJ19-$I19)))))</f>
        <v/>
      </c>
      <c r="EL19" s="68">
        <f>IF($U19=0,0,IF($F19=4,0,IF($F19=3,0,IF(OR(97&gt;$R19,EK19&lt;=$I19),EK19,EK19-MIN(INT(ROUND(IF($F19=1,$C19*$J19,IF(IJ19&gt;0,IJ19*$K19,EK19*$J19))*IF(97=$R19,$S19,12)/12,6)+$B$4),EK19-$I19)))))</f>
        <v/>
      </c>
      <c r="EM19" s="68">
        <f>IF($U19=0,0,IF($F19=4,0,IF($F19=3,0,IF(OR(98&gt;$R19,EL19&lt;=$I19),EL19,EL19-MIN(INT(ROUND(IF($F19=1,$C19*$J19,IF(IK19&gt;0,IK19*$K19,EL19*$J19))*IF(98=$R19,$S19,12)/12,6)+$B$4),EL19-$I19)))))</f>
        <v/>
      </c>
      <c r="EN19" s="68">
        <f>IF($U19=0,0,IF($F19=4,0,IF($F19=3,0,IF(OR(99&gt;$R19,EM19&lt;=$I19),EM19,EM19-MIN(INT(ROUND(IF($F19=1,$C19*$J19,IF(IL19&gt;0,IL19*$K19,EM19*$J19))*IF(99=$R19,$S19,12)/12,6)+$B$4),EM19-$I19)))))</f>
        <v/>
      </c>
      <c r="EO19" s="68">
        <f>IF($U19=0,0,IF($F19=4,0,IF($F19=3,0,IF(OR(100&gt;$R19,EN19&lt;=$I19),EN19,EN19-MIN(INT(ROUND(IF($F19=1,$C19*$J19,IF(IM19&gt;0,IM19*$K19,EN19*$J19))*IF(100=$R19,$S19,12)/12,6)+$B$4),EN19-$I19)))))</f>
        <v/>
      </c>
      <c r="EP19" s="68">
        <f>IF($U19=0,0,IF($F19=4,0,IF($F19=3,0,IF(OR(101&gt;$R19,EO19&lt;=$I19),EO19,EO19-MIN(INT(ROUND(IF($F19=1,$C19*$J19,IF(IN19&gt;0,IN19*$K19,EO19*$J19))*IF(101=$R19,$S19,12)/12,6)+$B$4),EO19-$I19)))))</f>
        <v/>
      </c>
      <c r="EQ19" s="68" t="n"/>
      <c r="ER19" s="68">
        <f>IF(OR($U19=0,$F19&lt;&gt;2),0,IF(ROUND(AS19*$J19,6)&lt;ROUND($M19,6),AS19,0))</f>
        <v/>
      </c>
      <c r="ES19" s="68">
        <f>IF(OR($U19=0,$F19&lt;&gt;2),0,IF(ER19&gt;0,ER19,IF(ROUND(AT19*$J19,6)&lt;ROUND($M19,6),AT19,0)))</f>
        <v/>
      </c>
      <c r="ET19" s="68">
        <f>IF(OR($U19=0,$F19&lt;&gt;2),0,IF(ES19&gt;0,ES19,IF(ROUND(AU19*$J19,6)&lt;ROUND($M19,6),AU19,0)))</f>
        <v/>
      </c>
      <c r="EU19" s="68">
        <f>IF(OR($U19=0,$F19&lt;&gt;2),0,IF(ET19&gt;0,ET19,IF(ROUND(AV19*$J19,6)&lt;ROUND($M19,6),AV19,0)))</f>
        <v/>
      </c>
      <c r="EV19" s="68">
        <f>IF(OR($U19=0,$F19&lt;&gt;2),0,IF(EU19&gt;0,EU19,IF(ROUND(AW19*$J19,6)&lt;ROUND($M19,6),AW19,0)))</f>
        <v/>
      </c>
      <c r="EW19" s="68">
        <f>IF(OR($U19=0,$F19&lt;&gt;2),0,IF(EV19&gt;0,EV19,IF(ROUND(AX19*$J19,6)&lt;ROUND($M19,6),AX19,0)))</f>
        <v/>
      </c>
      <c r="EX19" s="68">
        <f>IF(OR($U19=0,$F19&lt;&gt;2),0,IF(EW19&gt;0,EW19,IF(ROUND(AY19*$J19,6)&lt;ROUND($M19,6),AY19,0)))</f>
        <v/>
      </c>
      <c r="EY19" s="68">
        <f>IF(OR($U19=0,$F19&lt;&gt;2),0,IF(EX19&gt;0,EX19,IF(ROUND(AZ19*$J19,6)&lt;ROUND($M19,6),AZ19,0)))</f>
        <v/>
      </c>
      <c r="EZ19" s="68">
        <f>IF(OR($U19=0,$F19&lt;&gt;2),0,IF(EY19&gt;0,EY19,IF(ROUND(BA19*$J19,6)&lt;ROUND($M19,6),BA19,0)))</f>
        <v/>
      </c>
      <c r="FA19" s="68">
        <f>IF(OR($U19=0,$F19&lt;&gt;2),0,IF(EZ19&gt;0,EZ19,IF(ROUND(BB19*$J19,6)&lt;ROUND($M19,6),BB19,0)))</f>
        <v/>
      </c>
      <c r="FB19" s="68">
        <f>IF(OR($U19=0,$F19&lt;&gt;2),0,IF(FA19&gt;0,FA19,IF(ROUND(BC19*$J19,6)&lt;ROUND($M19,6),BC19,0)))</f>
        <v/>
      </c>
      <c r="FC19" s="68">
        <f>IF(OR($U19=0,$F19&lt;&gt;2),0,IF(FB19&gt;0,FB19,IF(ROUND(BD19*$J19,6)&lt;ROUND($M19,6),BD19,0)))</f>
        <v/>
      </c>
      <c r="FD19" s="68">
        <f>IF(OR($U19=0,$F19&lt;&gt;2),0,IF(FC19&gt;0,FC19,IF(ROUND(BE19*$J19,6)&lt;ROUND($M19,6),BE19,0)))</f>
        <v/>
      </c>
      <c r="FE19" s="68">
        <f>IF(OR($U19=0,$F19&lt;&gt;2),0,IF(FD19&gt;0,FD19,IF(ROUND(BF19*$J19,6)&lt;ROUND($M19,6),BF19,0)))</f>
        <v/>
      </c>
      <c r="FF19" s="68">
        <f>IF(OR($U19=0,$F19&lt;&gt;2),0,IF(FE19&gt;0,FE19,IF(ROUND(BG19*$J19,6)&lt;ROUND($M19,6),BG19,0)))</f>
        <v/>
      </c>
      <c r="FG19" s="68">
        <f>IF(OR($U19=0,$F19&lt;&gt;2),0,IF(FF19&gt;0,FF19,IF(ROUND(BH19*$J19,6)&lt;ROUND($M19,6),BH19,0)))</f>
        <v/>
      </c>
      <c r="FH19" s="68">
        <f>IF(OR($U19=0,$F19&lt;&gt;2),0,IF(FG19&gt;0,FG19,IF(ROUND(BI19*$J19,6)&lt;ROUND($M19,6),BI19,0)))</f>
        <v/>
      </c>
      <c r="FI19" s="68">
        <f>IF(OR($U19=0,$F19&lt;&gt;2),0,IF(FH19&gt;0,FH19,IF(ROUND(BJ19*$J19,6)&lt;ROUND($M19,6),BJ19,0)))</f>
        <v/>
      </c>
      <c r="FJ19" s="68">
        <f>IF(OR($U19=0,$F19&lt;&gt;2),0,IF(FI19&gt;0,FI19,IF(ROUND(BK19*$J19,6)&lt;ROUND($M19,6),BK19,0)))</f>
        <v/>
      </c>
      <c r="FK19" s="68">
        <f>IF(OR($U19=0,$F19&lt;&gt;2),0,IF(FJ19&gt;0,FJ19,IF(ROUND(BL19*$J19,6)&lt;ROUND($M19,6),BL19,0)))</f>
        <v/>
      </c>
      <c r="FL19" s="68">
        <f>IF(OR($U19=0,$F19&lt;&gt;2),0,IF(FK19&gt;0,FK19,IF(ROUND(BM19*$J19,6)&lt;ROUND($M19,6),BM19,0)))</f>
        <v/>
      </c>
      <c r="FM19" s="68">
        <f>IF(OR($U19=0,$F19&lt;&gt;2),0,IF(FL19&gt;0,FL19,IF(ROUND(BN19*$J19,6)&lt;ROUND($M19,6),BN19,0)))</f>
        <v/>
      </c>
      <c r="FN19" s="68">
        <f>IF(OR($U19=0,$F19&lt;&gt;2),0,IF(FM19&gt;0,FM19,IF(ROUND(BO19*$J19,6)&lt;ROUND($M19,6),BO19,0)))</f>
        <v/>
      </c>
      <c r="FO19" s="68">
        <f>IF(OR($U19=0,$F19&lt;&gt;2),0,IF(FN19&gt;0,FN19,IF(ROUND(BP19*$J19,6)&lt;ROUND($M19,6),BP19,0)))</f>
        <v/>
      </c>
      <c r="FP19" s="68">
        <f>IF(OR($U19=0,$F19&lt;&gt;2),0,IF(FO19&gt;0,FO19,IF(ROUND(BQ19*$J19,6)&lt;ROUND($M19,6),BQ19,0)))</f>
        <v/>
      </c>
      <c r="FQ19" s="68">
        <f>IF(OR($U19=0,$F19&lt;&gt;2),0,IF(FP19&gt;0,FP19,IF(ROUND(BR19*$J19,6)&lt;ROUND($M19,6),BR19,0)))</f>
        <v/>
      </c>
      <c r="FR19" s="68">
        <f>IF(OR($U19=0,$F19&lt;&gt;2),0,IF(FQ19&gt;0,FQ19,IF(ROUND(BS19*$J19,6)&lt;ROUND($M19,6),BS19,0)))</f>
        <v/>
      </c>
      <c r="FS19" s="68">
        <f>IF(OR($U19=0,$F19&lt;&gt;2),0,IF(FR19&gt;0,FR19,IF(ROUND(BT19*$J19,6)&lt;ROUND($M19,6),BT19,0)))</f>
        <v/>
      </c>
      <c r="FT19" s="68">
        <f>IF(OR($U19=0,$F19&lt;&gt;2),0,IF(FS19&gt;0,FS19,IF(ROUND(BU19*$J19,6)&lt;ROUND($M19,6),BU19,0)))</f>
        <v/>
      </c>
      <c r="FU19" s="68">
        <f>IF(OR($U19=0,$F19&lt;&gt;2),0,IF(FT19&gt;0,FT19,IF(ROUND(BV19*$J19,6)&lt;ROUND($M19,6),BV19,0)))</f>
        <v/>
      </c>
      <c r="FV19" s="68">
        <f>IF(OR($U19=0,$F19&lt;&gt;2),0,IF(FU19&gt;0,FU19,IF(ROUND(BW19*$J19,6)&lt;ROUND($M19,6),BW19,0)))</f>
        <v/>
      </c>
      <c r="FW19" s="68">
        <f>IF(OR($U19=0,$F19&lt;&gt;2),0,IF(FV19&gt;0,FV19,IF(ROUND(BX19*$J19,6)&lt;ROUND($M19,6),BX19,0)))</f>
        <v/>
      </c>
      <c r="FX19" s="68">
        <f>IF(OR($U19=0,$F19&lt;&gt;2),0,IF(FW19&gt;0,FW19,IF(ROUND(BY19*$J19,6)&lt;ROUND($M19,6),BY19,0)))</f>
        <v/>
      </c>
      <c r="FY19" s="68">
        <f>IF(OR($U19=0,$F19&lt;&gt;2),0,IF(FX19&gt;0,FX19,IF(ROUND(BZ19*$J19,6)&lt;ROUND($M19,6),BZ19,0)))</f>
        <v/>
      </c>
      <c r="FZ19" s="68">
        <f>IF(OR($U19=0,$F19&lt;&gt;2),0,IF(FY19&gt;0,FY19,IF(ROUND(CA19*$J19,6)&lt;ROUND($M19,6),CA19,0)))</f>
        <v/>
      </c>
      <c r="GA19" s="68">
        <f>IF(OR($U19=0,$F19&lt;&gt;2),0,IF(FZ19&gt;0,FZ19,IF(ROUND(CB19*$J19,6)&lt;ROUND($M19,6),CB19,0)))</f>
        <v/>
      </c>
      <c r="GB19" s="68">
        <f>IF(OR($U19=0,$F19&lt;&gt;2),0,IF(GA19&gt;0,GA19,IF(ROUND(CC19*$J19,6)&lt;ROUND($M19,6),CC19,0)))</f>
        <v/>
      </c>
      <c r="GC19" s="68">
        <f>IF(OR($U19=0,$F19&lt;&gt;2),0,IF(GB19&gt;0,GB19,IF(ROUND(CD19*$J19,6)&lt;ROUND($M19,6),CD19,0)))</f>
        <v/>
      </c>
      <c r="GD19" s="68">
        <f>IF(OR($U19=0,$F19&lt;&gt;2),0,IF(GC19&gt;0,GC19,IF(ROUND(CE19*$J19,6)&lt;ROUND($M19,6),CE19,0)))</f>
        <v/>
      </c>
      <c r="GE19" s="68">
        <f>IF(OR($U19=0,$F19&lt;&gt;2),0,IF(GD19&gt;0,GD19,IF(ROUND(CF19*$J19,6)&lt;ROUND($M19,6),CF19,0)))</f>
        <v/>
      </c>
      <c r="GF19" s="68">
        <f>IF(OR($U19=0,$F19&lt;&gt;2),0,IF(GE19&gt;0,GE19,IF(ROUND(CG19*$J19,6)&lt;ROUND($M19,6),CG19,0)))</f>
        <v/>
      </c>
      <c r="GG19" s="68">
        <f>IF(OR($U19=0,$F19&lt;&gt;2),0,IF(GF19&gt;0,GF19,IF(ROUND(CH19*$J19,6)&lt;ROUND($M19,6),CH19,0)))</f>
        <v/>
      </c>
      <c r="GH19" s="68">
        <f>IF(OR($U19=0,$F19&lt;&gt;2),0,IF(GG19&gt;0,GG19,IF(ROUND(CI19*$J19,6)&lt;ROUND($M19,6),CI19,0)))</f>
        <v/>
      </c>
      <c r="GI19" s="68">
        <f>IF(OR($U19=0,$F19&lt;&gt;2),0,IF(GH19&gt;0,GH19,IF(ROUND(CJ19*$J19,6)&lt;ROUND($M19,6),CJ19,0)))</f>
        <v/>
      </c>
      <c r="GJ19" s="68">
        <f>IF(OR($U19=0,$F19&lt;&gt;2),0,IF(GI19&gt;0,GI19,IF(ROUND(CK19*$J19,6)&lt;ROUND($M19,6),CK19,0)))</f>
        <v/>
      </c>
      <c r="GK19" s="68">
        <f>IF(OR($U19=0,$F19&lt;&gt;2),0,IF(GJ19&gt;0,GJ19,IF(ROUND(CL19*$J19,6)&lt;ROUND($M19,6),CL19,0)))</f>
        <v/>
      </c>
      <c r="GL19" s="68">
        <f>IF(OR($U19=0,$F19&lt;&gt;2),0,IF(GK19&gt;0,GK19,IF(ROUND(CM19*$J19,6)&lt;ROUND($M19,6),CM19,0)))</f>
        <v/>
      </c>
      <c r="GM19" s="68">
        <f>IF(OR($U19=0,$F19&lt;&gt;2),0,IF(GL19&gt;0,GL19,IF(ROUND(CN19*$J19,6)&lt;ROUND($M19,6),CN19,0)))</f>
        <v/>
      </c>
      <c r="GN19" s="68">
        <f>IF(OR($U19=0,$F19&lt;&gt;2),0,IF(GM19&gt;0,GM19,IF(ROUND(CO19*$J19,6)&lt;ROUND($M19,6),CO19,0)))</f>
        <v/>
      </c>
      <c r="GO19" s="68">
        <f>IF(OR($U19=0,$F19&lt;&gt;2),0,IF(GN19&gt;0,GN19,IF(ROUND(CP19*$J19,6)&lt;ROUND($M19,6),CP19,0)))</f>
        <v/>
      </c>
      <c r="GP19" s="68">
        <f>IF(OR($U19=0,$F19&lt;&gt;2),0,IF(GO19&gt;0,GO19,IF(ROUND(CQ19*$J19,6)&lt;ROUND($M19,6),CQ19,0)))</f>
        <v/>
      </c>
      <c r="GQ19" s="68">
        <f>IF(OR($U19=0,$F19&lt;&gt;2),0,IF(GP19&gt;0,GP19,IF(ROUND(CR19*$J19,6)&lt;ROUND($M19,6),CR19,0)))</f>
        <v/>
      </c>
      <c r="GR19" s="68">
        <f>IF(OR($U19=0,$F19&lt;&gt;2),0,IF(GQ19&gt;0,GQ19,IF(ROUND(CS19*$J19,6)&lt;ROUND($M19,6),CS19,0)))</f>
        <v/>
      </c>
      <c r="GS19" s="68">
        <f>IF(OR($U19=0,$F19&lt;&gt;2),0,IF(GR19&gt;0,GR19,IF(ROUND(CT19*$J19,6)&lt;ROUND($M19,6),CT19,0)))</f>
        <v/>
      </c>
      <c r="GT19" s="68">
        <f>IF(OR($U19=0,$F19&lt;&gt;2),0,IF(GS19&gt;0,GS19,IF(ROUND(CU19*$J19,6)&lt;ROUND($M19,6),CU19,0)))</f>
        <v/>
      </c>
      <c r="GU19" s="68">
        <f>IF(OR($U19=0,$F19&lt;&gt;2),0,IF(GT19&gt;0,GT19,IF(ROUND(CV19*$J19,6)&lt;ROUND($M19,6),CV19,0)))</f>
        <v/>
      </c>
      <c r="GV19" s="68">
        <f>IF(OR($U19=0,$F19&lt;&gt;2),0,IF(GU19&gt;0,GU19,IF(ROUND(CW19*$J19,6)&lt;ROUND($M19,6),CW19,0)))</f>
        <v/>
      </c>
      <c r="GW19" s="68">
        <f>IF(OR($U19=0,$F19&lt;&gt;2),0,IF(GV19&gt;0,GV19,IF(ROUND(CX19*$J19,6)&lt;ROUND($M19,6),CX19,0)))</f>
        <v/>
      </c>
      <c r="GX19" s="68">
        <f>IF(OR($U19=0,$F19&lt;&gt;2),0,IF(GW19&gt;0,GW19,IF(ROUND(CY19*$J19,6)&lt;ROUND($M19,6),CY19,0)))</f>
        <v/>
      </c>
      <c r="GY19" s="68">
        <f>IF(OR($U19=0,$F19&lt;&gt;2),0,IF(GX19&gt;0,GX19,IF(ROUND(CZ19*$J19,6)&lt;ROUND($M19,6),CZ19,0)))</f>
        <v/>
      </c>
      <c r="GZ19" s="68">
        <f>IF(OR($U19=0,$F19&lt;&gt;2),0,IF(GY19&gt;0,GY19,IF(ROUND(DA19*$J19,6)&lt;ROUND($M19,6),DA19,0)))</f>
        <v/>
      </c>
      <c r="HA19" s="68">
        <f>IF(OR($U19=0,$F19&lt;&gt;2),0,IF(GZ19&gt;0,GZ19,IF(ROUND(DB19*$J19,6)&lt;ROUND($M19,6),DB19,0)))</f>
        <v/>
      </c>
      <c r="HB19" s="68">
        <f>IF(OR($U19=0,$F19&lt;&gt;2),0,IF(HA19&gt;0,HA19,IF(ROUND(DC19*$J19,6)&lt;ROUND($M19,6),DC19,0)))</f>
        <v/>
      </c>
      <c r="HC19" s="68">
        <f>IF(OR($U19=0,$F19&lt;&gt;2),0,IF(HB19&gt;0,HB19,IF(ROUND(DD19*$J19,6)&lt;ROUND($M19,6),DD19,0)))</f>
        <v/>
      </c>
      <c r="HD19" s="68">
        <f>IF(OR($U19=0,$F19&lt;&gt;2),0,IF(HC19&gt;0,HC19,IF(ROUND(DE19*$J19,6)&lt;ROUND($M19,6),DE19,0)))</f>
        <v/>
      </c>
      <c r="HE19" s="68">
        <f>IF(OR($U19=0,$F19&lt;&gt;2),0,IF(HD19&gt;0,HD19,IF(ROUND(DF19*$J19,6)&lt;ROUND($M19,6),DF19,0)))</f>
        <v/>
      </c>
      <c r="HF19" s="68">
        <f>IF(OR($U19=0,$F19&lt;&gt;2),0,IF(HE19&gt;0,HE19,IF(ROUND(DG19*$J19,6)&lt;ROUND($M19,6),DG19,0)))</f>
        <v/>
      </c>
      <c r="HG19" s="68">
        <f>IF(OR($U19=0,$F19&lt;&gt;2),0,IF(HF19&gt;0,HF19,IF(ROUND(DH19*$J19,6)&lt;ROUND($M19,6),DH19,0)))</f>
        <v/>
      </c>
      <c r="HH19" s="68">
        <f>IF(OR($U19=0,$F19&lt;&gt;2),0,IF(HG19&gt;0,HG19,IF(ROUND(DI19*$J19,6)&lt;ROUND($M19,6),DI19,0)))</f>
        <v/>
      </c>
      <c r="HI19" s="68">
        <f>IF(OR($U19=0,$F19&lt;&gt;2),0,IF(HH19&gt;0,HH19,IF(ROUND(DJ19*$J19,6)&lt;ROUND($M19,6),DJ19,0)))</f>
        <v/>
      </c>
      <c r="HJ19" s="68">
        <f>IF(OR($U19=0,$F19&lt;&gt;2),0,IF(HI19&gt;0,HI19,IF(ROUND(DK19*$J19,6)&lt;ROUND($M19,6),DK19,0)))</f>
        <v/>
      </c>
      <c r="HK19" s="68">
        <f>IF(OR($U19=0,$F19&lt;&gt;2),0,IF(HJ19&gt;0,HJ19,IF(ROUND(DL19*$J19,6)&lt;ROUND($M19,6),DL19,0)))</f>
        <v/>
      </c>
      <c r="HL19" s="68">
        <f>IF(OR($U19=0,$F19&lt;&gt;2),0,IF(HK19&gt;0,HK19,IF(ROUND(DM19*$J19,6)&lt;ROUND($M19,6),DM19,0)))</f>
        <v/>
      </c>
      <c r="HM19" s="68">
        <f>IF(OR($U19=0,$F19&lt;&gt;2),0,IF(HL19&gt;0,HL19,IF(ROUND(DN19*$J19,6)&lt;ROUND($M19,6),DN19,0)))</f>
        <v/>
      </c>
      <c r="HN19" s="68">
        <f>IF(OR($U19=0,$F19&lt;&gt;2),0,IF(HM19&gt;0,HM19,IF(ROUND(DO19*$J19,6)&lt;ROUND($M19,6),DO19,0)))</f>
        <v/>
      </c>
      <c r="HO19" s="68">
        <f>IF(OR($U19=0,$F19&lt;&gt;2),0,IF(HN19&gt;0,HN19,IF(ROUND(DP19*$J19,6)&lt;ROUND($M19,6),DP19,0)))</f>
        <v/>
      </c>
      <c r="HP19" s="68">
        <f>IF(OR($U19=0,$F19&lt;&gt;2),0,IF(HO19&gt;0,HO19,IF(ROUND(DQ19*$J19,6)&lt;ROUND($M19,6),DQ19,0)))</f>
        <v/>
      </c>
      <c r="HQ19" s="68">
        <f>IF(OR($U19=0,$F19&lt;&gt;2),0,IF(HP19&gt;0,HP19,IF(ROUND(DR19*$J19,6)&lt;ROUND($M19,6),DR19,0)))</f>
        <v/>
      </c>
      <c r="HR19" s="68">
        <f>IF(OR($U19=0,$F19&lt;&gt;2),0,IF(HQ19&gt;0,HQ19,IF(ROUND(DS19*$J19,6)&lt;ROUND($M19,6),DS19,0)))</f>
        <v/>
      </c>
      <c r="HS19" s="68">
        <f>IF(OR($U19=0,$F19&lt;&gt;2),0,IF(HR19&gt;0,HR19,IF(ROUND(DT19*$J19,6)&lt;ROUND($M19,6),DT19,0)))</f>
        <v/>
      </c>
      <c r="HT19" s="68">
        <f>IF(OR($U19=0,$F19&lt;&gt;2),0,IF(HS19&gt;0,HS19,IF(ROUND(DU19*$J19,6)&lt;ROUND($M19,6),DU19,0)))</f>
        <v/>
      </c>
      <c r="HU19" s="68">
        <f>IF(OR($U19=0,$F19&lt;&gt;2),0,IF(HT19&gt;0,HT19,IF(ROUND(DV19*$J19,6)&lt;ROUND($M19,6),DV19,0)))</f>
        <v/>
      </c>
      <c r="HV19" s="68">
        <f>IF(OR($U19=0,$F19&lt;&gt;2),0,IF(HU19&gt;0,HU19,IF(ROUND(DW19*$J19,6)&lt;ROUND($M19,6),DW19,0)))</f>
        <v/>
      </c>
      <c r="HW19" s="68">
        <f>IF(OR($U19=0,$F19&lt;&gt;2),0,IF(HV19&gt;0,HV19,IF(ROUND(DX19*$J19,6)&lt;ROUND($M19,6),DX19,0)))</f>
        <v/>
      </c>
      <c r="HX19" s="68">
        <f>IF(OR($U19=0,$F19&lt;&gt;2),0,IF(HW19&gt;0,HW19,IF(ROUND(DY19*$J19,6)&lt;ROUND($M19,6),DY19,0)))</f>
        <v/>
      </c>
      <c r="HY19" s="68">
        <f>IF(OR($U19=0,$F19&lt;&gt;2),0,IF(HX19&gt;0,HX19,IF(ROUND(DZ19*$J19,6)&lt;ROUND($M19,6),DZ19,0)))</f>
        <v/>
      </c>
      <c r="HZ19" s="68">
        <f>IF(OR($U19=0,$F19&lt;&gt;2),0,IF(HY19&gt;0,HY19,IF(ROUND(EA19*$J19,6)&lt;ROUND($M19,6),EA19,0)))</f>
        <v/>
      </c>
      <c r="IA19" s="68">
        <f>IF(OR($U19=0,$F19&lt;&gt;2),0,IF(HZ19&gt;0,HZ19,IF(ROUND(EB19*$J19,6)&lt;ROUND($M19,6),EB19,0)))</f>
        <v/>
      </c>
      <c r="IB19" s="68">
        <f>IF(OR($U19=0,$F19&lt;&gt;2),0,IF(IA19&gt;0,IA19,IF(ROUND(EC19*$J19,6)&lt;ROUND($M19,6),EC19,0)))</f>
        <v/>
      </c>
      <c r="IC19" s="68">
        <f>IF(OR($U19=0,$F19&lt;&gt;2),0,IF(IB19&gt;0,IB19,IF(ROUND(ED19*$J19,6)&lt;ROUND($M19,6),ED19,0)))</f>
        <v/>
      </c>
      <c r="ID19" s="68">
        <f>IF(OR($U19=0,$F19&lt;&gt;2),0,IF(IC19&gt;0,IC19,IF(ROUND(EE19*$J19,6)&lt;ROUND($M19,6),EE19,0)))</f>
        <v/>
      </c>
      <c r="IE19" s="68">
        <f>IF(OR($U19=0,$F19&lt;&gt;2),0,IF(ID19&gt;0,ID19,IF(ROUND(EF19*$J19,6)&lt;ROUND($M19,6),EF19,0)))</f>
        <v/>
      </c>
      <c r="IF19" s="68">
        <f>IF(OR($U19=0,$F19&lt;&gt;2),0,IF(IE19&gt;0,IE19,IF(ROUND(EG19*$J19,6)&lt;ROUND($M19,6),EG19,0)))</f>
        <v/>
      </c>
      <c r="IG19" s="68">
        <f>IF(OR($U19=0,$F19&lt;&gt;2),0,IF(IF19&gt;0,IF19,IF(ROUND(EH19*$J19,6)&lt;ROUND($M19,6),EH19,0)))</f>
        <v/>
      </c>
      <c r="IH19" s="68">
        <f>IF(OR($U19=0,$F19&lt;&gt;2),0,IF(IG19&gt;0,IG19,IF(ROUND(EI19*$J19,6)&lt;ROUND($M19,6),EI19,0)))</f>
        <v/>
      </c>
      <c r="II19" s="68">
        <f>IF(OR($U19=0,$F19&lt;&gt;2),0,IF(IH19&gt;0,IH19,IF(ROUND(EJ19*$J19,6)&lt;ROUND($M19,6),EJ19,0)))</f>
        <v/>
      </c>
      <c r="IJ19" s="68">
        <f>IF(OR($U19=0,$F19&lt;&gt;2),0,IF(II19&gt;0,II19,IF(ROUND(EK19*$J19,6)&lt;ROUND($M19,6),EK19,0)))</f>
        <v/>
      </c>
      <c r="IK19" s="68">
        <f>IF(OR($U19=0,$F19&lt;&gt;2),0,IF(IJ19&gt;0,IJ19,IF(ROUND(EL19*$J19,6)&lt;ROUND($M19,6),EL19,0)))</f>
        <v/>
      </c>
      <c r="IL19" s="68">
        <f>IF(OR($U19=0,$F19&lt;&gt;2),0,IF(IK19&gt;0,IK19,IF(ROUND(EM19*$J19,6)&lt;ROUND($M19,6),EM19,0)))</f>
        <v/>
      </c>
      <c r="IM19" s="68">
        <f>IF(OR($U19=0,$F19&lt;&gt;2),0,IF(IL19&gt;0,IL19,IF(ROUND(EN19*$J19,6)&lt;ROUND($M19,6),EN19,0)))</f>
        <v/>
      </c>
      <c r="IN19" s="68">
        <f>IF(OR($U19=0,$F19&lt;&gt;2),0,IF(IM19&gt;0,IM19,IF(ROUND(EO19*$J19,6)&lt;ROUND($M19,6),EO19,0)))</f>
        <v/>
      </c>
    </row>
    <row r="20">
      <c r="A20" s="68" t="n">
        <v>15</v>
      </c>
      <c r="B20" s="68">
        <f>IF(OR(TRIM('固定資産台帳'!$B20)&lt;&gt;"",'固定資産台帳'!$E20&lt;&gt;"",'固定資産台帳'!$G20&lt;&gt;"",'固定資産台帳'!$H20&lt;&gt;""),1,0)</f>
        <v/>
      </c>
      <c r="C20" s="68">
        <f>IF(ISNUMBER('固定資産台帳'!$G20),MAX(ROUND('固定資産台帳'!$G20,0),0),0)</f>
        <v/>
      </c>
      <c r="D20" s="84">
        <f>IF(ISNUMBER('固定資産台帳'!$E20),INT('固定資産台帳'!$E20),0)</f>
        <v/>
      </c>
      <c r="E20" s="84">
        <f>IF(ISNUMBER('固定資産台帳'!$F20),INT('固定資産台帳'!$F20),$D20)</f>
        <v/>
      </c>
      <c r="F20" s="68">
        <f>IF('固定資産台帳'!$H20="定額法",1,IF(OR('固定資産台帳'!$H20="定率法",'固定資産台帳'!$H20="定率法（200%）",'固定資産台帳'!$H20="定率法（250%）"),2,IF('固定資産台帳'!$H20="一括償却（3年）",3,IF('固定資産台帳'!$H20="少額特例",4,0))))</f>
        <v/>
      </c>
      <c r="G20" s="68">
        <f>IF('固定資産台帳'!$H20="定率法（250%）",250,IF('固定資産台帳'!$H20="定率法（200%）",200,IF($D20&gt;=DATE(2012,4,1),200,250)))</f>
        <v/>
      </c>
      <c r="H20" s="68">
        <f>IF(ISNUMBER('固定資産台帳'!$I20),IF(AND('固定資産台帳'!$I20&gt;=2,'固定資産台帳'!$I20&lt;=100,'固定資産台帳'!$I20=INT('固定資産台帳'!$I20)),'固定資産台帳'!$I20,0),0)</f>
        <v/>
      </c>
      <c r="I20" s="68">
        <f>IF('固定資産台帳'!$C20="無形固定資産",0,1)</f>
        <v/>
      </c>
      <c r="J20" s="68">
        <f>IF(OR($H20=0,$F20=0,$F20&gt;2),0,IF($F20=1,INDEX('償却率表'!$B$6:$B$104,$H20-1),IF($G20=200,INDEX('償却率表'!$C$6:$C$104,$H20-1),INDEX('償却率表'!$F$6:$F$104,$H20-1))))</f>
        <v/>
      </c>
      <c r="K20" s="68">
        <f>IF(AND($F20=2,$H20&gt;0),IF($G20=200,INDEX('償却率表'!$D$6:$D$104,$H20-1),INDEX('償却率表'!$G$6:$G$104,$H20-1)),0)</f>
        <v/>
      </c>
      <c r="L20" s="68">
        <f>IF(AND($F20=2,$H20&gt;0),IF($G20=200,INDEX('償却率表'!$E$6:$E$104,$H20-1),INDEX('償却率表'!$H$6:$H$104,$H20-1)),0)</f>
        <v/>
      </c>
      <c r="M20" s="68">
        <f>$C20*$L20</f>
        <v/>
      </c>
      <c r="N20" s="68">
        <f>IF($B$1=1,1,IF('固定資産台帳'!$J20="",1,IF(ISNUMBER('固定資産台帳'!$J20),IF(AND('固定資産台帳'!$J20&gt;0,'固定資産台帳'!$J20&lt;=1),'固定資産台帳'!$J20,0),0)))</f>
        <v/>
      </c>
      <c r="O20" s="68">
        <f>IF($E20=0,0,YEAR($E20)-IF(MONTH($E20)&lt;$B$2,1,0))</f>
        <v/>
      </c>
      <c r="P20" s="68">
        <f>IF($E20=0,0,12-MOD(MONTH($E20)-$B$2,12))</f>
        <v/>
      </c>
      <c r="Q20" s="84">
        <f>IF(ISNUMBER('固定資産台帳'!$K20),INT('固定資産台帳'!$K20),0)</f>
        <v/>
      </c>
      <c r="R20" s="68">
        <f>IF(OR($Q20=0,$E20=0),999,YEAR($Q20)-IF(MONTH($Q20)&lt;$B$2,1,0)-$O20)</f>
        <v/>
      </c>
      <c r="S20" s="68">
        <f>IF($R20=999,0,MOD(MONTH($Q20)-$B$2,12)+1-IF($R20=0,12-$P20,0))</f>
        <v/>
      </c>
      <c r="T20" s="68">
        <f>IF($B20=0,0,IF($C20&lt;=0,1,IF($D20=0,2,IF($F20=0,3,IF(AND($F20&lt;=2,$H20=0),4,IF(AND($F20&lt;=2,$D20&lt;DATE(2007,4,1)),5,IF($E20&lt;$D20,6,IF(AND($Q20&gt;0,$Q20&lt;$E20),7,IF($N20=0,8,IF($B$3=0,9,0))))))))))</f>
        <v/>
      </c>
      <c r="U20" s="68">
        <f>IF(AND($B20=1,$T20=0),1,0)</f>
        <v/>
      </c>
      <c r="V20" s="68">
        <f>$B$3-$O20</f>
        <v/>
      </c>
      <c r="W20" s="68">
        <f>IF(AND($U20=1,$V20&gt;=0),1,0)</f>
        <v/>
      </c>
      <c r="X20" s="68">
        <f>IF($W20=0,0,IF($V20=0,$C20,INDEX($AS20:$EP20,MIN($V20,102))))</f>
        <v/>
      </c>
      <c r="Y20" s="68">
        <f>IF($W20=0,0,INDEX($AS20:$EP20,MIN($V20,101)+1))</f>
        <v/>
      </c>
      <c r="Z20" s="68">
        <f>$X20-$Y20</f>
        <v/>
      </c>
      <c r="AA20" s="68">
        <f>IF(AND($W20=1,$F20=2,$V20&gt;=1),INDEX($ER20:$IN20,MIN($V20,101)),0)</f>
        <v/>
      </c>
      <c r="AB20" s="68">
        <f>IF(OR($W20=0,$F20&gt;2,$Z20=0),0,IF($V20=0,IF($R20=0,$S20,$P20),IF($V20=$R20,$S20,12)))</f>
        <v/>
      </c>
      <c r="AC20" s="68">
        <f>IF($W20=0,0,INT(ROUND($Z20*$N20,6)+$B$4))</f>
        <v/>
      </c>
      <c r="AD20" s="68">
        <f>IF(AND($W20=1,$F20&lt;=2,$V20=$R20),1,0)</f>
        <v/>
      </c>
      <c r="AE20" s="68">
        <f>IF(AND($W20=1,$F20&lt;=2,$V20&gt;$R20),1,0)</f>
        <v/>
      </c>
      <c r="AF20" s="68">
        <f>IF(AND($W20=1,$AE20=0,OR($Z20&gt;0,$AD20=1)),1,0)</f>
        <v/>
      </c>
      <c r="AG20" s="68">
        <f>IF($AF20=1,SUM($AF$6:$AF20),0)</f>
        <v/>
      </c>
      <c r="AH20" s="68">
        <f>IF($T20=0,"",CHOOSE($T20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20" s="68">
        <f>IF(AND($F20=2,OR('固定資産台帳'!$C20="建物",'固定資産台帳'!$C20="無形固定資産",AND(OR('固定資産台帳'!$C20="建物附属設備",'固定資産台帳'!$C20="構築物"),$D20&gt;=DATE(2016,4,1)))),"この資産は定額法だけです（定率法は使えません）。","")&amp;IF(AND($F20=3,$C20&gt;=200000),"一括償却は20万円未満の資産だけです。","")&amp;IF(AND($F20=3,$B$1=0,$C20&lt;100000),"10万円未満は一括償却にせず、全額をその年の経費にします。","")&amp;IF(AND($F20=4,$C20&lt;100000),"10万円未満は少額特例ではなく、全額をその年の経費にします。","")&amp;IF(AND($F20=4,$D20&lt;DATE(2026,4,1),$C20&gt;=300000),"2026年3月31日までの取得で少額特例が使えるのは30万円未満です。","")&amp;IF(AND($F20=4,$D20&gt;=DATE(2026,4,1),$C20&gt;=400000),"少額特例は40万円未満の資産だけです。","")&amp;IF(AND($F20=4,OR($D20&lt;DATE(2006,4,1),$D20&gt;DATE(2029,3,31))),"少額特例は2006年4月1日〜2029年3月31日に取得した資産だけです。","")&amp;IF(AND($F20=2,$G20=250,$D20&gt;DATE(2012,12,31)),"250%定率法は2012年12月31日までの取得だけです。","")</f>
        <v/>
      </c>
      <c r="AJ20" s="68">
        <f>IF(AND($F20=2,'固定資産台帳'!$H20="定率法（200%）",$D20&lt;DATE(2012,4,1)),"2012年3月31日までの取得に200%を使うのは、経過措置の届出をした場合です。","")&amp;IF(AND($F20=2,'固定資産台帳'!$H20="定率法（250%）",$D20&gt;=DATE(2012,4,1),$D20&lt;=DATE(2012,12,31)),"2012年4〜12月の取得に250%を使うのは、経過措置を選んだ場合です。","")</f>
        <v/>
      </c>
      <c r="AK20" s="68">
        <f>IF($U20=0,"",IF($V20&lt;0,"表示している年より後に使い始める資産です。",IF($AE20=1,"売却・除却済みです。",IF($AD20=1,"この年に売却・除却。期末の帳簿価額 "&amp;TEXT($Y20,"#,##0")&amp;"円を帳簿から外します。",IF($F20=4,IF($V20=0,"少額特例：この年に全額を経費にします。","少額特例で経費にした資産です。"),IF($F20=3,IF($V20&gt;2,"一括償却は終わっています。","一括償却 "&amp;($V20+1)&amp;"年目（3年のうち）。"),IF($Z20=0,"償却済み（帳簿価額 "&amp;TEXT($Y20,"#,##0")&amp;"円）。",IF($AA20&gt;0,"改定償却率で計算（改定取得価額 "&amp;TEXT($AA20,"#,##0")&amp;"円）。",IF($V20=0,"この年に使い始め（"&amp;$AB20&amp;"か月分）。","")))))))))</f>
        <v/>
      </c>
      <c r="AL20" s="68">
        <f>IF(AND($U20=1,$F20=4,$V20=0),$C20,0)</f>
        <v/>
      </c>
      <c r="AM20" s="68">
        <f>IF($F20=2,INT(ROUND($M20,6)+$B$4),0)</f>
        <v/>
      </c>
      <c r="AN20" s="68">
        <f>IF($W20=0,0,IF($F20=2,IF($AA20&gt;0,$AA20,$X20),$C20))</f>
        <v/>
      </c>
      <c r="AO20" s="68">
        <f>IF($W20=0,"",IF($F20=3,"1/3",IF($F20=4,"―",IF($AA20&gt;0,$K20,$J20))))</f>
        <v/>
      </c>
      <c r="AP20" s="68" t="n"/>
      <c r="AQ20" s="68" t="n"/>
      <c r="AR20" s="68" t="n"/>
      <c r="AS20" s="68">
        <f>IF($U20=0,0,IF($F20=4,0,IF($F20=3,MAX($C20-INT(ROUND($C20/3,6)+$B$4),0),$C20-MIN(INT(ROUND($C20*$J20*IF($R20=0,$S20,$P20)/12,6)+$B$4),MAX($C20-$I20,0)))))</f>
        <v/>
      </c>
      <c r="AT20" s="68">
        <f>IF($U20=0,0,IF($F20=4,0,IF($F20=3,AS20-MIN(INT(ROUND($C20/3,6)+$B$4),AS20),IF(OR(1&gt;$R20,AS20&lt;=$I20),AS20,AS20-MIN(INT(ROUND(IF($F20=1,$C20*$J20,IF(ER20&gt;0,ER20*$K20,AS20*$J20))*IF(1=$R20,$S20,12)/12,6)+$B$4),AS20-$I20)))))</f>
        <v/>
      </c>
      <c r="AU20" s="68">
        <f>IF($U20=0,0,IF($F20=4,0,IF($F20=3,0,IF(OR(2&gt;$R20,AT20&lt;=$I20),AT20,AT20-MIN(INT(ROUND(IF($F20=1,$C20*$J20,IF(ES20&gt;0,ES20*$K20,AT20*$J20))*IF(2=$R20,$S20,12)/12,6)+$B$4),AT20-$I20)))))</f>
        <v/>
      </c>
      <c r="AV20" s="68">
        <f>IF($U20=0,0,IF($F20=4,0,IF($F20=3,0,IF(OR(3&gt;$R20,AU20&lt;=$I20),AU20,AU20-MIN(INT(ROUND(IF($F20=1,$C20*$J20,IF(ET20&gt;0,ET20*$K20,AU20*$J20))*IF(3=$R20,$S20,12)/12,6)+$B$4),AU20-$I20)))))</f>
        <v/>
      </c>
      <c r="AW20" s="68">
        <f>IF($U20=0,0,IF($F20=4,0,IF($F20=3,0,IF(OR(4&gt;$R20,AV20&lt;=$I20),AV20,AV20-MIN(INT(ROUND(IF($F20=1,$C20*$J20,IF(EU20&gt;0,EU20*$K20,AV20*$J20))*IF(4=$R20,$S20,12)/12,6)+$B$4),AV20-$I20)))))</f>
        <v/>
      </c>
      <c r="AX20" s="68">
        <f>IF($U20=0,0,IF($F20=4,0,IF($F20=3,0,IF(OR(5&gt;$R20,AW20&lt;=$I20),AW20,AW20-MIN(INT(ROUND(IF($F20=1,$C20*$J20,IF(EV20&gt;0,EV20*$K20,AW20*$J20))*IF(5=$R20,$S20,12)/12,6)+$B$4),AW20-$I20)))))</f>
        <v/>
      </c>
      <c r="AY20" s="68">
        <f>IF($U20=0,0,IF($F20=4,0,IF($F20=3,0,IF(OR(6&gt;$R20,AX20&lt;=$I20),AX20,AX20-MIN(INT(ROUND(IF($F20=1,$C20*$J20,IF(EW20&gt;0,EW20*$K20,AX20*$J20))*IF(6=$R20,$S20,12)/12,6)+$B$4),AX20-$I20)))))</f>
        <v/>
      </c>
      <c r="AZ20" s="68">
        <f>IF($U20=0,0,IF($F20=4,0,IF($F20=3,0,IF(OR(7&gt;$R20,AY20&lt;=$I20),AY20,AY20-MIN(INT(ROUND(IF($F20=1,$C20*$J20,IF(EX20&gt;0,EX20*$K20,AY20*$J20))*IF(7=$R20,$S20,12)/12,6)+$B$4),AY20-$I20)))))</f>
        <v/>
      </c>
      <c r="BA20" s="68">
        <f>IF($U20=0,0,IF($F20=4,0,IF($F20=3,0,IF(OR(8&gt;$R20,AZ20&lt;=$I20),AZ20,AZ20-MIN(INT(ROUND(IF($F20=1,$C20*$J20,IF(EY20&gt;0,EY20*$K20,AZ20*$J20))*IF(8=$R20,$S20,12)/12,6)+$B$4),AZ20-$I20)))))</f>
        <v/>
      </c>
      <c r="BB20" s="68">
        <f>IF($U20=0,0,IF($F20=4,0,IF($F20=3,0,IF(OR(9&gt;$R20,BA20&lt;=$I20),BA20,BA20-MIN(INT(ROUND(IF($F20=1,$C20*$J20,IF(EZ20&gt;0,EZ20*$K20,BA20*$J20))*IF(9=$R20,$S20,12)/12,6)+$B$4),BA20-$I20)))))</f>
        <v/>
      </c>
      <c r="BC20" s="68">
        <f>IF($U20=0,0,IF($F20=4,0,IF($F20=3,0,IF(OR(10&gt;$R20,BB20&lt;=$I20),BB20,BB20-MIN(INT(ROUND(IF($F20=1,$C20*$J20,IF(FA20&gt;0,FA20*$K20,BB20*$J20))*IF(10=$R20,$S20,12)/12,6)+$B$4),BB20-$I20)))))</f>
        <v/>
      </c>
      <c r="BD20" s="68">
        <f>IF($U20=0,0,IF($F20=4,0,IF($F20=3,0,IF(OR(11&gt;$R20,BC20&lt;=$I20),BC20,BC20-MIN(INT(ROUND(IF($F20=1,$C20*$J20,IF(FB20&gt;0,FB20*$K20,BC20*$J20))*IF(11=$R20,$S20,12)/12,6)+$B$4),BC20-$I20)))))</f>
        <v/>
      </c>
      <c r="BE20" s="68">
        <f>IF($U20=0,0,IF($F20=4,0,IF($F20=3,0,IF(OR(12&gt;$R20,BD20&lt;=$I20),BD20,BD20-MIN(INT(ROUND(IF($F20=1,$C20*$J20,IF(FC20&gt;0,FC20*$K20,BD20*$J20))*IF(12=$R20,$S20,12)/12,6)+$B$4),BD20-$I20)))))</f>
        <v/>
      </c>
      <c r="BF20" s="68">
        <f>IF($U20=0,0,IF($F20=4,0,IF($F20=3,0,IF(OR(13&gt;$R20,BE20&lt;=$I20),BE20,BE20-MIN(INT(ROUND(IF($F20=1,$C20*$J20,IF(FD20&gt;0,FD20*$K20,BE20*$J20))*IF(13=$R20,$S20,12)/12,6)+$B$4),BE20-$I20)))))</f>
        <v/>
      </c>
      <c r="BG20" s="68">
        <f>IF($U20=0,0,IF($F20=4,0,IF($F20=3,0,IF(OR(14&gt;$R20,BF20&lt;=$I20),BF20,BF20-MIN(INT(ROUND(IF($F20=1,$C20*$J20,IF(FE20&gt;0,FE20*$K20,BF20*$J20))*IF(14=$R20,$S20,12)/12,6)+$B$4),BF20-$I20)))))</f>
        <v/>
      </c>
      <c r="BH20" s="68">
        <f>IF($U20=0,0,IF($F20=4,0,IF($F20=3,0,IF(OR(15&gt;$R20,BG20&lt;=$I20),BG20,BG20-MIN(INT(ROUND(IF($F20=1,$C20*$J20,IF(FF20&gt;0,FF20*$K20,BG20*$J20))*IF(15=$R20,$S20,12)/12,6)+$B$4),BG20-$I20)))))</f>
        <v/>
      </c>
      <c r="BI20" s="68">
        <f>IF($U20=0,0,IF($F20=4,0,IF($F20=3,0,IF(OR(16&gt;$R20,BH20&lt;=$I20),BH20,BH20-MIN(INT(ROUND(IF($F20=1,$C20*$J20,IF(FG20&gt;0,FG20*$K20,BH20*$J20))*IF(16=$R20,$S20,12)/12,6)+$B$4),BH20-$I20)))))</f>
        <v/>
      </c>
      <c r="BJ20" s="68">
        <f>IF($U20=0,0,IF($F20=4,0,IF($F20=3,0,IF(OR(17&gt;$R20,BI20&lt;=$I20),BI20,BI20-MIN(INT(ROUND(IF($F20=1,$C20*$J20,IF(FH20&gt;0,FH20*$K20,BI20*$J20))*IF(17=$R20,$S20,12)/12,6)+$B$4),BI20-$I20)))))</f>
        <v/>
      </c>
      <c r="BK20" s="68">
        <f>IF($U20=0,0,IF($F20=4,0,IF($F20=3,0,IF(OR(18&gt;$R20,BJ20&lt;=$I20),BJ20,BJ20-MIN(INT(ROUND(IF($F20=1,$C20*$J20,IF(FI20&gt;0,FI20*$K20,BJ20*$J20))*IF(18=$R20,$S20,12)/12,6)+$B$4),BJ20-$I20)))))</f>
        <v/>
      </c>
      <c r="BL20" s="68">
        <f>IF($U20=0,0,IF($F20=4,0,IF($F20=3,0,IF(OR(19&gt;$R20,BK20&lt;=$I20),BK20,BK20-MIN(INT(ROUND(IF($F20=1,$C20*$J20,IF(FJ20&gt;0,FJ20*$K20,BK20*$J20))*IF(19=$R20,$S20,12)/12,6)+$B$4),BK20-$I20)))))</f>
        <v/>
      </c>
      <c r="BM20" s="68">
        <f>IF($U20=0,0,IF($F20=4,0,IF($F20=3,0,IF(OR(20&gt;$R20,BL20&lt;=$I20),BL20,BL20-MIN(INT(ROUND(IF($F20=1,$C20*$J20,IF(FK20&gt;0,FK20*$K20,BL20*$J20))*IF(20=$R20,$S20,12)/12,6)+$B$4),BL20-$I20)))))</f>
        <v/>
      </c>
      <c r="BN20" s="68">
        <f>IF($U20=0,0,IF($F20=4,0,IF($F20=3,0,IF(OR(21&gt;$R20,BM20&lt;=$I20),BM20,BM20-MIN(INT(ROUND(IF($F20=1,$C20*$J20,IF(FL20&gt;0,FL20*$K20,BM20*$J20))*IF(21=$R20,$S20,12)/12,6)+$B$4),BM20-$I20)))))</f>
        <v/>
      </c>
      <c r="BO20" s="68">
        <f>IF($U20=0,0,IF($F20=4,0,IF($F20=3,0,IF(OR(22&gt;$R20,BN20&lt;=$I20),BN20,BN20-MIN(INT(ROUND(IF($F20=1,$C20*$J20,IF(FM20&gt;0,FM20*$K20,BN20*$J20))*IF(22=$R20,$S20,12)/12,6)+$B$4),BN20-$I20)))))</f>
        <v/>
      </c>
      <c r="BP20" s="68">
        <f>IF($U20=0,0,IF($F20=4,0,IF($F20=3,0,IF(OR(23&gt;$R20,BO20&lt;=$I20),BO20,BO20-MIN(INT(ROUND(IF($F20=1,$C20*$J20,IF(FN20&gt;0,FN20*$K20,BO20*$J20))*IF(23=$R20,$S20,12)/12,6)+$B$4),BO20-$I20)))))</f>
        <v/>
      </c>
      <c r="BQ20" s="68">
        <f>IF($U20=0,0,IF($F20=4,0,IF($F20=3,0,IF(OR(24&gt;$R20,BP20&lt;=$I20),BP20,BP20-MIN(INT(ROUND(IF($F20=1,$C20*$J20,IF(FO20&gt;0,FO20*$K20,BP20*$J20))*IF(24=$R20,$S20,12)/12,6)+$B$4),BP20-$I20)))))</f>
        <v/>
      </c>
      <c r="BR20" s="68">
        <f>IF($U20=0,0,IF($F20=4,0,IF($F20=3,0,IF(OR(25&gt;$R20,BQ20&lt;=$I20),BQ20,BQ20-MIN(INT(ROUND(IF($F20=1,$C20*$J20,IF(FP20&gt;0,FP20*$K20,BQ20*$J20))*IF(25=$R20,$S20,12)/12,6)+$B$4),BQ20-$I20)))))</f>
        <v/>
      </c>
      <c r="BS20" s="68">
        <f>IF($U20=0,0,IF($F20=4,0,IF($F20=3,0,IF(OR(26&gt;$R20,BR20&lt;=$I20),BR20,BR20-MIN(INT(ROUND(IF($F20=1,$C20*$J20,IF(FQ20&gt;0,FQ20*$K20,BR20*$J20))*IF(26=$R20,$S20,12)/12,6)+$B$4),BR20-$I20)))))</f>
        <v/>
      </c>
      <c r="BT20" s="68">
        <f>IF($U20=0,0,IF($F20=4,0,IF($F20=3,0,IF(OR(27&gt;$R20,BS20&lt;=$I20),BS20,BS20-MIN(INT(ROUND(IF($F20=1,$C20*$J20,IF(FR20&gt;0,FR20*$K20,BS20*$J20))*IF(27=$R20,$S20,12)/12,6)+$B$4),BS20-$I20)))))</f>
        <v/>
      </c>
      <c r="BU20" s="68">
        <f>IF($U20=0,0,IF($F20=4,0,IF($F20=3,0,IF(OR(28&gt;$R20,BT20&lt;=$I20),BT20,BT20-MIN(INT(ROUND(IF($F20=1,$C20*$J20,IF(FS20&gt;0,FS20*$K20,BT20*$J20))*IF(28=$R20,$S20,12)/12,6)+$B$4),BT20-$I20)))))</f>
        <v/>
      </c>
      <c r="BV20" s="68">
        <f>IF($U20=0,0,IF($F20=4,0,IF($F20=3,0,IF(OR(29&gt;$R20,BU20&lt;=$I20),BU20,BU20-MIN(INT(ROUND(IF($F20=1,$C20*$J20,IF(FT20&gt;0,FT20*$K20,BU20*$J20))*IF(29=$R20,$S20,12)/12,6)+$B$4),BU20-$I20)))))</f>
        <v/>
      </c>
      <c r="BW20" s="68">
        <f>IF($U20=0,0,IF($F20=4,0,IF($F20=3,0,IF(OR(30&gt;$R20,BV20&lt;=$I20),BV20,BV20-MIN(INT(ROUND(IF($F20=1,$C20*$J20,IF(FU20&gt;0,FU20*$K20,BV20*$J20))*IF(30=$R20,$S20,12)/12,6)+$B$4),BV20-$I20)))))</f>
        <v/>
      </c>
      <c r="BX20" s="68">
        <f>IF($U20=0,0,IF($F20=4,0,IF($F20=3,0,IF(OR(31&gt;$R20,BW20&lt;=$I20),BW20,BW20-MIN(INT(ROUND(IF($F20=1,$C20*$J20,IF(FV20&gt;0,FV20*$K20,BW20*$J20))*IF(31=$R20,$S20,12)/12,6)+$B$4),BW20-$I20)))))</f>
        <v/>
      </c>
      <c r="BY20" s="68">
        <f>IF($U20=0,0,IF($F20=4,0,IF($F20=3,0,IF(OR(32&gt;$R20,BX20&lt;=$I20),BX20,BX20-MIN(INT(ROUND(IF($F20=1,$C20*$J20,IF(FW20&gt;0,FW20*$K20,BX20*$J20))*IF(32=$R20,$S20,12)/12,6)+$B$4),BX20-$I20)))))</f>
        <v/>
      </c>
      <c r="BZ20" s="68">
        <f>IF($U20=0,0,IF($F20=4,0,IF($F20=3,0,IF(OR(33&gt;$R20,BY20&lt;=$I20),BY20,BY20-MIN(INT(ROUND(IF($F20=1,$C20*$J20,IF(FX20&gt;0,FX20*$K20,BY20*$J20))*IF(33=$R20,$S20,12)/12,6)+$B$4),BY20-$I20)))))</f>
        <v/>
      </c>
      <c r="CA20" s="68">
        <f>IF($U20=0,0,IF($F20=4,0,IF($F20=3,0,IF(OR(34&gt;$R20,BZ20&lt;=$I20),BZ20,BZ20-MIN(INT(ROUND(IF($F20=1,$C20*$J20,IF(FY20&gt;0,FY20*$K20,BZ20*$J20))*IF(34=$R20,$S20,12)/12,6)+$B$4),BZ20-$I20)))))</f>
        <v/>
      </c>
      <c r="CB20" s="68">
        <f>IF($U20=0,0,IF($F20=4,0,IF($F20=3,0,IF(OR(35&gt;$R20,CA20&lt;=$I20),CA20,CA20-MIN(INT(ROUND(IF($F20=1,$C20*$J20,IF(FZ20&gt;0,FZ20*$K20,CA20*$J20))*IF(35=$R20,$S20,12)/12,6)+$B$4),CA20-$I20)))))</f>
        <v/>
      </c>
      <c r="CC20" s="68">
        <f>IF($U20=0,0,IF($F20=4,0,IF($F20=3,0,IF(OR(36&gt;$R20,CB20&lt;=$I20),CB20,CB20-MIN(INT(ROUND(IF($F20=1,$C20*$J20,IF(GA20&gt;0,GA20*$K20,CB20*$J20))*IF(36=$R20,$S20,12)/12,6)+$B$4),CB20-$I20)))))</f>
        <v/>
      </c>
      <c r="CD20" s="68">
        <f>IF($U20=0,0,IF($F20=4,0,IF($F20=3,0,IF(OR(37&gt;$R20,CC20&lt;=$I20),CC20,CC20-MIN(INT(ROUND(IF($F20=1,$C20*$J20,IF(GB20&gt;0,GB20*$K20,CC20*$J20))*IF(37=$R20,$S20,12)/12,6)+$B$4),CC20-$I20)))))</f>
        <v/>
      </c>
      <c r="CE20" s="68">
        <f>IF($U20=0,0,IF($F20=4,0,IF($F20=3,0,IF(OR(38&gt;$R20,CD20&lt;=$I20),CD20,CD20-MIN(INT(ROUND(IF($F20=1,$C20*$J20,IF(GC20&gt;0,GC20*$K20,CD20*$J20))*IF(38=$R20,$S20,12)/12,6)+$B$4),CD20-$I20)))))</f>
        <v/>
      </c>
      <c r="CF20" s="68">
        <f>IF($U20=0,0,IF($F20=4,0,IF($F20=3,0,IF(OR(39&gt;$R20,CE20&lt;=$I20),CE20,CE20-MIN(INT(ROUND(IF($F20=1,$C20*$J20,IF(GD20&gt;0,GD20*$K20,CE20*$J20))*IF(39=$R20,$S20,12)/12,6)+$B$4),CE20-$I20)))))</f>
        <v/>
      </c>
      <c r="CG20" s="68">
        <f>IF($U20=0,0,IF($F20=4,0,IF($F20=3,0,IF(OR(40&gt;$R20,CF20&lt;=$I20),CF20,CF20-MIN(INT(ROUND(IF($F20=1,$C20*$J20,IF(GE20&gt;0,GE20*$K20,CF20*$J20))*IF(40=$R20,$S20,12)/12,6)+$B$4),CF20-$I20)))))</f>
        <v/>
      </c>
      <c r="CH20" s="68">
        <f>IF($U20=0,0,IF($F20=4,0,IF($F20=3,0,IF(OR(41&gt;$R20,CG20&lt;=$I20),CG20,CG20-MIN(INT(ROUND(IF($F20=1,$C20*$J20,IF(GF20&gt;0,GF20*$K20,CG20*$J20))*IF(41=$R20,$S20,12)/12,6)+$B$4),CG20-$I20)))))</f>
        <v/>
      </c>
      <c r="CI20" s="68">
        <f>IF($U20=0,0,IF($F20=4,0,IF($F20=3,0,IF(OR(42&gt;$R20,CH20&lt;=$I20),CH20,CH20-MIN(INT(ROUND(IF($F20=1,$C20*$J20,IF(GG20&gt;0,GG20*$K20,CH20*$J20))*IF(42=$R20,$S20,12)/12,6)+$B$4),CH20-$I20)))))</f>
        <v/>
      </c>
      <c r="CJ20" s="68">
        <f>IF($U20=0,0,IF($F20=4,0,IF($F20=3,0,IF(OR(43&gt;$R20,CI20&lt;=$I20),CI20,CI20-MIN(INT(ROUND(IF($F20=1,$C20*$J20,IF(GH20&gt;0,GH20*$K20,CI20*$J20))*IF(43=$R20,$S20,12)/12,6)+$B$4),CI20-$I20)))))</f>
        <v/>
      </c>
      <c r="CK20" s="68">
        <f>IF($U20=0,0,IF($F20=4,0,IF($F20=3,0,IF(OR(44&gt;$R20,CJ20&lt;=$I20),CJ20,CJ20-MIN(INT(ROUND(IF($F20=1,$C20*$J20,IF(GI20&gt;0,GI20*$K20,CJ20*$J20))*IF(44=$R20,$S20,12)/12,6)+$B$4),CJ20-$I20)))))</f>
        <v/>
      </c>
      <c r="CL20" s="68">
        <f>IF($U20=0,0,IF($F20=4,0,IF($F20=3,0,IF(OR(45&gt;$R20,CK20&lt;=$I20),CK20,CK20-MIN(INT(ROUND(IF($F20=1,$C20*$J20,IF(GJ20&gt;0,GJ20*$K20,CK20*$J20))*IF(45=$R20,$S20,12)/12,6)+$B$4),CK20-$I20)))))</f>
        <v/>
      </c>
      <c r="CM20" s="68">
        <f>IF($U20=0,0,IF($F20=4,0,IF($F20=3,0,IF(OR(46&gt;$R20,CL20&lt;=$I20),CL20,CL20-MIN(INT(ROUND(IF($F20=1,$C20*$J20,IF(GK20&gt;0,GK20*$K20,CL20*$J20))*IF(46=$R20,$S20,12)/12,6)+$B$4),CL20-$I20)))))</f>
        <v/>
      </c>
      <c r="CN20" s="68">
        <f>IF($U20=0,0,IF($F20=4,0,IF($F20=3,0,IF(OR(47&gt;$R20,CM20&lt;=$I20),CM20,CM20-MIN(INT(ROUND(IF($F20=1,$C20*$J20,IF(GL20&gt;0,GL20*$K20,CM20*$J20))*IF(47=$R20,$S20,12)/12,6)+$B$4),CM20-$I20)))))</f>
        <v/>
      </c>
      <c r="CO20" s="68">
        <f>IF($U20=0,0,IF($F20=4,0,IF($F20=3,0,IF(OR(48&gt;$R20,CN20&lt;=$I20),CN20,CN20-MIN(INT(ROUND(IF($F20=1,$C20*$J20,IF(GM20&gt;0,GM20*$K20,CN20*$J20))*IF(48=$R20,$S20,12)/12,6)+$B$4),CN20-$I20)))))</f>
        <v/>
      </c>
      <c r="CP20" s="68">
        <f>IF($U20=0,0,IF($F20=4,0,IF($F20=3,0,IF(OR(49&gt;$R20,CO20&lt;=$I20),CO20,CO20-MIN(INT(ROUND(IF($F20=1,$C20*$J20,IF(GN20&gt;0,GN20*$K20,CO20*$J20))*IF(49=$R20,$S20,12)/12,6)+$B$4),CO20-$I20)))))</f>
        <v/>
      </c>
      <c r="CQ20" s="68">
        <f>IF($U20=0,0,IF($F20=4,0,IF($F20=3,0,IF(OR(50&gt;$R20,CP20&lt;=$I20),CP20,CP20-MIN(INT(ROUND(IF($F20=1,$C20*$J20,IF(GO20&gt;0,GO20*$K20,CP20*$J20))*IF(50=$R20,$S20,12)/12,6)+$B$4),CP20-$I20)))))</f>
        <v/>
      </c>
      <c r="CR20" s="68">
        <f>IF($U20=0,0,IF($F20=4,0,IF($F20=3,0,IF(OR(51&gt;$R20,CQ20&lt;=$I20),CQ20,CQ20-MIN(INT(ROUND(IF($F20=1,$C20*$J20,IF(GP20&gt;0,GP20*$K20,CQ20*$J20))*IF(51=$R20,$S20,12)/12,6)+$B$4),CQ20-$I20)))))</f>
        <v/>
      </c>
      <c r="CS20" s="68">
        <f>IF($U20=0,0,IF($F20=4,0,IF($F20=3,0,IF(OR(52&gt;$R20,CR20&lt;=$I20),CR20,CR20-MIN(INT(ROUND(IF($F20=1,$C20*$J20,IF(GQ20&gt;0,GQ20*$K20,CR20*$J20))*IF(52=$R20,$S20,12)/12,6)+$B$4),CR20-$I20)))))</f>
        <v/>
      </c>
      <c r="CT20" s="68">
        <f>IF($U20=0,0,IF($F20=4,0,IF($F20=3,0,IF(OR(53&gt;$R20,CS20&lt;=$I20),CS20,CS20-MIN(INT(ROUND(IF($F20=1,$C20*$J20,IF(GR20&gt;0,GR20*$K20,CS20*$J20))*IF(53=$R20,$S20,12)/12,6)+$B$4),CS20-$I20)))))</f>
        <v/>
      </c>
      <c r="CU20" s="68">
        <f>IF($U20=0,0,IF($F20=4,0,IF($F20=3,0,IF(OR(54&gt;$R20,CT20&lt;=$I20),CT20,CT20-MIN(INT(ROUND(IF($F20=1,$C20*$J20,IF(GS20&gt;0,GS20*$K20,CT20*$J20))*IF(54=$R20,$S20,12)/12,6)+$B$4),CT20-$I20)))))</f>
        <v/>
      </c>
      <c r="CV20" s="68">
        <f>IF($U20=0,0,IF($F20=4,0,IF($F20=3,0,IF(OR(55&gt;$R20,CU20&lt;=$I20),CU20,CU20-MIN(INT(ROUND(IF($F20=1,$C20*$J20,IF(GT20&gt;0,GT20*$K20,CU20*$J20))*IF(55=$R20,$S20,12)/12,6)+$B$4),CU20-$I20)))))</f>
        <v/>
      </c>
      <c r="CW20" s="68">
        <f>IF($U20=0,0,IF($F20=4,0,IF($F20=3,0,IF(OR(56&gt;$R20,CV20&lt;=$I20),CV20,CV20-MIN(INT(ROUND(IF($F20=1,$C20*$J20,IF(GU20&gt;0,GU20*$K20,CV20*$J20))*IF(56=$R20,$S20,12)/12,6)+$B$4),CV20-$I20)))))</f>
        <v/>
      </c>
      <c r="CX20" s="68">
        <f>IF($U20=0,0,IF($F20=4,0,IF($F20=3,0,IF(OR(57&gt;$R20,CW20&lt;=$I20),CW20,CW20-MIN(INT(ROUND(IF($F20=1,$C20*$J20,IF(GV20&gt;0,GV20*$K20,CW20*$J20))*IF(57=$R20,$S20,12)/12,6)+$B$4),CW20-$I20)))))</f>
        <v/>
      </c>
      <c r="CY20" s="68">
        <f>IF($U20=0,0,IF($F20=4,0,IF($F20=3,0,IF(OR(58&gt;$R20,CX20&lt;=$I20),CX20,CX20-MIN(INT(ROUND(IF($F20=1,$C20*$J20,IF(GW20&gt;0,GW20*$K20,CX20*$J20))*IF(58=$R20,$S20,12)/12,6)+$B$4),CX20-$I20)))))</f>
        <v/>
      </c>
      <c r="CZ20" s="68">
        <f>IF($U20=0,0,IF($F20=4,0,IF($F20=3,0,IF(OR(59&gt;$R20,CY20&lt;=$I20),CY20,CY20-MIN(INT(ROUND(IF($F20=1,$C20*$J20,IF(GX20&gt;0,GX20*$K20,CY20*$J20))*IF(59=$R20,$S20,12)/12,6)+$B$4),CY20-$I20)))))</f>
        <v/>
      </c>
      <c r="DA20" s="68">
        <f>IF($U20=0,0,IF($F20=4,0,IF($F20=3,0,IF(OR(60&gt;$R20,CZ20&lt;=$I20),CZ20,CZ20-MIN(INT(ROUND(IF($F20=1,$C20*$J20,IF(GY20&gt;0,GY20*$K20,CZ20*$J20))*IF(60=$R20,$S20,12)/12,6)+$B$4),CZ20-$I20)))))</f>
        <v/>
      </c>
      <c r="DB20" s="68">
        <f>IF($U20=0,0,IF($F20=4,0,IF($F20=3,0,IF(OR(61&gt;$R20,DA20&lt;=$I20),DA20,DA20-MIN(INT(ROUND(IF($F20=1,$C20*$J20,IF(GZ20&gt;0,GZ20*$K20,DA20*$J20))*IF(61=$R20,$S20,12)/12,6)+$B$4),DA20-$I20)))))</f>
        <v/>
      </c>
      <c r="DC20" s="68">
        <f>IF($U20=0,0,IF($F20=4,0,IF($F20=3,0,IF(OR(62&gt;$R20,DB20&lt;=$I20),DB20,DB20-MIN(INT(ROUND(IF($F20=1,$C20*$J20,IF(HA20&gt;0,HA20*$K20,DB20*$J20))*IF(62=$R20,$S20,12)/12,6)+$B$4),DB20-$I20)))))</f>
        <v/>
      </c>
      <c r="DD20" s="68">
        <f>IF($U20=0,0,IF($F20=4,0,IF($F20=3,0,IF(OR(63&gt;$R20,DC20&lt;=$I20),DC20,DC20-MIN(INT(ROUND(IF($F20=1,$C20*$J20,IF(HB20&gt;0,HB20*$K20,DC20*$J20))*IF(63=$R20,$S20,12)/12,6)+$B$4),DC20-$I20)))))</f>
        <v/>
      </c>
      <c r="DE20" s="68">
        <f>IF($U20=0,0,IF($F20=4,0,IF($F20=3,0,IF(OR(64&gt;$R20,DD20&lt;=$I20),DD20,DD20-MIN(INT(ROUND(IF($F20=1,$C20*$J20,IF(HC20&gt;0,HC20*$K20,DD20*$J20))*IF(64=$R20,$S20,12)/12,6)+$B$4),DD20-$I20)))))</f>
        <v/>
      </c>
      <c r="DF20" s="68">
        <f>IF($U20=0,0,IF($F20=4,0,IF($F20=3,0,IF(OR(65&gt;$R20,DE20&lt;=$I20),DE20,DE20-MIN(INT(ROUND(IF($F20=1,$C20*$J20,IF(HD20&gt;0,HD20*$K20,DE20*$J20))*IF(65=$R20,$S20,12)/12,6)+$B$4),DE20-$I20)))))</f>
        <v/>
      </c>
      <c r="DG20" s="68">
        <f>IF($U20=0,0,IF($F20=4,0,IF($F20=3,0,IF(OR(66&gt;$R20,DF20&lt;=$I20),DF20,DF20-MIN(INT(ROUND(IF($F20=1,$C20*$J20,IF(HE20&gt;0,HE20*$K20,DF20*$J20))*IF(66=$R20,$S20,12)/12,6)+$B$4),DF20-$I20)))))</f>
        <v/>
      </c>
      <c r="DH20" s="68">
        <f>IF($U20=0,0,IF($F20=4,0,IF($F20=3,0,IF(OR(67&gt;$R20,DG20&lt;=$I20),DG20,DG20-MIN(INT(ROUND(IF($F20=1,$C20*$J20,IF(HF20&gt;0,HF20*$K20,DG20*$J20))*IF(67=$R20,$S20,12)/12,6)+$B$4),DG20-$I20)))))</f>
        <v/>
      </c>
      <c r="DI20" s="68">
        <f>IF($U20=0,0,IF($F20=4,0,IF($F20=3,0,IF(OR(68&gt;$R20,DH20&lt;=$I20),DH20,DH20-MIN(INT(ROUND(IF($F20=1,$C20*$J20,IF(HG20&gt;0,HG20*$K20,DH20*$J20))*IF(68=$R20,$S20,12)/12,6)+$B$4),DH20-$I20)))))</f>
        <v/>
      </c>
      <c r="DJ20" s="68">
        <f>IF($U20=0,0,IF($F20=4,0,IF($F20=3,0,IF(OR(69&gt;$R20,DI20&lt;=$I20),DI20,DI20-MIN(INT(ROUND(IF($F20=1,$C20*$J20,IF(HH20&gt;0,HH20*$K20,DI20*$J20))*IF(69=$R20,$S20,12)/12,6)+$B$4),DI20-$I20)))))</f>
        <v/>
      </c>
      <c r="DK20" s="68">
        <f>IF($U20=0,0,IF($F20=4,0,IF($F20=3,0,IF(OR(70&gt;$R20,DJ20&lt;=$I20),DJ20,DJ20-MIN(INT(ROUND(IF($F20=1,$C20*$J20,IF(HI20&gt;0,HI20*$K20,DJ20*$J20))*IF(70=$R20,$S20,12)/12,6)+$B$4),DJ20-$I20)))))</f>
        <v/>
      </c>
      <c r="DL20" s="68">
        <f>IF($U20=0,0,IF($F20=4,0,IF($F20=3,0,IF(OR(71&gt;$R20,DK20&lt;=$I20),DK20,DK20-MIN(INT(ROUND(IF($F20=1,$C20*$J20,IF(HJ20&gt;0,HJ20*$K20,DK20*$J20))*IF(71=$R20,$S20,12)/12,6)+$B$4),DK20-$I20)))))</f>
        <v/>
      </c>
      <c r="DM20" s="68">
        <f>IF($U20=0,0,IF($F20=4,0,IF($F20=3,0,IF(OR(72&gt;$R20,DL20&lt;=$I20),DL20,DL20-MIN(INT(ROUND(IF($F20=1,$C20*$J20,IF(HK20&gt;0,HK20*$K20,DL20*$J20))*IF(72=$R20,$S20,12)/12,6)+$B$4),DL20-$I20)))))</f>
        <v/>
      </c>
      <c r="DN20" s="68">
        <f>IF($U20=0,0,IF($F20=4,0,IF($F20=3,0,IF(OR(73&gt;$R20,DM20&lt;=$I20),DM20,DM20-MIN(INT(ROUND(IF($F20=1,$C20*$J20,IF(HL20&gt;0,HL20*$K20,DM20*$J20))*IF(73=$R20,$S20,12)/12,6)+$B$4),DM20-$I20)))))</f>
        <v/>
      </c>
      <c r="DO20" s="68">
        <f>IF($U20=0,0,IF($F20=4,0,IF($F20=3,0,IF(OR(74&gt;$R20,DN20&lt;=$I20),DN20,DN20-MIN(INT(ROUND(IF($F20=1,$C20*$J20,IF(HM20&gt;0,HM20*$K20,DN20*$J20))*IF(74=$R20,$S20,12)/12,6)+$B$4),DN20-$I20)))))</f>
        <v/>
      </c>
      <c r="DP20" s="68">
        <f>IF($U20=0,0,IF($F20=4,0,IF($F20=3,0,IF(OR(75&gt;$R20,DO20&lt;=$I20),DO20,DO20-MIN(INT(ROUND(IF($F20=1,$C20*$J20,IF(HN20&gt;0,HN20*$K20,DO20*$J20))*IF(75=$R20,$S20,12)/12,6)+$B$4),DO20-$I20)))))</f>
        <v/>
      </c>
      <c r="DQ20" s="68">
        <f>IF($U20=0,0,IF($F20=4,0,IF($F20=3,0,IF(OR(76&gt;$R20,DP20&lt;=$I20),DP20,DP20-MIN(INT(ROUND(IF($F20=1,$C20*$J20,IF(HO20&gt;0,HO20*$K20,DP20*$J20))*IF(76=$R20,$S20,12)/12,6)+$B$4),DP20-$I20)))))</f>
        <v/>
      </c>
      <c r="DR20" s="68">
        <f>IF($U20=0,0,IF($F20=4,0,IF($F20=3,0,IF(OR(77&gt;$R20,DQ20&lt;=$I20),DQ20,DQ20-MIN(INT(ROUND(IF($F20=1,$C20*$J20,IF(HP20&gt;0,HP20*$K20,DQ20*$J20))*IF(77=$R20,$S20,12)/12,6)+$B$4),DQ20-$I20)))))</f>
        <v/>
      </c>
      <c r="DS20" s="68">
        <f>IF($U20=0,0,IF($F20=4,0,IF($F20=3,0,IF(OR(78&gt;$R20,DR20&lt;=$I20),DR20,DR20-MIN(INT(ROUND(IF($F20=1,$C20*$J20,IF(HQ20&gt;0,HQ20*$K20,DR20*$J20))*IF(78=$R20,$S20,12)/12,6)+$B$4),DR20-$I20)))))</f>
        <v/>
      </c>
      <c r="DT20" s="68">
        <f>IF($U20=0,0,IF($F20=4,0,IF($F20=3,0,IF(OR(79&gt;$R20,DS20&lt;=$I20),DS20,DS20-MIN(INT(ROUND(IF($F20=1,$C20*$J20,IF(HR20&gt;0,HR20*$K20,DS20*$J20))*IF(79=$R20,$S20,12)/12,6)+$B$4),DS20-$I20)))))</f>
        <v/>
      </c>
      <c r="DU20" s="68">
        <f>IF($U20=0,0,IF($F20=4,0,IF($F20=3,0,IF(OR(80&gt;$R20,DT20&lt;=$I20),DT20,DT20-MIN(INT(ROUND(IF($F20=1,$C20*$J20,IF(HS20&gt;0,HS20*$K20,DT20*$J20))*IF(80=$R20,$S20,12)/12,6)+$B$4),DT20-$I20)))))</f>
        <v/>
      </c>
      <c r="DV20" s="68">
        <f>IF($U20=0,0,IF($F20=4,0,IF($F20=3,0,IF(OR(81&gt;$R20,DU20&lt;=$I20),DU20,DU20-MIN(INT(ROUND(IF($F20=1,$C20*$J20,IF(HT20&gt;0,HT20*$K20,DU20*$J20))*IF(81=$R20,$S20,12)/12,6)+$B$4),DU20-$I20)))))</f>
        <v/>
      </c>
      <c r="DW20" s="68">
        <f>IF($U20=0,0,IF($F20=4,0,IF($F20=3,0,IF(OR(82&gt;$R20,DV20&lt;=$I20),DV20,DV20-MIN(INT(ROUND(IF($F20=1,$C20*$J20,IF(HU20&gt;0,HU20*$K20,DV20*$J20))*IF(82=$R20,$S20,12)/12,6)+$B$4),DV20-$I20)))))</f>
        <v/>
      </c>
      <c r="DX20" s="68">
        <f>IF($U20=0,0,IF($F20=4,0,IF($F20=3,0,IF(OR(83&gt;$R20,DW20&lt;=$I20),DW20,DW20-MIN(INT(ROUND(IF($F20=1,$C20*$J20,IF(HV20&gt;0,HV20*$K20,DW20*$J20))*IF(83=$R20,$S20,12)/12,6)+$B$4),DW20-$I20)))))</f>
        <v/>
      </c>
      <c r="DY20" s="68">
        <f>IF($U20=0,0,IF($F20=4,0,IF($F20=3,0,IF(OR(84&gt;$R20,DX20&lt;=$I20),DX20,DX20-MIN(INT(ROUND(IF($F20=1,$C20*$J20,IF(HW20&gt;0,HW20*$K20,DX20*$J20))*IF(84=$R20,$S20,12)/12,6)+$B$4),DX20-$I20)))))</f>
        <v/>
      </c>
      <c r="DZ20" s="68">
        <f>IF($U20=0,0,IF($F20=4,0,IF($F20=3,0,IF(OR(85&gt;$R20,DY20&lt;=$I20),DY20,DY20-MIN(INT(ROUND(IF($F20=1,$C20*$J20,IF(HX20&gt;0,HX20*$K20,DY20*$J20))*IF(85=$R20,$S20,12)/12,6)+$B$4),DY20-$I20)))))</f>
        <v/>
      </c>
      <c r="EA20" s="68">
        <f>IF($U20=0,0,IF($F20=4,0,IF($F20=3,0,IF(OR(86&gt;$R20,DZ20&lt;=$I20),DZ20,DZ20-MIN(INT(ROUND(IF($F20=1,$C20*$J20,IF(HY20&gt;0,HY20*$K20,DZ20*$J20))*IF(86=$R20,$S20,12)/12,6)+$B$4),DZ20-$I20)))))</f>
        <v/>
      </c>
      <c r="EB20" s="68">
        <f>IF($U20=0,0,IF($F20=4,0,IF($F20=3,0,IF(OR(87&gt;$R20,EA20&lt;=$I20),EA20,EA20-MIN(INT(ROUND(IF($F20=1,$C20*$J20,IF(HZ20&gt;0,HZ20*$K20,EA20*$J20))*IF(87=$R20,$S20,12)/12,6)+$B$4),EA20-$I20)))))</f>
        <v/>
      </c>
      <c r="EC20" s="68">
        <f>IF($U20=0,0,IF($F20=4,0,IF($F20=3,0,IF(OR(88&gt;$R20,EB20&lt;=$I20),EB20,EB20-MIN(INT(ROUND(IF($F20=1,$C20*$J20,IF(IA20&gt;0,IA20*$K20,EB20*$J20))*IF(88=$R20,$S20,12)/12,6)+$B$4),EB20-$I20)))))</f>
        <v/>
      </c>
      <c r="ED20" s="68">
        <f>IF($U20=0,0,IF($F20=4,0,IF($F20=3,0,IF(OR(89&gt;$R20,EC20&lt;=$I20),EC20,EC20-MIN(INT(ROUND(IF($F20=1,$C20*$J20,IF(IB20&gt;0,IB20*$K20,EC20*$J20))*IF(89=$R20,$S20,12)/12,6)+$B$4),EC20-$I20)))))</f>
        <v/>
      </c>
      <c r="EE20" s="68">
        <f>IF($U20=0,0,IF($F20=4,0,IF($F20=3,0,IF(OR(90&gt;$R20,ED20&lt;=$I20),ED20,ED20-MIN(INT(ROUND(IF($F20=1,$C20*$J20,IF(IC20&gt;0,IC20*$K20,ED20*$J20))*IF(90=$R20,$S20,12)/12,6)+$B$4),ED20-$I20)))))</f>
        <v/>
      </c>
      <c r="EF20" s="68">
        <f>IF($U20=0,0,IF($F20=4,0,IF($F20=3,0,IF(OR(91&gt;$R20,EE20&lt;=$I20),EE20,EE20-MIN(INT(ROUND(IF($F20=1,$C20*$J20,IF(ID20&gt;0,ID20*$K20,EE20*$J20))*IF(91=$R20,$S20,12)/12,6)+$B$4),EE20-$I20)))))</f>
        <v/>
      </c>
      <c r="EG20" s="68">
        <f>IF($U20=0,0,IF($F20=4,0,IF($F20=3,0,IF(OR(92&gt;$R20,EF20&lt;=$I20),EF20,EF20-MIN(INT(ROUND(IF($F20=1,$C20*$J20,IF(IE20&gt;0,IE20*$K20,EF20*$J20))*IF(92=$R20,$S20,12)/12,6)+$B$4),EF20-$I20)))))</f>
        <v/>
      </c>
      <c r="EH20" s="68">
        <f>IF($U20=0,0,IF($F20=4,0,IF($F20=3,0,IF(OR(93&gt;$R20,EG20&lt;=$I20),EG20,EG20-MIN(INT(ROUND(IF($F20=1,$C20*$J20,IF(IF20&gt;0,IF20*$K20,EG20*$J20))*IF(93=$R20,$S20,12)/12,6)+$B$4),EG20-$I20)))))</f>
        <v/>
      </c>
      <c r="EI20" s="68">
        <f>IF($U20=0,0,IF($F20=4,0,IF($F20=3,0,IF(OR(94&gt;$R20,EH20&lt;=$I20),EH20,EH20-MIN(INT(ROUND(IF($F20=1,$C20*$J20,IF(IG20&gt;0,IG20*$K20,EH20*$J20))*IF(94=$R20,$S20,12)/12,6)+$B$4),EH20-$I20)))))</f>
        <v/>
      </c>
      <c r="EJ20" s="68">
        <f>IF($U20=0,0,IF($F20=4,0,IF($F20=3,0,IF(OR(95&gt;$R20,EI20&lt;=$I20),EI20,EI20-MIN(INT(ROUND(IF($F20=1,$C20*$J20,IF(IH20&gt;0,IH20*$K20,EI20*$J20))*IF(95=$R20,$S20,12)/12,6)+$B$4),EI20-$I20)))))</f>
        <v/>
      </c>
      <c r="EK20" s="68">
        <f>IF($U20=0,0,IF($F20=4,0,IF($F20=3,0,IF(OR(96&gt;$R20,EJ20&lt;=$I20),EJ20,EJ20-MIN(INT(ROUND(IF($F20=1,$C20*$J20,IF(II20&gt;0,II20*$K20,EJ20*$J20))*IF(96=$R20,$S20,12)/12,6)+$B$4),EJ20-$I20)))))</f>
        <v/>
      </c>
      <c r="EL20" s="68">
        <f>IF($U20=0,0,IF($F20=4,0,IF($F20=3,0,IF(OR(97&gt;$R20,EK20&lt;=$I20),EK20,EK20-MIN(INT(ROUND(IF($F20=1,$C20*$J20,IF(IJ20&gt;0,IJ20*$K20,EK20*$J20))*IF(97=$R20,$S20,12)/12,6)+$B$4),EK20-$I20)))))</f>
        <v/>
      </c>
      <c r="EM20" s="68">
        <f>IF($U20=0,0,IF($F20=4,0,IF($F20=3,0,IF(OR(98&gt;$R20,EL20&lt;=$I20),EL20,EL20-MIN(INT(ROUND(IF($F20=1,$C20*$J20,IF(IK20&gt;0,IK20*$K20,EL20*$J20))*IF(98=$R20,$S20,12)/12,6)+$B$4),EL20-$I20)))))</f>
        <v/>
      </c>
      <c r="EN20" s="68">
        <f>IF($U20=0,0,IF($F20=4,0,IF($F20=3,0,IF(OR(99&gt;$R20,EM20&lt;=$I20),EM20,EM20-MIN(INT(ROUND(IF($F20=1,$C20*$J20,IF(IL20&gt;0,IL20*$K20,EM20*$J20))*IF(99=$R20,$S20,12)/12,6)+$B$4),EM20-$I20)))))</f>
        <v/>
      </c>
      <c r="EO20" s="68">
        <f>IF($U20=0,0,IF($F20=4,0,IF($F20=3,0,IF(OR(100&gt;$R20,EN20&lt;=$I20),EN20,EN20-MIN(INT(ROUND(IF($F20=1,$C20*$J20,IF(IM20&gt;0,IM20*$K20,EN20*$J20))*IF(100=$R20,$S20,12)/12,6)+$B$4),EN20-$I20)))))</f>
        <v/>
      </c>
      <c r="EP20" s="68">
        <f>IF($U20=0,0,IF($F20=4,0,IF($F20=3,0,IF(OR(101&gt;$R20,EO20&lt;=$I20),EO20,EO20-MIN(INT(ROUND(IF($F20=1,$C20*$J20,IF(IN20&gt;0,IN20*$K20,EO20*$J20))*IF(101=$R20,$S20,12)/12,6)+$B$4),EO20-$I20)))))</f>
        <v/>
      </c>
      <c r="EQ20" s="68" t="n"/>
      <c r="ER20" s="68">
        <f>IF(OR($U20=0,$F20&lt;&gt;2),0,IF(ROUND(AS20*$J20,6)&lt;ROUND($M20,6),AS20,0))</f>
        <v/>
      </c>
      <c r="ES20" s="68">
        <f>IF(OR($U20=0,$F20&lt;&gt;2),0,IF(ER20&gt;0,ER20,IF(ROUND(AT20*$J20,6)&lt;ROUND($M20,6),AT20,0)))</f>
        <v/>
      </c>
      <c r="ET20" s="68">
        <f>IF(OR($U20=0,$F20&lt;&gt;2),0,IF(ES20&gt;0,ES20,IF(ROUND(AU20*$J20,6)&lt;ROUND($M20,6),AU20,0)))</f>
        <v/>
      </c>
      <c r="EU20" s="68">
        <f>IF(OR($U20=0,$F20&lt;&gt;2),0,IF(ET20&gt;0,ET20,IF(ROUND(AV20*$J20,6)&lt;ROUND($M20,6),AV20,0)))</f>
        <v/>
      </c>
      <c r="EV20" s="68">
        <f>IF(OR($U20=0,$F20&lt;&gt;2),0,IF(EU20&gt;0,EU20,IF(ROUND(AW20*$J20,6)&lt;ROUND($M20,6),AW20,0)))</f>
        <v/>
      </c>
      <c r="EW20" s="68">
        <f>IF(OR($U20=0,$F20&lt;&gt;2),0,IF(EV20&gt;0,EV20,IF(ROUND(AX20*$J20,6)&lt;ROUND($M20,6),AX20,0)))</f>
        <v/>
      </c>
      <c r="EX20" s="68">
        <f>IF(OR($U20=0,$F20&lt;&gt;2),0,IF(EW20&gt;0,EW20,IF(ROUND(AY20*$J20,6)&lt;ROUND($M20,6),AY20,0)))</f>
        <v/>
      </c>
      <c r="EY20" s="68">
        <f>IF(OR($U20=0,$F20&lt;&gt;2),0,IF(EX20&gt;0,EX20,IF(ROUND(AZ20*$J20,6)&lt;ROUND($M20,6),AZ20,0)))</f>
        <v/>
      </c>
      <c r="EZ20" s="68">
        <f>IF(OR($U20=0,$F20&lt;&gt;2),0,IF(EY20&gt;0,EY20,IF(ROUND(BA20*$J20,6)&lt;ROUND($M20,6),BA20,0)))</f>
        <v/>
      </c>
      <c r="FA20" s="68">
        <f>IF(OR($U20=0,$F20&lt;&gt;2),0,IF(EZ20&gt;0,EZ20,IF(ROUND(BB20*$J20,6)&lt;ROUND($M20,6),BB20,0)))</f>
        <v/>
      </c>
      <c r="FB20" s="68">
        <f>IF(OR($U20=0,$F20&lt;&gt;2),0,IF(FA20&gt;0,FA20,IF(ROUND(BC20*$J20,6)&lt;ROUND($M20,6),BC20,0)))</f>
        <v/>
      </c>
      <c r="FC20" s="68">
        <f>IF(OR($U20=0,$F20&lt;&gt;2),0,IF(FB20&gt;0,FB20,IF(ROUND(BD20*$J20,6)&lt;ROUND($M20,6),BD20,0)))</f>
        <v/>
      </c>
      <c r="FD20" s="68">
        <f>IF(OR($U20=0,$F20&lt;&gt;2),0,IF(FC20&gt;0,FC20,IF(ROUND(BE20*$J20,6)&lt;ROUND($M20,6),BE20,0)))</f>
        <v/>
      </c>
      <c r="FE20" s="68">
        <f>IF(OR($U20=0,$F20&lt;&gt;2),0,IF(FD20&gt;0,FD20,IF(ROUND(BF20*$J20,6)&lt;ROUND($M20,6),BF20,0)))</f>
        <v/>
      </c>
      <c r="FF20" s="68">
        <f>IF(OR($U20=0,$F20&lt;&gt;2),0,IF(FE20&gt;0,FE20,IF(ROUND(BG20*$J20,6)&lt;ROUND($M20,6),BG20,0)))</f>
        <v/>
      </c>
      <c r="FG20" s="68">
        <f>IF(OR($U20=0,$F20&lt;&gt;2),0,IF(FF20&gt;0,FF20,IF(ROUND(BH20*$J20,6)&lt;ROUND($M20,6),BH20,0)))</f>
        <v/>
      </c>
      <c r="FH20" s="68">
        <f>IF(OR($U20=0,$F20&lt;&gt;2),0,IF(FG20&gt;0,FG20,IF(ROUND(BI20*$J20,6)&lt;ROUND($M20,6),BI20,0)))</f>
        <v/>
      </c>
      <c r="FI20" s="68">
        <f>IF(OR($U20=0,$F20&lt;&gt;2),0,IF(FH20&gt;0,FH20,IF(ROUND(BJ20*$J20,6)&lt;ROUND($M20,6),BJ20,0)))</f>
        <v/>
      </c>
      <c r="FJ20" s="68">
        <f>IF(OR($U20=0,$F20&lt;&gt;2),0,IF(FI20&gt;0,FI20,IF(ROUND(BK20*$J20,6)&lt;ROUND($M20,6),BK20,0)))</f>
        <v/>
      </c>
      <c r="FK20" s="68">
        <f>IF(OR($U20=0,$F20&lt;&gt;2),0,IF(FJ20&gt;0,FJ20,IF(ROUND(BL20*$J20,6)&lt;ROUND($M20,6),BL20,0)))</f>
        <v/>
      </c>
      <c r="FL20" s="68">
        <f>IF(OR($U20=0,$F20&lt;&gt;2),0,IF(FK20&gt;0,FK20,IF(ROUND(BM20*$J20,6)&lt;ROUND($M20,6),BM20,0)))</f>
        <v/>
      </c>
      <c r="FM20" s="68">
        <f>IF(OR($U20=0,$F20&lt;&gt;2),0,IF(FL20&gt;0,FL20,IF(ROUND(BN20*$J20,6)&lt;ROUND($M20,6),BN20,0)))</f>
        <v/>
      </c>
      <c r="FN20" s="68">
        <f>IF(OR($U20=0,$F20&lt;&gt;2),0,IF(FM20&gt;0,FM20,IF(ROUND(BO20*$J20,6)&lt;ROUND($M20,6),BO20,0)))</f>
        <v/>
      </c>
      <c r="FO20" s="68">
        <f>IF(OR($U20=0,$F20&lt;&gt;2),0,IF(FN20&gt;0,FN20,IF(ROUND(BP20*$J20,6)&lt;ROUND($M20,6),BP20,0)))</f>
        <v/>
      </c>
      <c r="FP20" s="68">
        <f>IF(OR($U20=0,$F20&lt;&gt;2),0,IF(FO20&gt;0,FO20,IF(ROUND(BQ20*$J20,6)&lt;ROUND($M20,6),BQ20,0)))</f>
        <v/>
      </c>
      <c r="FQ20" s="68">
        <f>IF(OR($U20=0,$F20&lt;&gt;2),0,IF(FP20&gt;0,FP20,IF(ROUND(BR20*$J20,6)&lt;ROUND($M20,6),BR20,0)))</f>
        <v/>
      </c>
      <c r="FR20" s="68">
        <f>IF(OR($U20=0,$F20&lt;&gt;2),0,IF(FQ20&gt;0,FQ20,IF(ROUND(BS20*$J20,6)&lt;ROUND($M20,6),BS20,0)))</f>
        <v/>
      </c>
      <c r="FS20" s="68">
        <f>IF(OR($U20=0,$F20&lt;&gt;2),0,IF(FR20&gt;0,FR20,IF(ROUND(BT20*$J20,6)&lt;ROUND($M20,6),BT20,0)))</f>
        <v/>
      </c>
      <c r="FT20" s="68">
        <f>IF(OR($U20=0,$F20&lt;&gt;2),0,IF(FS20&gt;0,FS20,IF(ROUND(BU20*$J20,6)&lt;ROUND($M20,6),BU20,0)))</f>
        <v/>
      </c>
      <c r="FU20" s="68">
        <f>IF(OR($U20=0,$F20&lt;&gt;2),0,IF(FT20&gt;0,FT20,IF(ROUND(BV20*$J20,6)&lt;ROUND($M20,6),BV20,0)))</f>
        <v/>
      </c>
      <c r="FV20" s="68">
        <f>IF(OR($U20=0,$F20&lt;&gt;2),0,IF(FU20&gt;0,FU20,IF(ROUND(BW20*$J20,6)&lt;ROUND($M20,6),BW20,0)))</f>
        <v/>
      </c>
      <c r="FW20" s="68">
        <f>IF(OR($U20=0,$F20&lt;&gt;2),0,IF(FV20&gt;0,FV20,IF(ROUND(BX20*$J20,6)&lt;ROUND($M20,6),BX20,0)))</f>
        <v/>
      </c>
      <c r="FX20" s="68">
        <f>IF(OR($U20=0,$F20&lt;&gt;2),0,IF(FW20&gt;0,FW20,IF(ROUND(BY20*$J20,6)&lt;ROUND($M20,6),BY20,0)))</f>
        <v/>
      </c>
      <c r="FY20" s="68">
        <f>IF(OR($U20=0,$F20&lt;&gt;2),0,IF(FX20&gt;0,FX20,IF(ROUND(BZ20*$J20,6)&lt;ROUND($M20,6),BZ20,0)))</f>
        <v/>
      </c>
      <c r="FZ20" s="68">
        <f>IF(OR($U20=0,$F20&lt;&gt;2),0,IF(FY20&gt;0,FY20,IF(ROUND(CA20*$J20,6)&lt;ROUND($M20,6),CA20,0)))</f>
        <v/>
      </c>
      <c r="GA20" s="68">
        <f>IF(OR($U20=0,$F20&lt;&gt;2),0,IF(FZ20&gt;0,FZ20,IF(ROUND(CB20*$J20,6)&lt;ROUND($M20,6),CB20,0)))</f>
        <v/>
      </c>
      <c r="GB20" s="68">
        <f>IF(OR($U20=0,$F20&lt;&gt;2),0,IF(GA20&gt;0,GA20,IF(ROUND(CC20*$J20,6)&lt;ROUND($M20,6),CC20,0)))</f>
        <v/>
      </c>
      <c r="GC20" s="68">
        <f>IF(OR($U20=0,$F20&lt;&gt;2),0,IF(GB20&gt;0,GB20,IF(ROUND(CD20*$J20,6)&lt;ROUND($M20,6),CD20,0)))</f>
        <v/>
      </c>
      <c r="GD20" s="68">
        <f>IF(OR($U20=0,$F20&lt;&gt;2),0,IF(GC20&gt;0,GC20,IF(ROUND(CE20*$J20,6)&lt;ROUND($M20,6),CE20,0)))</f>
        <v/>
      </c>
      <c r="GE20" s="68">
        <f>IF(OR($U20=0,$F20&lt;&gt;2),0,IF(GD20&gt;0,GD20,IF(ROUND(CF20*$J20,6)&lt;ROUND($M20,6),CF20,0)))</f>
        <v/>
      </c>
      <c r="GF20" s="68">
        <f>IF(OR($U20=0,$F20&lt;&gt;2),0,IF(GE20&gt;0,GE20,IF(ROUND(CG20*$J20,6)&lt;ROUND($M20,6),CG20,0)))</f>
        <v/>
      </c>
      <c r="GG20" s="68">
        <f>IF(OR($U20=0,$F20&lt;&gt;2),0,IF(GF20&gt;0,GF20,IF(ROUND(CH20*$J20,6)&lt;ROUND($M20,6),CH20,0)))</f>
        <v/>
      </c>
      <c r="GH20" s="68">
        <f>IF(OR($U20=0,$F20&lt;&gt;2),0,IF(GG20&gt;0,GG20,IF(ROUND(CI20*$J20,6)&lt;ROUND($M20,6),CI20,0)))</f>
        <v/>
      </c>
      <c r="GI20" s="68">
        <f>IF(OR($U20=0,$F20&lt;&gt;2),0,IF(GH20&gt;0,GH20,IF(ROUND(CJ20*$J20,6)&lt;ROUND($M20,6),CJ20,0)))</f>
        <v/>
      </c>
      <c r="GJ20" s="68">
        <f>IF(OR($U20=0,$F20&lt;&gt;2),0,IF(GI20&gt;0,GI20,IF(ROUND(CK20*$J20,6)&lt;ROUND($M20,6),CK20,0)))</f>
        <v/>
      </c>
      <c r="GK20" s="68">
        <f>IF(OR($U20=0,$F20&lt;&gt;2),0,IF(GJ20&gt;0,GJ20,IF(ROUND(CL20*$J20,6)&lt;ROUND($M20,6),CL20,0)))</f>
        <v/>
      </c>
      <c r="GL20" s="68">
        <f>IF(OR($U20=0,$F20&lt;&gt;2),0,IF(GK20&gt;0,GK20,IF(ROUND(CM20*$J20,6)&lt;ROUND($M20,6),CM20,0)))</f>
        <v/>
      </c>
      <c r="GM20" s="68">
        <f>IF(OR($U20=0,$F20&lt;&gt;2),0,IF(GL20&gt;0,GL20,IF(ROUND(CN20*$J20,6)&lt;ROUND($M20,6),CN20,0)))</f>
        <v/>
      </c>
      <c r="GN20" s="68">
        <f>IF(OR($U20=0,$F20&lt;&gt;2),0,IF(GM20&gt;0,GM20,IF(ROUND(CO20*$J20,6)&lt;ROUND($M20,6),CO20,0)))</f>
        <v/>
      </c>
      <c r="GO20" s="68">
        <f>IF(OR($U20=0,$F20&lt;&gt;2),0,IF(GN20&gt;0,GN20,IF(ROUND(CP20*$J20,6)&lt;ROUND($M20,6),CP20,0)))</f>
        <v/>
      </c>
      <c r="GP20" s="68">
        <f>IF(OR($U20=0,$F20&lt;&gt;2),0,IF(GO20&gt;0,GO20,IF(ROUND(CQ20*$J20,6)&lt;ROUND($M20,6),CQ20,0)))</f>
        <v/>
      </c>
      <c r="GQ20" s="68">
        <f>IF(OR($U20=0,$F20&lt;&gt;2),0,IF(GP20&gt;0,GP20,IF(ROUND(CR20*$J20,6)&lt;ROUND($M20,6),CR20,0)))</f>
        <v/>
      </c>
      <c r="GR20" s="68">
        <f>IF(OR($U20=0,$F20&lt;&gt;2),0,IF(GQ20&gt;0,GQ20,IF(ROUND(CS20*$J20,6)&lt;ROUND($M20,6),CS20,0)))</f>
        <v/>
      </c>
      <c r="GS20" s="68">
        <f>IF(OR($U20=0,$F20&lt;&gt;2),0,IF(GR20&gt;0,GR20,IF(ROUND(CT20*$J20,6)&lt;ROUND($M20,6),CT20,0)))</f>
        <v/>
      </c>
      <c r="GT20" s="68">
        <f>IF(OR($U20=0,$F20&lt;&gt;2),0,IF(GS20&gt;0,GS20,IF(ROUND(CU20*$J20,6)&lt;ROUND($M20,6),CU20,0)))</f>
        <v/>
      </c>
      <c r="GU20" s="68">
        <f>IF(OR($U20=0,$F20&lt;&gt;2),0,IF(GT20&gt;0,GT20,IF(ROUND(CV20*$J20,6)&lt;ROUND($M20,6),CV20,0)))</f>
        <v/>
      </c>
      <c r="GV20" s="68">
        <f>IF(OR($U20=0,$F20&lt;&gt;2),0,IF(GU20&gt;0,GU20,IF(ROUND(CW20*$J20,6)&lt;ROUND($M20,6),CW20,0)))</f>
        <v/>
      </c>
      <c r="GW20" s="68">
        <f>IF(OR($U20=0,$F20&lt;&gt;2),0,IF(GV20&gt;0,GV20,IF(ROUND(CX20*$J20,6)&lt;ROUND($M20,6),CX20,0)))</f>
        <v/>
      </c>
      <c r="GX20" s="68">
        <f>IF(OR($U20=0,$F20&lt;&gt;2),0,IF(GW20&gt;0,GW20,IF(ROUND(CY20*$J20,6)&lt;ROUND($M20,6),CY20,0)))</f>
        <v/>
      </c>
      <c r="GY20" s="68">
        <f>IF(OR($U20=0,$F20&lt;&gt;2),0,IF(GX20&gt;0,GX20,IF(ROUND(CZ20*$J20,6)&lt;ROUND($M20,6),CZ20,0)))</f>
        <v/>
      </c>
      <c r="GZ20" s="68">
        <f>IF(OR($U20=0,$F20&lt;&gt;2),0,IF(GY20&gt;0,GY20,IF(ROUND(DA20*$J20,6)&lt;ROUND($M20,6),DA20,0)))</f>
        <v/>
      </c>
      <c r="HA20" s="68">
        <f>IF(OR($U20=0,$F20&lt;&gt;2),0,IF(GZ20&gt;0,GZ20,IF(ROUND(DB20*$J20,6)&lt;ROUND($M20,6),DB20,0)))</f>
        <v/>
      </c>
      <c r="HB20" s="68">
        <f>IF(OR($U20=0,$F20&lt;&gt;2),0,IF(HA20&gt;0,HA20,IF(ROUND(DC20*$J20,6)&lt;ROUND($M20,6),DC20,0)))</f>
        <v/>
      </c>
      <c r="HC20" s="68">
        <f>IF(OR($U20=0,$F20&lt;&gt;2),0,IF(HB20&gt;0,HB20,IF(ROUND(DD20*$J20,6)&lt;ROUND($M20,6),DD20,0)))</f>
        <v/>
      </c>
      <c r="HD20" s="68">
        <f>IF(OR($U20=0,$F20&lt;&gt;2),0,IF(HC20&gt;0,HC20,IF(ROUND(DE20*$J20,6)&lt;ROUND($M20,6),DE20,0)))</f>
        <v/>
      </c>
      <c r="HE20" s="68">
        <f>IF(OR($U20=0,$F20&lt;&gt;2),0,IF(HD20&gt;0,HD20,IF(ROUND(DF20*$J20,6)&lt;ROUND($M20,6),DF20,0)))</f>
        <v/>
      </c>
      <c r="HF20" s="68">
        <f>IF(OR($U20=0,$F20&lt;&gt;2),0,IF(HE20&gt;0,HE20,IF(ROUND(DG20*$J20,6)&lt;ROUND($M20,6),DG20,0)))</f>
        <v/>
      </c>
      <c r="HG20" s="68">
        <f>IF(OR($U20=0,$F20&lt;&gt;2),0,IF(HF20&gt;0,HF20,IF(ROUND(DH20*$J20,6)&lt;ROUND($M20,6),DH20,0)))</f>
        <v/>
      </c>
      <c r="HH20" s="68">
        <f>IF(OR($U20=0,$F20&lt;&gt;2),0,IF(HG20&gt;0,HG20,IF(ROUND(DI20*$J20,6)&lt;ROUND($M20,6),DI20,0)))</f>
        <v/>
      </c>
      <c r="HI20" s="68">
        <f>IF(OR($U20=0,$F20&lt;&gt;2),0,IF(HH20&gt;0,HH20,IF(ROUND(DJ20*$J20,6)&lt;ROUND($M20,6),DJ20,0)))</f>
        <v/>
      </c>
      <c r="HJ20" s="68">
        <f>IF(OR($U20=0,$F20&lt;&gt;2),0,IF(HI20&gt;0,HI20,IF(ROUND(DK20*$J20,6)&lt;ROUND($M20,6),DK20,0)))</f>
        <v/>
      </c>
      <c r="HK20" s="68">
        <f>IF(OR($U20=0,$F20&lt;&gt;2),0,IF(HJ20&gt;0,HJ20,IF(ROUND(DL20*$J20,6)&lt;ROUND($M20,6),DL20,0)))</f>
        <v/>
      </c>
      <c r="HL20" s="68">
        <f>IF(OR($U20=0,$F20&lt;&gt;2),0,IF(HK20&gt;0,HK20,IF(ROUND(DM20*$J20,6)&lt;ROUND($M20,6),DM20,0)))</f>
        <v/>
      </c>
      <c r="HM20" s="68">
        <f>IF(OR($U20=0,$F20&lt;&gt;2),0,IF(HL20&gt;0,HL20,IF(ROUND(DN20*$J20,6)&lt;ROUND($M20,6),DN20,0)))</f>
        <v/>
      </c>
      <c r="HN20" s="68">
        <f>IF(OR($U20=0,$F20&lt;&gt;2),0,IF(HM20&gt;0,HM20,IF(ROUND(DO20*$J20,6)&lt;ROUND($M20,6),DO20,0)))</f>
        <v/>
      </c>
      <c r="HO20" s="68">
        <f>IF(OR($U20=0,$F20&lt;&gt;2),0,IF(HN20&gt;0,HN20,IF(ROUND(DP20*$J20,6)&lt;ROUND($M20,6),DP20,0)))</f>
        <v/>
      </c>
      <c r="HP20" s="68">
        <f>IF(OR($U20=0,$F20&lt;&gt;2),0,IF(HO20&gt;0,HO20,IF(ROUND(DQ20*$J20,6)&lt;ROUND($M20,6),DQ20,0)))</f>
        <v/>
      </c>
      <c r="HQ20" s="68">
        <f>IF(OR($U20=0,$F20&lt;&gt;2),0,IF(HP20&gt;0,HP20,IF(ROUND(DR20*$J20,6)&lt;ROUND($M20,6),DR20,0)))</f>
        <v/>
      </c>
      <c r="HR20" s="68">
        <f>IF(OR($U20=0,$F20&lt;&gt;2),0,IF(HQ20&gt;0,HQ20,IF(ROUND(DS20*$J20,6)&lt;ROUND($M20,6),DS20,0)))</f>
        <v/>
      </c>
      <c r="HS20" s="68">
        <f>IF(OR($U20=0,$F20&lt;&gt;2),0,IF(HR20&gt;0,HR20,IF(ROUND(DT20*$J20,6)&lt;ROUND($M20,6),DT20,0)))</f>
        <v/>
      </c>
      <c r="HT20" s="68">
        <f>IF(OR($U20=0,$F20&lt;&gt;2),0,IF(HS20&gt;0,HS20,IF(ROUND(DU20*$J20,6)&lt;ROUND($M20,6),DU20,0)))</f>
        <v/>
      </c>
      <c r="HU20" s="68">
        <f>IF(OR($U20=0,$F20&lt;&gt;2),0,IF(HT20&gt;0,HT20,IF(ROUND(DV20*$J20,6)&lt;ROUND($M20,6),DV20,0)))</f>
        <v/>
      </c>
      <c r="HV20" s="68">
        <f>IF(OR($U20=0,$F20&lt;&gt;2),0,IF(HU20&gt;0,HU20,IF(ROUND(DW20*$J20,6)&lt;ROUND($M20,6),DW20,0)))</f>
        <v/>
      </c>
      <c r="HW20" s="68">
        <f>IF(OR($U20=0,$F20&lt;&gt;2),0,IF(HV20&gt;0,HV20,IF(ROUND(DX20*$J20,6)&lt;ROUND($M20,6),DX20,0)))</f>
        <v/>
      </c>
      <c r="HX20" s="68">
        <f>IF(OR($U20=0,$F20&lt;&gt;2),0,IF(HW20&gt;0,HW20,IF(ROUND(DY20*$J20,6)&lt;ROUND($M20,6),DY20,0)))</f>
        <v/>
      </c>
      <c r="HY20" s="68">
        <f>IF(OR($U20=0,$F20&lt;&gt;2),0,IF(HX20&gt;0,HX20,IF(ROUND(DZ20*$J20,6)&lt;ROUND($M20,6),DZ20,0)))</f>
        <v/>
      </c>
      <c r="HZ20" s="68">
        <f>IF(OR($U20=0,$F20&lt;&gt;2),0,IF(HY20&gt;0,HY20,IF(ROUND(EA20*$J20,6)&lt;ROUND($M20,6),EA20,0)))</f>
        <v/>
      </c>
      <c r="IA20" s="68">
        <f>IF(OR($U20=0,$F20&lt;&gt;2),0,IF(HZ20&gt;0,HZ20,IF(ROUND(EB20*$J20,6)&lt;ROUND($M20,6),EB20,0)))</f>
        <v/>
      </c>
      <c r="IB20" s="68">
        <f>IF(OR($U20=0,$F20&lt;&gt;2),0,IF(IA20&gt;0,IA20,IF(ROUND(EC20*$J20,6)&lt;ROUND($M20,6),EC20,0)))</f>
        <v/>
      </c>
      <c r="IC20" s="68">
        <f>IF(OR($U20=0,$F20&lt;&gt;2),0,IF(IB20&gt;0,IB20,IF(ROUND(ED20*$J20,6)&lt;ROUND($M20,6),ED20,0)))</f>
        <v/>
      </c>
      <c r="ID20" s="68">
        <f>IF(OR($U20=0,$F20&lt;&gt;2),0,IF(IC20&gt;0,IC20,IF(ROUND(EE20*$J20,6)&lt;ROUND($M20,6),EE20,0)))</f>
        <v/>
      </c>
      <c r="IE20" s="68">
        <f>IF(OR($U20=0,$F20&lt;&gt;2),0,IF(ID20&gt;0,ID20,IF(ROUND(EF20*$J20,6)&lt;ROUND($M20,6),EF20,0)))</f>
        <v/>
      </c>
      <c r="IF20" s="68">
        <f>IF(OR($U20=0,$F20&lt;&gt;2),0,IF(IE20&gt;0,IE20,IF(ROUND(EG20*$J20,6)&lt;ROUND($M20,6),EG20,0)))</f>
        <v/>
      </c>
      <c r="IG20" s="68">
        <f>IF(OR($U20=0,$F20&lt;&gt;2),0,IF(IF20&gt;0,IF20,IF(ROUND(EH20*$J20,6)&lt;ROUND($M20,6),EH20,0)))</f>
        <v/>
      </c>
      <c r="IH20" s="68">
        <f>IF(OR($U20=0,$F20&lt;&gt;2),0,IF(IG20&gt;0,IG20,IF(ROUND(EI20*$J20,6)&lt;ROUND($M20,6),EI20,0)))</f>
        <v/>
      </c>
      <c r="II20" s="68">
        <f>IF(OR($U20=0,$F20&lt;&gt;2),0,IF(IH20&gt;0,IH20,IF(ROUND(EJ20*$J20,6)&lt;ROUND($M20,6),EJ20,0)))</f>
        <v/>
      </c>
      <c r="IJ20" s="68">
        <f>IF(OR($U20=0,$F20&lt;&gt;2),0,IF(II20&gt;0,II20,IF(ROUND(EK20*$J20,6)&lt;ROUND($M20,6),EK20,0)))</f>
        <v/>
      </c>
      <c r="IK20" s="68">
        <f>IF(OR($U20=0,$F20&lt;&gt;2),0,IF(IJ20&gt;0,IJ20,IF(ROUND(EL20*$J20,6)&lt;ROUND($M20,6),EL20,0)))</f>
        <v/>
      </c>
      <c r="IL20" s="68">
        <f>IF(OR($U20=0,$F20&lt;&gt;2),0,IF(IK20&gt;0,IK20,IF(ROUND(EM20*$J20,6)&lt;ROUND($M20,6),EM20,0)))</f>
        <v/>
      </c>
      <c r="IM20" s="68">
        <f>IF(OR($U20=0,$F20&lt;&gt;2),0,IF(IL20&gt;0,IL20,IF(ROUND(EN20*$J20,6)&lt;ROUND($M20,6),EN20,0)))</f>
        <v/>
      </c>
      <c r="IN20" s="68">
        <f>IF(OR($U20=0,$F20&lt;&gt;2),0,IF(IM20&gt;0,IM20,IF(ROUND(EO20*$J20,6)&lt;ROUND($M20,6),EO20,0)))</f>
        <v/>
      </c>
    </row>
    <row r="21">
      <c r="A21" s="68" t="n">
        <v>16</v>
      </c>
      <c r="B21" s="68">
        <f>IF(OR(TRIM('固定資産台帳'!$B21)&lt;&gt;"",'固定資産台帳'!$E21&lt;&gt;"",'固定資産台帳'!$G21&lt;&gt;"",'固定資産台帳'!$H21&lt;&gt;""),1,0)</f>
        <v/>
      </c>
      <c r="C21" s="68">
        <f>IF(ISNUMBER('固定資産台帳'!$G21),MAX(ROUND('固定資産台帳'!$G21,0),0),0)</f>
        <v/>
      </c>
      <c r="D21" s="84">
        <f>IF(ISNUMBER('固定資産台帳'!$E21),INT('固定資産台帳'!$E21),0)</f>
        <v/>
      </c>
      <c r="E21" s="84">
        <f>IF(ISNUMBER('固定資産台帳'!$F21),INT('固定資産台帳'!$F21),$D21)</f>
        <v/>
      </c>
      <c r="F21" s="68">
        <f>IF('固定資産台帳'!$H21="定額法",1,IF(OR('固定資産台帳'!$H21="定率法",'固定資産台帳'!$H21="定率法（200%）",'固定資産台帳'!$H21="定率法（250%）"),2,IF('固定資産台帳'!$H21="一括償却（3年）",3,IF('固定資産台帳'!$H21="少額特例",4,0))))</f>
        <v/>
      </c>
      <c r="G21" s="68">
        <f>IF('固定資産台帳'!$H21="定率法（250%）",250,IF('固定資産台帳'!$H21="定率法（200%）",200,IF($D21&gt;=DATE(2012,4,1),200,250)))</f>
        <v/>
      </c>
      <c r="H21" s="68">
        <f>IF(ISNUMBER('固定資産台帳'!$I21),IF(AND('固定資産台帳'!$I21&gt;=2,'固定資産台帳'!$I21&lt;=100,'固定資産台帳'!$I21=INT('固定資産台帳'!$I21)),'固定資産台帳'!$I21,0),0)</f>
        <v/>
      </c>
      <c r="I21" s="68">
        <f>IF('固定資産台帳'!$C21="無形固定資産",0,1)</f>
        <v/>
      </c>
      <c r="J21" s="68">
        <f>IF(OR($H21=0,$F21=0,$F21&gt;2),0,IF($F21=1,INDEX('償却率表'!$B$6:$B$104,$H21-1),IF($G21=200,INDEX('償却率表'!$C$6:$C$104,$H21-1),INDEX('償却率表'!$F$6:$F$104,$H21-1))))</f>
        <v/>
      </c>
      <c r="K21" s="68">
        <f>IF(AND($F21=2,$H21&gt;0),IF($G21=200,INDEX('償却率表'!$D$6:$D$104,$H21-1),INDEX('償却率表'!$G$6:$G$104,$H21-1)),0)</f>
        <v/>
      </c>
      <c r="L21" s="68">
        <f>IF(AND($F21=2,$H21&gt;0),IF($G21=200,INDEX('償却率表'!$E$6:$E$104,$H21-1),INDEX('償却率表'!$H$6:$H$104,$H21-1)),0)</f>
        <v/>
      </c>
      <c r="M21" s="68">
        <f>$C21*$L21</f>
        <v/>
      </c>
      <c r="N21" s="68">
        <f>IF($B$1=1,1,IF('固定資産台帳'!$J21="",1,IF(ISNUMBER('固定資産台帳'!$J21),IF(AND('固定資産台帳'!$J21&gt;0,'固定資産台帳'!$J21&lt;=1),'固定資産台帳'!$J21,0),0)))</f>
        <v/>
      </c>
      <c r="O21" s="68">
        <f>IF($E21=0,0,YEAR($E21)-IF(MONTH($E21)&lt;$B$2,1,0))</f>
        <v/>
      </c>
      <c r="P21" s="68">
        <f>IF($E21=0,0,12-MOD(MONTH($E21)-$B$2,12))</f>
        <v/>
      </c>
      <c r="Q21" s="84">
        <f>IF(ISNUMBER('固定資産台帳'!$K21),INT('固定資産台帳'!$K21),0)</f>
        <v/>
      </c>
      <c r="R21" s="68">
        <f>IF(OR($Q21=0,$E21=0),999,YEAR($Q21)-IF(MONTH($Q21)&lt;$B$2,1,0)-$O21)</f>
        <v/>
      </c>
      <c r="S21" s="68">
        <f>IF($R21=999,0,MOD(MONTH($Q21)-$B$2,12)+1-IF($R21=0,12-$P21,0))</f>
        <v/>
      </c>
      <c r="T21" s="68">
        <f>IF($B21=0,0,IF($C21&lt;=0,1,IF($D21=0,2,IF($F21=0,3,IF(AND($F21&lt;=2,$H21=0),4,IF(AND($F21&lt;=2,$D21&lt;DATE(2007,4,1)),5,IF($E21&lt;$D21,6,IF(AND($Q21&gt;0,$Q21&lt;$E21),7,IF($N21=0,8,IF($B$3=0,9,0))))))))))</f>
        <v/>
      </c>
      <c r="U21" s="68">
        <f>IF(AND($B21=1,$T21=0),1,0)</f>
        <v/>
      </c>
      <c r="V21" s="68">
        <f>$B$3-$O21</f>
        <v/>
      </c>
      <c r="W21" s="68">
        <f>IF(AND($U21=1,$V21&gt;=0),1,0)</f>
        <v/>
      </c>
      <c r="X21" s="68">
        <f>IF($W21=0,0,IF($V21=0,$C21,INDEX($AS21:$EP21,MIN($V21,102))))</f>
        <v/>
      </c>
      <c r="Y21" s="68">
        <f>IF($W21=0,0,INDEX($AS21:$EP21,MIN($V21,101)+1))</f>
        <v/>
      </c>
      <c r="Z21" s="68">
        <f>$X21-$Y21</f>
        <v/>
      </c>
      <c r="AA21" s="68">
        <f>IF(AND($W21=1,$F21=2,$V21&gt;=1),INDEX($ER21:$IN21,MIN($V21,101)),0)</f>
        <v/>
      </c>
      <c r="AB21" s="68">
        <f>IF(OR($W21=0,$F21&gt;2,$Z21=0),0,IF($V21=0,IF($R21=0,$S21,$P21),IF($V21=$R21,$S21,12)))</f>
        <v/>
      </c>
      <c r="AC21" s="68">
        <f>IF($W21=0,0,INT(ROUND($Z21*$N21,6)+$B$4))</f>
        <v/>
      </c>
      <c r="AD21" s="68">
        <f>IF(AND($W21=1,$F21&lt;=2,$V21=$R21),1,0)</f>
        <v/>
      </c>
      <c r="AE21" s="68">
        <f>IF(AND($W21=1,$F21&lt;=2,$V21&gt;$R21),1,0)</f>
        <v/>
      </c>
      <c r="AF21" s="68">
        <f>IF(AND($W21=1,$AE21=0,OR($Z21&gt;0,$AD21=1)),1,0)</f>
        <v/>
      </c>
      <c r="AG21" s="68">
        <f>IF($AF21=1,SUM($AF$6:$AF21),0)</f>
        <v/>
      </c>
      <c r="AH21" s="68">
        <f>IF($T21=0,"",CHOOSE($T21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21" s="68">
        <f>IF(AND($F21=2,OR('固定資産台帳'!$C21="建物",'固定資産台帳'!$C21="無形固定資産",AND(OR('固定資産台帳'!$C21="建物附属設備",'固定資産台帳'!$C21="構築物"),$D21&gt;=DATE(2016,4,1)))),"この資産は定額法だけです（定率法は使えません）。","")&amp;IF(AND($F21=3,$C21&gt;=200000),"一括償却は20万円未満の資産だけです。","")&amp;IF(AND($F21=3,$B$1=0,$C21&lt;100000),"10万円未満は一括償却にせず、全額をその年の経費にします。","")&amp;IF(AND($F21=4,$C21&lt;100000),"10万円未満は少額特例ではなく、全額をその年の経費にします。","")&amp;IF(AND($F21=4,$D21&lt;DATE(2026,4,1),$C21&gt;=300000),"2026年3月31日までの取得で少額特例が使えるのは30万円未満です。","")&amp;IF(AND($F21=4,$D21&gt;=DATE(2026,4,1),$C21&gt;=400000),"少額特例は40万円未満の資産だけです。","")&amp;IF(AND($F21=4,OR($D21&lt;DATE(2006,4,1),$D21&gt;DATE(2029,3,31))),"少額特例は2006年4月1日〜2029年3月31日に取得した資産だけです。","")&amp;IF(AND($F21=2,$G21=250,$D21&gt;DATE(2012,12,31)),"250%定率法は2012年12月31日までの取得だけです。","")</f>
        <v/>
      </c>
      <c r="AJ21" s="68">
        <f>IF(AND($F21=2,'固定資産台帳'!$H21="定率法（200%）",$D21&lt;DATE(2012,4,1)),"2012年3月31日までの取得に200%を使うのは、経過措置の届出をした場合です。","")&amp;IF(AND($F21=2,'固定資産台帳'!$H21="定率法（250%）",$D21&gt;=DATE(2012,4,1),$D21&lt;=DATE(2012,12,31)),"2012年4〜12月の取得に250%を使うのは、経過措置を選んだ場合です。","")</f>
        <v/>
      </c>
      <c r="AK21" s="68">
        <f>IF($U21=0,"",IF($V21&lt;0,"表示している年より後に使い始める資産です。",IF($AE21=1,"売却・除却済みです。",IF($AD21=1,"この年に売却・除却。期末の帳簿価額 "&amp;TEXT($Y21,"#,##0")&amp;"円を帳簿から外します。",IF($F21=4,IF($V21=0,"少額特例：この年に全額を経費にします。","少額特例で経費にした資産です。"),IF($F21=3,IF($V21&gt;2,"一括償却は終わっています。","一括償却 "&amp;($V21+1)&amp;"年目（3年のうち）。"),IF($Z21=0,"償却済み（帳簿価額 "&amp;TEXT($Y21,"#,##0")&amp;"円）。",IF($AA21&gt;0,"改定償却率で計算（改定取得価額 "&amp;TEXT($AA21,"#,##0")&amp;"円）。",IF($V21=0,"この年に使い始め（"&amp;$AB21&amp;"か月分）。","")))))))))</f>
        <v/>
      </c>
      <c r="AL21" s="68">
        <f>IF(AND($U21=1,$F21=4,$V21=0),$C21,0)</f>
        <v/>
      </c>
      <c r="AM21" s="68">
        <f>IF($F21=2,INT(ROUND($M21,6)+$B$4),0)</f>
        <v/>
      </c>
      <c r="AN21" s="68">
        <f>IF($W21=0,0,IF($F21=2,IF($AA21&gt;0,$AA21,$X21),$C21))</f>
        <v/>
      </c>
      <c r="AO21" s="68">
        <f>IF($W21=0,"",IF($F21=3,"1/3",IF($F21=4,"―",IF($AA21&gt;0,$K21,$J21))))</f>
        <v/>
      </c>
      <c r="AP21" s="68" t="n"/>
      <c r="AQ21" s="68" t="n"/>
      <c r="AR21" s="68" t="n"/>
      <c r="AS21" s="68">
        <f>IF($U21=0,0,IF($F21=4,0,IF($F21=3,MAX($C21-INT(ROUND($C21/3,6)+$B$4),0),$C21-MIN(INT(ROUND($C21*$J21*IF($R21=0,$S21,$P21)/12,6)+$B$4),MAX($C21-$I21,0)))))</f>
        <v/>
      </c>
      <c r="AT21" s="68">
        <f>IF($U21=0,0,IF($F21=4,0,IF($F21=3,AS21-MIN(INT(ROUND($C21/3,6)+$B$4),AS21),IF(OR(1&gt;$R21,AS21&lt;=$I21),AS21,AS21-MIN(INT(ROUND(IF($F21=1,$C21*$J21,IF(ER21&gt;0,ER21*$K21,AS21*$J21))*IF(1=$R21,$S21,12)/12,6)+$B$4),AS21-$I21)))))</f>
        <v/>
      </c>
      <c r="AU21" s="68">
        <f>IF($U21=0,0,IF($F21=4,0,IF($F21=3,0,IF(OR(2&gt;$R21,AT21&lt;=$I21),AT21,AT21-MIN(INT(ROUND(IF($F21=1,$C21*$J21,IF(ES21&gt;0,ES21*$K21,AT21*$J21))*IF(2=$R21,$S21,12)/12,6)+$B$4),AT21-$I21)))))</f>
        <v/>
      </c>
      <c r="AV21" s="68">
        <f>IF($U21=0,0,IF($F21=4,0,IF($F21=3,0,IF(OR(3&gt;$R21,AU21&lt;=$I21),AU21,AU21-MIN(INT(ROUND(IF($F21=1,$C21*$J21,IF(ET21&gt;0,ET21*$K21,AU21*$J21))*IF(3=$R21,$S21,12)/12,6)+$B$4),AU21-$I21)))))</f>
        <v/>
      </c>
      <c r="AW21" s="68">
        <f>IF($U21=0,0,IF($F21=4,0,IF($F21=3,0,IF(OR(4&gt;$R21,AV21&lt;=$I21),AV21,AV21-MIN(INT(ROUND(IF($F21=1,$C21*$J21,IF(EU21&gt;0,EU21*$K21,AV21*$J21))*IF(4=$R21,$S21,12)/12,6)+$B$4),AV21-$I21)))))</f>
        <v/>
      </c>
      <c r="AX21" s="68">
        <f>IF($U21=0,0,IF($F21=4,0,IF($F21=3,0,IF(OR(5&gt;$R21,AW21&lt;=$I21),AW21,AW21-MIN(INT(ROUND(IF($F21=1,$C21*$J21,IF(EV21&gt;0,EV21*$K21,AW21*$J21))*IF(5=$R21,$S21,12)/12,6)+$B$4),AW21-$I21)))))</f>
        <v/>
      </c>
      <c r="AY21" s="68">
        <f>IF($U21=0,0,IF($F21=4,0,IF($F21=3,0,IF(OR(6&gt;$R21,AX21&lt;=$I21),AX21,AX21-MIN(INT(ROUND(IF($F21=1,$C21*$J21,IF(EW21&gt;0,EW21*$K21,AX21*$J21))*IF(6=$R21,$S21,12)/12,6)+$B$4),AX21-$I21)))))</f>
        <v/>
      </c>
      <c r="AZ21" s="68">
        <f>IF($U21=0,0,IF($F21=4,0,IF($F21=3,0,IF(OR(7&gt;$R21,AY21&lt;=$I21),AY21,AY21-MIN(INT(ROUND(IF($F21=1,$C21*$J21,IF(EX21&gt;0,EX21*$K21,AY21*$J21))*IF(7=$R21,$S21,12)/12,6)+$B$4),AY21-$I21)))))</f>
        <v/>
      </c>
      <c r="BA21" s="68">
        <f>IF($U21=0,0,IF($F21=4,0,IF($F21=3,0,IF(OR(8&gt;$R21,AZ21&lt;=$I21),AZ21,AZ21-MIN(INT(ROUND(IF($F21=1,$C21*$J21,IF(EY21&gt;0,EY21*$K21,AZ21*$J21))*IF(8=$R21,$S21,12)/12,6)+$B$4),AZ21-$I21)))))</f>
        <v/>
      </c>
      <c r="BB21" s="68">
        <f>IF($U21=0,0,IF($F21=4,0,IF($F21=3,0,IF(OR(9&gt;$R21,BA21&lt;=$I21),BA21,BA21-MIN(INT(ROUND(IF($F21=1,$C21*$J21,IF(EZ21&gt;0,EZ21*$K21,BA21*$J21))*IF(9=$R21,$S21,12)/12,6)+$B$4),BA21-$I21)))))</f>
        <v/>
      </c>
      <c r="BC21" s="68">
        <f>IF($U21=0,0,IF($F21=4,0,IF($F21=3,0,IF(OR(10&gt;$R21,BB21&lt;=$I21),BB21,BB21-MIN(INT(ROUND(IF($F21=1,$C21*$J21,IF(FA21&gt;0,FA21*$K21,BB21*$J21))*IF(10=$R21,$S21,12)/12,6)+$B$4),BB21-$I21)))))</f>
        <v/>
      </c>
      <c r="BD21" s="68">
        <f>IF($U21=0,0,IF($F21=4,0,IF($F21=3,0,IF(OR(11&gt;$R21,BC21&lt;=$I21),BC21,BC21-MIN(INT(ROUND(IF($F21=1,$C21*$J21,IF(FB21&gt;0,FB21*$K21,BC21*$J21))*IF(11=$R21,$S21,12)/12,6)+$B$4),BC21-$I21)))))</f>
        <v/>
      </c>
      <c r="BE21" s="68">
        <f>IF($U21=0,0,IF($F21=4,0,IF($F21=3,0,IF(OR(12&gt;$R21,BD21&lt;=$I21),BD21,BD21-MIN(INT(ROUND(IF($F21=1,$C21*$J21,IF(FC21&gt;0,FC21*$K21,BD21*$J21))*IF(12=$R21,$S21,12)/12,6)+$B$4),BD21-$I21)))))</f>
        <v/>
      </c>
      <c r="BF21" s="68">
        <f>IF($U21=0,0,IF($F21=4,0,IF($F21=3,0,IF(OR(13&gt;$R21,BE21&lt;=$I21),BE21,BE21-MIN(INT(ROUND(IF($F21=1,$C21*$J21,IF(FD21&gt;0,FD21*$K21,BE21*$J21))*IF(13=$R21,$S21,12)/12,6)+$B$4),BE21-$I21)))))</f>
        <v/>
      </c>
      <c r="BG21" s="68">
        <f>IF($U21=0,0,IF($F21=4,0,IF($F21=3,0,IF(OR(14&gt;$R21,BF21&lt;=$I21),BF21,BF21-MIN(INT(ROUND(IF($F21=1,$C21*$J21,IF(FE21&gt;0,FE21*$K21,BF21*$J21))*IF(14=$R21,$S21,12)/12,6)+$B$4),BF21-$I21)))))</f>
        <v/>
      </c>
      <c r="BH21" s="68">
        <f>IF($U21=0,0,IF($F21=4,0,IF($F21=3,0,IF(OR(15&gt;$R21,BG21&lt;=$I21),BG21,BG21-MIN(INT(ROUND(IF($F21=1,$C21*$J21,IF(FF21&gt;0,FF21*$K21,BG21*$J21))*IF(15=$R21,$S21,12)/12,6)+$B$4),BG21-$I21)))))</f>
        <v/>
      </c>
      <c r="BI21" s="68">
        <f>IF($U21=0,0,IF($F21=4,0,IF($F21=3,0,IF(OR(16&gt;$R21,BH21&lt;=$I21),BH21,BH21-MIN(INT(ROUND(IF($F21=1,$C21*$J21,IF(FG21&gt;0,FG21*$K21,BH21*$J21))*IF(16=$R21,$S21,12)/12,6)+$B$4),BH21-$I21)))))</f>
        <v/>
      </c>
      <c r="BJ21" s="68">
        <f>IF($U21=0,0,IF($F21=4,0,IF($F21=3,0,IF(OR(17&gt;$R21,BI21&lt;=$I21),BI21,BI21-MIN(INT(ROUND(IF($F21=1,$C21*$J21,IF(FH21&gt;0,FH21*$K21,BI21*$J21))*IF(17=$R21,$S21,12)/12,6)+$B$4),BI21-$I21)))))</f>
        <v/>
      </c>
      <c r="BK21" s="68">
        <f>IF($U21=0,0,IF($F21=4,0,IF($F21=3,0,IF(OR(18&gt;$R21,BJ21&lt;=$I21),BJ21,BJ21-MIN(INT(ROUND(IF($F21=1,$C21*$J21,IF(FI21&gt;0,FI21*$K21,BJ21*$J21))*IF(18=$R21,$S21,12)/12,6)+$B$4),BJ21-$I21)))))</f>
        <v/>
      </c>
      <c r="BL21" s="68">
        <f>IF($U21=0,0,IF($F21=4,0,IF($F21=3,0,IF(OR(19&gt;$R21,BK21&lt;=$I21),BK21,BK21-MIN(INT(ROUND(IF($F21=1,$C21*$J21,IF(FJ21&gt;0,FJ21*$K21,BK21*$J21))*IF(19=$R21,$S21,12)/12,6)+$B$4),BK21-$I21)))))</f>
        <v/>
      </c>
      <c r="BM21" s="68">
        <f>IF($U21=0,0,IF($F21=4,0,IF($F21=3,0,IF(OR(20&gt;$R21,BL21&lt;=$I21),BL21,BL21-MIN(INT(ROUND(IF($F21=1,$C21*$J21,IF(FK21&gt;0,FK21*$K21,BL21*$J21))*IF(20=$R21,$S21,12)/12,6)+$B$4),BL21-$I21)))))</f>
        <v/>
      </c>
      <c r="BN21" s="68">
        <f>IF($U21=0,0,IF($F21=4,0,IF($F21=3,0,IF(OR(21&gt;$R21,BM21&lt;=$I21),BM21,BM21-MIN(INT(ROUND(IF($F21=1,$C21*$J21,IF(FL21&gt;0,FL21*$K21,BM21*$J21))*IF(21=$R21,$S21,12)/12,6)+$B$4),BM21-$I21)))))</f>
        <v/>
      </c>
      <c r="BO21" s="68">
        <f>IF($U21=0,0,IF($F21=4,0,IF($F21=3,0,IF(OR(22&gt;$R21,BN21&lt;=$I21),BN21,BN21-MIN(INT(ROUND(IF($F21=1,$C21*$J21,IF(FM21&gt;0,FM21*$K21,BN21*$J21))*IF(22=$R21,$S21,12)/12,6)+$B$4),BN21-$I21)))))</f>
        <v/>
      </c>
      <c r="BP21" s="68">
        <f>IF($U21=0,0,IF($F21=4,0,IF($F21=3,0,IF(OR(23&gt;$R21,BO21&lt;=$I21),BO21,BO21-MIN(INT(ROUND(IF($F21=1,$C21*$J21,IF(FN21&gt;0,FN21*$K21,BO21*$J21))*IF(23=$R21,$S21,12)/12,6)+$B$4),BO21-$I21)))))</f>
        <v/>
      </c>
      <c r="BQ21" s="68">
        <f>IF($U21=0,0,IF($F21=4,0,IF($F21=3,0,IF(OR(24&gt;$R21,BP21&lt;=$I21),BP21,BP21-MIN(INT(ROUND(IF($F21=1,$C21*$J21,IF(FO21&gt;0,FO21*$K21,BP21*$J21))*IF(24=$R21,$S21,12)/12,6)+$B$4),BP21-$I21)))))</f>
        <v/>
      </c>
      <c r="BR21" s="68">
        <f>IF($U21=0,0,IF($F21=4,0,IF($F21=3,0,IF(OR(25&gt;$R21,BQ21&lt;=$I21),BQ21,BQ21-MIN(INT(ROUND(IF($F21=1,$C21*$J21,IF(FP21&gt;0,FP21*$K21,BQ21*$J21))*IF(25=$R21,$S21,12)/12,6)+$B$4),BQ21-$I21)))))</f>
        <v/>
      </c>
      <c r="BS21" s="68">
        <f>IF($U21=0,0,IF($F21=4,0,IF($F21=3,0,IF(OR(26&gt;$R21,BR21&lt;=$I21),BR21,BR21-MIN(INT(ROUND(IF($F21=1,$C21*$J21,IF(FQ21&gt;0,FQ21*$K21,BR21*$J21))*IF(26=$R21,$S21,12)/12,6)+$B$4),BR21-$I21)))))</f>
        <v/>
      </c>
      <c r="BT21" s="68">
        <f>IF($U21=0,0,IF($F21=4,0,IF($F21=3,0,IF(OR(27&gt;$R21,BS21&lt;=$I21),BS21,BS21-MIN(INT(ROUND(IF($F21=1,$C21*$J21,IF(FR21&gt;0,FR21*$K21,BS21*$J21))*IF(27=$R21,$S21,12)/12,6)+$B$4),BS21-$I21)))))</f>
        <v/>
      </c>
      <c r="BU21" s="68">
        <f>IF($U21=0,0,IF($F21=4,0,IF($F21=3,0,IF(OR(28&gt;$R21,BT21&lt;=$I21),BT21,BT21-MIN(INT(ROUND(IF($F21=1,$C21*$J21,IF(FS21&gt;0,FS21*$K21,BT21*$J21))*IF(28=$R21,$S21,12)/12,6)+$B$4),BT21-$I21)))))</f>
        <v/>
      </c>
      <c r="BV21" s="68">
        <f>IF($U21=0,0,IF($F21=4,0,IF($F21=3,0,IF(OR(29&gt;$R21,BU21&lt;=$I21),BU21,BU21-MIN(INT(ROUND(IF($F21=1,$C21*$J21,IF(FT21&gt;0,FT21*$K21,BU21*$J21))*IF(29=$R21,$S21,12)/12,6)+$B$4),BU21-$I21)))))</f>
        <v/>
      </c>
      <c r="BW21" s="68">
        <f>IF($U21=0,0,IF($F21=4,0,IF($F21=3,0,IF(OR(30&gt;$R21,BV21&lt;=$I21),BV21,BV21-MIN(INT(ROUND(IF($F21=1,$C21*$J21,IF(FU21&gt;0,FU21*$K21,BV21*$J21))*IF(30=$R21,$S21,12)/12,6)+$B$4),BV21-$I21)))))</f>
        <v/>
      </c>
      <c r="BX21" s="68">
        <f>IF($U21=0,0,IF($F21=4,0,IF($F21=3,0,IF(OR(31&gt;$R21,BW21&lt;=$I21),BW21,BW21-MIN(INT(ROUND(IF($F21=1,$C21*$J21,IF(FV21&gt;0,FV21*$K21,BW21*$J21))*IF(31=$R21,$S21,12)/12,6)+$B$4),BW21-$I21)))))</f>
        <v/>
      </c>
      <c r="BY21" s="68">
        <f>IF($U21=0,0,IF($F21=4,0,IF($F21=3,0,IF(OR(32&gt;$R21,BX21&lt;=$I21),BX21,BX21-MIN(INT(ROUND(IF($F21=1,$C21*$J21,IF(FW21&gt;0,FW21*$K21,BX21*$J21))*IF(32=$R21,$S21,12)/12,6)+$B$4),BX21-$I21)))))</f>
        <v/>
      </c>
      <c r="BZ21" s="68">
        <f>IF($U21=0,0,IF($F21=4,0,IF($F21=3,0,IF(OR(33&gt;$R21,BY21&lt;=$I21),BY21,BY21-MIN(INT(ROUND(IF($F21=1,$C21*$J21,IF(FX21&gt;0,FX21*$K21,BY21*$J21))*IF(33=$R21,$S21,12)/12,6)+$B$4),BY21-$I21)))))</f>
        <v/>
      </c>
      <c r="CA21" s="68">
        <f>IF($U21=0,0,IF($F21=4,0,IF($F21=3,0,IF(OR(34&gt;$R21,BZ21&lt;=$I21),BZ21,BZ21-MIN(INT(ROUND(IF($F21=1,$C21*$J21,IF(FY21&gt;0,FY21*$K21,BZ21*$J21))*IF(34=$R21,$S21,12)/12,6)+$B$4),BZ21-$I21)))))</f>
        <v/>
      </c>
      <c r="CB21" s="68">
        <f>IF($U21=0,0,IF($F21=4,0,IF($F21=3,0,IF(OR(35&gt;$R21,CA21&lt;=$I21),CA21,CA21-MIN(INT(ROUND(IF($F21=1,$C21*$J21,IF(FZ21&gt;0,FZ21*$K21,CA21*$J21))*IF(35=$R21,$S21,12)/12,6)+$B$4),CA21-$I21)))))</f>
        <v/>
      </c>
      <c r="CC21" s="68">
        <f>IF($U21=0,0,IF($F21=4,0,IF($F21=3,0,IF(OR(36&gt;$R21,CB21&lt;=$I21),CB21,CB21-MIN(INT(ROUND(IF($F21=1,$C21*$J21,IF(GA21&gt;0,GA21*$K21,CB21*$J21))*IF(36=$R21,$S21,12)/12,6)+$B$4),CB21-$I21)))))</f>
        <v/>
      </c>
      <c r="CD21" s="68">
        <f>IF($U21=0,0,IF($F21=4,0,IF($F21=3,0,IF(OR(37&gt;$R21,CC21&lt;=$I21),CC21,CC21-MIN(INT(ROUND(IF($F21=1,$C21*$J21,IF(GB21&gt;0,GB21*$K21,CC21*$J21))*IF(37=$R21,$S21,12)/12,6)+$B$4),CC21-$I21)))))</f>
        <v/>
      </c>
      <c r="CE21" s="68">
        <f>IF($U21=0,0,IF($F21=4,0,IF($F21=3,0,IF(OR(38&gt;$R21,CD21&lt;=$I21),CD21,CD21-MIN(INT(ROUND(IF($F21=1,$C21*$J21,IF(GC21&gt;0,GC21*$K21,CD21*$J21))*IF(38=$R21,$S21,12)/12,6)+$B$4),CD21-$I21)))))</f>
        <v/>
      </c>
      <c r="CF21" s="68">
        <f>IF($U21=0,0,IF($F21=4,0,IF($F21=3,0,IF(OR(39&gt;$R21,CE21&lt;=$I21),CE21,CE21-MIN(INT(ROUND(IF($F21=1,$C21*$J21,IF(GD21&gt;0,GD21*$K21,CE21*$J21))*IF(39=$R21,$S21,12)/12,6)+$B$4),CE21-$I21)))))</f>
        <v/>
      </c>
      <c r="CG21" s="68">
        <f>IF($U21=0,0,IF($F21=4,0,IF($F21=3,0,IF(OR(40&gt;$R21,CF21&lt;=$I21),CF21,CF21-MIN(INT(ROUND(IF($F21=1,$C21*$J21,IF(GE21&gt;0,GE21*$K21,CF21*$J21))*IF(40=$R21,$S21,12)/12,6)+$B$4),CF21-$I21)))))</f>
        <v/>
      </c>
      <c r="CH21" s="68">
        <f>IF($U21=0,0,IF($F21=4,0,IF($F21=3,0,IF(OR(41&gt;$R21,CG21&lt;=$I21),CG21,CG21-MIN(INT(ROUND(IF($F21=1,$C21*$J21,IF(GF21&gt;0,GF21*$K21,CG21*$J21))*IF(41=$R21,$S21,12)/12,6)+$B$4),CG21-$I21)))))</f>
        <v/>
      </c>
      <c r="CI21" s="68">
        <f>IF($U21=0,0,IF($F21=4,0,IF($F21=3,0,IF(OR(42&gt;$R21,CH21&lt;=$I21),CH21,CH21-MIN(INT(ROUND(IF($F21=1,$C21*$J21,IF(GG21&gt;0,GG21*$K21,CH21*$J21))*IF(42=$R21,$S21,12)/12,6)+$B$4),CH21-$I21)))))</f>
        <v/>
      </c>
      <c r="CJ21" s="68">
        <f>IF($U21=0,0,IF($F21=4,0,IF($F21=3,0,IF(OR(43&gt;$R21,CI21&lt;=$I21),CI21,CI21-MIN(INT(ROUND(IF($F21=1,$C21*$J21,IF(GH21&gt;0,GH21*$K21,CI21*$J21))*IF(43=$R21,$S21,12)/12,6)+$B$4),CI21-$I21)))))</f>
        <v/>
      </c>
      <c r="CK21" s="68">
        <f>IF($U21=0,0,IF($F21=4,0,IF($F21=3,0,IF(OR(44&gt;$R21,CJ21&lt;=$I21),CJ21,CJ21-MIN(INT(ROUND(IF($F21=1,$C21*$J21,IF(GI21&gt;0,GI21*$K21,CJ21*$J21))*IF(44=$R21,$S21,12)/12,6)+$B$4),CJ21-$I21)))))</f>
        <v/>
      </c>
      <c r="CL21" s="68">
        <f>IF($U21=0,0,IF($F21=4,0,IF($F21=3,0,IF(OR(45&gt;$R21,CK21&lt;=$I21),CK21,CK21-MIN(INT(ROUND(IF($F21=1,$C21*$J21,IF(GJ21&gt;0,GJ21*$K21,CK21*$J21))*IF(45=$R21,$S21,12)/12,6)+$B$4),CK21-$I21)))))</f>
        <v/>
      </c>
      <c r="CM21" s="68">
        <f>IF($U21=0,0,IF($F21=4,0,IF($F21=3,0,IF(OR(46&gt;$R21,CL21&lt;=$I21),CL21,CL21-MIN(INT(ROUND(IF($F21=1,$C21*$J21,IF(GK21&gt;0,GK21*$K21,CL21*$J21))*IF(46=$R21,$S21,12)/12,6)+$B$4),CL21-$I21)))))</f>
        <v/>
      </c>
      <c r="CN21" s="68">
        <f>IF($U21=0,0,IF($F21=4,0,IF($F21=3,0,IF(OR(47&gt;$R21,CM21&lt;=$I21),CM21,CM21-MIN(INT(ROUND(IF($F21=1,$C21*$J21,IF(GL21&gt;0,GL21*$K21,CM21*$J21))*IF(47=$R21,$S21,12)/12,6)+$B$4),CM21-$I21)))))</f>
        <v/>
      </c>
      <c r="CO21" s="68">
        <f>IF($U21=0,0,IF($F21=4,0,IF($F21=3,0,IF(OR(48&gt;$R21,CN21&lt;=$I21),CN21,CN21-MIN(INT(ROUND(IF($F21=1,$C21*$J21,IF(GM21&gt;0,GM21*$K21,CN21*$J21))*IF(48=$R21,$S21,12)/12,6)+$B$4),CN21-$I21)))))</f>
        <v/>
      </c>
      <c r="CP21" s="68">
        <f>IF($U21=0,0,IF($F21=4,0,IF($F21=3,0,IF(OR(49&gt;$R21,CO21&lt;=$I21),CO21,CO21-MIN(INT(ROUND(IF($F21=1,$C21*$J21,IF(GN21&gt;0,GN21*$K21,CO21*$J21))*IF(49=$R21,$S21,12)/12,6)+$B$4),CO21-$I21)))))</f>
        <v/>
      </c>
      <c r="CQ21" s="68">
        <f>IF($U21=0,0,IF($F21=4,0,IF($F21=3,0,IF(OR(50&gt;$R21,CP21&lt;=$I21),CP21,CP21-MIN(INT(ROUND(IF($F21=1,$C21*$J21,IF(GO21&gt;0,GO21*$K21,CP21*$J21))*IF(50=$R21,$S21,12)/12,6)+$B$4),CP21-$I21)))))</f>
        <v/>
      </c>
      <c r="CR21" s="68">
        <f>IF($U21=0,0,IF($F21=4,0,IF($F21=3,0,IF(OR(51&gt;$R21,CQ21&lt;=$I21),CQ21,CQ21-MIN(INT(ROUND(IF($F21=1,$C21*$J21,IF(GP21&gt;0,GP21*$K21,CQ21*$J21))*IF(51=$R21,$S21,12)/12,6)+$B$4),CQ21-$I21)))))</f>
        <v/>
      </c>
      <c r="CS21" s="68">
        <f>IF($U21=0,0,IF($F21=4,0,IF($F21=3,0,IF(OR(52&gt;$R21,CR21&lt;=$I21),CR21,CR21-MIN(INT(ROUND(IF($F21=1,$C21*$J21,IF(GQ21&gt;0,GQ21*$K21,CR21*$J21))*IF(52=$R21,$S21,12)/12,6)+$B$4),CR21-$I21)))))</f>
        <v/>
      </c>
      <c r="CT21" s="68">
        <f>IF($U21=0,0,IF($F21=4,0,IF($F21=3,0,IF(OR(53&gt;$R21,CS21&lt;=$I21),CS21,CS21-MIN(INT(ROUND(IF($F21=1,$C21*$J21,IF(GR21&gt;0,GR21*$K21,CS21*$J21))*IF(53=$R21,$S21,12)/12,6)+$B$4),CS21-$I21)))))</f>
        <v/>
      </c>
      <c r="CU21" s="68">
        <f>IF($U21=0,0,IF($F21=4,0,IF($F21=3,0,IF(OR(54&gt;$R21,CT21&lt;=$I21),CT21,CT21-MIN(INT(ROUND(IF($F21=1,$C21*$J21,IF(GS21&gt;0,GS21*$K21,CT21*$J21))*IF(54=$R21,$S21,12)/12,6)+$B$4),CT21-$I21)))))</f>
        <v/>
      </c>
      <c r="CV21" s="68">
        <f>IF($U21=0,0,IF($F21=4,0,IF($F21=3,0,IF(OR(55&gt;$R21,CU21&lt;=$I21),CU21,CU21-MIN(INT(ROUND(IF($F21=1,$C21*$J21,IF(GT21&gt;0,GT21*$K21,CU21*$J21))*IF(55=$R21,$S21,12)/12,6)+$B$4),CU21-$I21)))))</f>
        <v/>
      </c>
      <c r="CW21" s="68">
        <f>IF($U21=0,0,IF($F21=4,0,IF($F21=3,0,IF(OR(56&gt;$R21,CV21&lt;=$I21),CV21,CV21-MIN(INT(ROUND(IF($F21=1,$C21*$J21,IF(GU21&gt;0,GU21*$K21,CV21*$J21))*IF(56=$R21,$S21,12)/12,6)+$B$4),CV21-$I21)))))</f>
        <v/>
      </c>
      <c r="CX21" s="68">
        <f>IF($U21=0,0,IF($F21=4,0,IF($F21=3,0,IF(OR(57&gt;$R21,CW21&lt;=$I21),CW21,CW21-MIN(INT(ROUND(IF($F21=1,$C21*$J21,IF(GV21&gt;0,GV21*$K21,CW21*$J21))*IF(57=$R21,$S21,12)/12,6)+$B$4),CW21-$I21)))))</f>
        <v/>
      </c>
      <c r="CY21" s="68">
        <f>IF($U21=0,0,IF($F21=4,0,IF($F21=3,0,IF(OR(58&gt;$R21,CX21&lt;=$I21),CX21,CX21-MIN(INT(ROUND(IF($F21=1,$C21*$J21,IF(GW21&gt;0,GW21*$K21,CX21*$J21))*IF(58=$R21,$S21,12)/12,6)+$B$4),CX21-$I21)))))</f>
        <v/>
      </c>
      <c r="CZ21" s="68">
        <f>IF($U21=0,0,IF($F21=4,0,IF($F21=3,0,IF(OR(59&gt;$R21,CY21&lt;=$I21),CY21,CY21-MIN(INT(ROUND(IF($F21=1,$C21*$J21,IF(GX21&gt;0,GX21*$K21,CY21*$J21))*IF(59=$R21,$S21,12)/12,6)+$B$4),CY21-$I21)))))</f>
        <v/>
      </c>
      <c r="DA21" s="68">
        <f>IF($U21=0,0,IF($F21=4,0,IF($F21=3,0,IF(OR(60&gt;$R21,CZ21&lt;=$I21),CZ21,CZ21-MIN(INT(ROUND(IF($F21=1,$C21*$J21,IF(GY21&gt;0,GY21*$K21,CZ21*$J21))*IF(60=$R21,$S21,12)/12,6)+$B$4),CZ21-$I21)))))</f>
        <v/>
      </c>
      <c r="DB21" s="68">
        <f>IF($U21=0,0,IF($F21=4,0,IF($F21=3,0,IF(OR(61&gt;$R21,DA21&lt;=$I21),DA21,DA21-MIN(INT(ROUND(IF($F21=1,$C21*$J21,IF(GZ21&gt;0,GZ21*$K21,DA21*$J21))*IF(61=$R21,$S21,12)/12,6)+$B$4),DA21-$I21)))))</f>
        <v/>
      </c>
      <c r="DC21" s="68">
        <f>IF($U21=0,0,IF($F21=4,0,IF($F21=3,0,IF(OR(62&gt;$R21,DB21&lt;=$I21),DB21,DB21-MIN(INT(ROUND(IF($F21=1,$C21*$J21,IF(HA21&gt;0,HA21*$K21,DB21*$J21))*IF(62=$R21,$S21,12)/12,6)+$B$4),DB21-$I21)))))</f>
        <v/>
      </c>
      <c r="DD21" s="68">
        <f>IF($U21=0,0,IF($F21=4,0,IF($F21=3,0,IF(OR(63&gt;$R21,DC21&lt;=$I21),DC21,DC21-MIN(INT(ROUND(IF($F21=1,$C21*$J21,IF(HB21&gt;0,HB21*$K21,DC21*$J21))*IF(63=$R21,$S21,12)/12,6)+$B$4),DC21-$I21)))))</f>
        <v/>
      </c>
      <c r="DE21" s="68">
        <f>IF($U21=0,0,IF($F21=4,0,IF($F21=3,0,IF(OR(64&gt;$R21,DD21&lt;=$I21),DD21,DD21-MIN(INT(ROUND(IF($F21=1,$C21*$J21,IF(HC21&gt;0,HC21*$K21,DD21*$J21))*IF(64=$R21,$S21,12)/12,6)+$B$4),DD21-$I21)))))</f>
        <v/>
      </c>
      <c r="DF21" s="68">
        <f>IF($U21=0,0,IF($F21=4,0,IF($F21=3,0,IF(OR(65&gt;$R21,DE21&lt;=$I21),DE21,DE21-MIN(INT(ROUND(IF($F21=1,$C21*$J21,IF(HD21&gt;0,HD21*$K21,DE21*$J21))*IF(65=$R21,$S21,12)/12,6)+$B$4),DE21-$I21)))))</f>
        <v/>
      </c>
      <c r="DG21" s="68">
        <f>IF($U21=0,0,IF($F21=4,0,IF($F21=3,0,IF(OR(66&gt;$R21,DF21&lt;=$I21),DF21,DF21-MIN(INT(ROUND(IF($F21=1,$C21*$J21,IF(HE21&gt;0,HE21*$K21,DF21*$J21))*IF(66=$R21,$S21,12)/12,6)+$B$4),DF21-$I21)))))</f>
        <v/>
      </c>
      <c r="DH21" s="68">
        <f>IF($U21=0,0,IF($F21=4,0,IF($F21=3,0,IF(OR(67&gt;$R21,DG21&lt;=$I21),DG21,DG21-MIN(INT(ROUND(IF($F21=1,$C21*$J21,IF(HF21&gt;0,HF21*$K21,DG21*$J21))*IF(67=$R21,$S21,12)/12,6)+$B$4),DG21-$I21)))))</f>
        <v/>
      </c>
      <c r="DI21" s="68">
        <f>IF($U21=0,0,IF($F21=4,0,IF($F21=3,0,IF(OR(68&gt;$R21,DH21&lt;=$I21),DH21,DH21-MIN(INT(ROUND(IF($F21=1,$C21*$J21,IF(HG21&gt;0,HG21*$K21,DH21*$J21))*IF(68=$R21,$S21,12)/12,6)+$B$4),DH21-$I21)))))</f>
        <v/>
      </c>
      <c r="DJ21" s="68">
        <f>IF($U21=0,0,IF($F21=4,0,IF($F21=3,0,IF(OR(69&gt;$R21,DI21&lt;=$I21),DI21,DI21-MIN(INT(ROUND(IF($F21=1,$C21*$J21,IF(HH21&gt;0,HH21*$K21,DI21*$J21))*IF(69=$R21,$S21,12)/12,6)+$B$4),DI21-$I21)))))</f>
        <v/>
      </c>
      <c r="DK21" s="68">
        <f>IF($U21=0,0,IF($F21=4,0,IF($F21=3,0,IF(OR(70&gt;$R21,DJ21&lt;=$I21),DJ21,DJ21-MIN(INT(ROUND(IF($F21=1,$C21*$J21,IF(HI21&gt;0,HI21*$K21,DJ21*$J21))*IF(70=$R21,$S21,12)/12,6)+$B$4),DJ21-$I21)))))</f>
        <v/>
      </c>
      <c r="DL21" s="68">
        <f>IF($U21=0,0,IF($F21=4,0,IF($F21=3,0,IF(OR(71&gt;$R21,DK21&lt;=$I21),DK21,DK21-MIN(INT(ROUND(IF($F21=1,$C21*$J21,IF(HJ21&gt;0,HJ21*$K21,DK21*$J21))*IF(71=$R21,$S21,12)/12,6)+$B$4),DK21-$I21)))))</f>
        <v/>
      </c>
      <c r="DM21" s="68">
        <f>IF($U21=0,0,IF($F21=4,0,IF($F21=3,0,IF(OR(72&gt;$R21,DL21&lt;=$I21),DL21,DL21-MIN(INT(ROUND(IF($F21=1,$C21*$J21,IF(HK21&gt;0,HK21*$K21,DL21*$J21))*IF(72=$R21,$S21,12)/12,6)+$B$4),DL21-$I21)))))</f>
        <v/>
      </c>
      <c r="DN21" s="68">
        <f>IF($U21=0,0,IF($F21=4,0,IF($F21=3,0,IF(OR(73&gt;$R21,DM21&lt;=$I21),DM21,DM21-MIN(INT(ROUND(IF($F21=1,$C21*$J21,IF(HL21&gt;0,HL21*$K21,DM21*$J21))*IF(73=$R21,$S21,12)/12,6)+$B$4),DM21-$I21)))))</f>
        <v/>
      </c>
      <c r="DO21" s="68">
        <f>IF($U21=0,0,IF($F21=4,0,IF($F21=3,0,IF(OR(74&gt;$R21,DN21&lt;=$I21),DN21,DN21-MIN(INT(ROUND(IF($F21=1,$C21*$J21,IF(HM21&gt;0,HM21*$K21,DN21*$J21))*IF(74=$R21,$S21,12)/12,6)+$B$4),DN21-$I21)))))</f>
        <v/>
      </c>
      <c r="DP21" s="68">
        <f>IF($U21=0,0,IF($F21=4,0,IF($F21=3,0,IF(OR(75&gt;$R21,DO21&lt;=$I21),DO21,DO21-MIN(INT(ROUND(IF($F21=1,$C21*$J21,IF(HN21&gt;0,HN21*$K21,DO21*$J21))*IF(75=$R21,$S21,12)/12,6)+$B$4),DO21-$I21)))))</f>
        <v/>
      </c>
      <c r="DQ21" s="68">
        <f>IF($U21=0,0,IF($F21=4,0,IF($F21=3,0,IF(OR(76&gt;$R21,DP21&lt;=$I21),DP21,DP21-MIN(INT(ROUND(IF($F21=1,$C21*$J21,IF(HO21&gt;0,HO21*$K21,DP21*$J21))*IF(76=$R21,$S21,12)/12,6)+$B$4),DP21-$I21)))))</f>
        <v/>
      </c>
      <c r="DR21" s="68">
        <f>IF($U21=0,0,IF($F21=4,0,IF($F21=3,0,IF(OR(77&gt;$R21,DQ21&lt;=$I21),DQ21,DQ21-MIN(INT(ROUND(IF($F21=1,$C21*$J21,IF(HP21&gt;0,HP21*$K21,DQ21*$J21))*IF(77=$R21,$S21,12)/12,6)+$B$4),DQ21-$I21)))))</f>
        <v/>
      </c>
      <c r="DS21" s="68">
        <f>IF($U21=0,0,IF($F21=4,0,IF($F21=3,0,IF(OR(78&gt;$R21,DR21&lt;=$I21),DR21,DR21-MIN(INT(ROUND(IF($F21=1,$C21*$J21,IF(HQ21&gt;0,HQ21*$K21,DR21*$J21))*IF(78=$R21,$S21,12)/12,6)+$B$4),DR21-$I21)))))</f>
        <v/>
      </c>
      <c r="DT21" s="68">
        <f>IF($U21=0,0,IF($F21=4,0,IF($F21=3,0,IF(OR(79&gt;$R21,DS21&lt;=$I21),DS21,DS21-MIN(INT(ROUND(IF($F21=1,$C21*$J21,IF(HR21&gt;0,HR21*$K21,DS21*$J21))*IF(79=$R21,$S21,12)/12,6)+$B$4),DS21-$I21)))))</f>
        <v/>
      </c>
      <c r="DU21" s="68">
        <f>IF($U21=0,0,IF($F21=4,0,IF($F21=3,0,IF(OR(80&gt;$R21,DT21&lt;=$I21),DT21,DT21-MIN(INT(ROUND(IF($F21=1,$C21*$J21,IF(HS21&gt;0,HS21*$K21,DT21*$J21))*IF(80=$R21,$S21,12)/12,6)+$B$4),DT21-$I21)))))</f>
        <v/>
      </c>
      <c r="DV21" s="68">
        <f>IF($U21=0,0,IF($F21=4,0,IF($F21=3,0,IF(OR(81&gt;$R21,DU21&lt;=$I21),DU21,DU21-MIN(INT(ROUND(IF($F21=1,$C21*$J21,IF(HT21&gt;0,HT21*$K21,DU21*$J21))*IF(81=$R21,$S21,12)/12,6)+$B$4),DU21-$I21)))))</f>
        <v/>
      </c>
      <c r="DW21" s="68">
        <f>IF($U21=0,0,IF($F21=4,0,IF($F21=3,0,IF(OR(82&gt;$R21,DV21&lt;=$I21),DV21,DV21-MIN(INT(ROUND(IF($F21=1,$C21*$J21,IF(HU21&gt;0,HU21*$K21,DV21*$J21))*IF(82=$R21,$S21,12)/12,6)+$B$4),DV21-$I21)))))</f>
        <v/>
      </c>
      <c r="DX21" s="68">
        <f>IF($U21=0,0,IF($F21=4,0,IF($F21=3,0,IF(OR(83&gt;$R21,DW21&lt;=$I21),DW21,DW21-MIN(INT(ROUND(IF($F21=1,$C21*$J21,IF(HV21&gt;0,HV21*$K21,DW21*$J21))*IF(83=$R21,$S21,12)/12,6)+$B$4),DW21-$I21)))))</f>
        <v/>
      </c>
      <c r="DY21" s="68">
        <f>IF($U21=0,0,IF($F21=4,0,IF($F21=3,0,IF(OR(84&gt;$R21,DX21&lt;=$I21),DX21,DX21-MIN(INT(ROUND(IF($F21=1,$C21*$J21,IF(HW21&gt;0,HW21*$K21,DX21*$J21))*IF(84=$R21,$S21,12)/12,6)+$B$4),DX21-$I21)))))</f>
        <v/>
      </c>
      <c r="DZ21" s="68">
        <f>IF($U21=0,0,IF($F21=4,0,IF($F21=3,0,IF(OR(85&gt;$R21,DY21&lt;=$I21),DY21,DY21-MIN(INT(ROUND(IF($F21=1,$C21*$J21,IF(HX21&gt;0,HX21*$K21,DY21*$J21))*IF(85=$R21,$S21,12)/12,6)+$B$4),DY21-$I21)))))</f>
        <v/>
      </c>
      <c r="EA21" s="68">
        <f>IF($U21=0,0,IF($F21=4,0,IF($F21=3,0,IF(OR(86&gt;$R21,DZ21&lt;=$I21),DZ21,DZ21-MIN(INT(ROUND(IF($F21=1,$C21*$J21,IF(HY21&gt;0,HY21*$K21,DZ21*$J21))*IF(86=$R21,$S21,12)/12,6)+$B$4),DZ21-$I21)))))</f>
        <v/>
      </c>
      <c r="EB21" s="68">
        <f>IF($U21=0,0,IF($F21=4,0,IF($F21=3,0,IF(OR(87&gt;$R21,EA21&lt;=$I21),EA21,EA21-MIN(INT(ROUND(IF($F21=1,$C21*$J21,IF(HZ21&gt;0,HZ21*$K21,EA21*$J21))*IF(87=$R21,$S21,12)/12,6)+$B$4),EA21-$I21)))))</f>
        <v/>
      </c>
      <c r="EC21" s="68">
        <f>IF($U21=0,0,IF($F21=4,0,IF($F21=3,0,IF(OR(88&gt;$R21,EB21&lt;=$I21),EB21,EB21-MIN(INT(ROUND(IF($F21=1,$C21*$J21,IF(IA21&gt;0,IA21*$K21,EB21*$J21))*IF(88=$R21,$S21,12)/12,6)+$B$4),EB21-$I21)))))</f>
        <v/>
      </c>
      <c r="ED21" s="68">
        <f>IF($U21=0,0,IF($F21=4,0,IF($F21=3,0,IF(OR(89&gt;$R21,EC21&lt;=$I21),EC21,EC21-MIN(INT(ROUND(IF($F21=1,$C21*$J21,IF(IB21&gt;0,IB21*$K21,EC21*$J21))*IF(89=$R21,$S21,12)/12,6)+$B$4),EC21-$I21)))))</f>
        <v/>
      </c>
      <c r="EE21" s="68">
        <f>IF($U21=0,0,IF($F21=4,0,IF($F21=3,0,IF(OR(90&gt;$R21,ED21&lt;=$I21),ED21,ED21-MIN(INT(ROUND(IF($F21=1,$C21*$J21,IF(IC21&gt;0,IC21*$K21,ED21*$J21))*IF(90=$R21,$S21,12)/12,6)+$B$4),ED21-$I21)))))</f>
        <v/>
      </c>
      <c r="EF21" s="68">
        <f>IF($U21=0,0,IF($F21=4,0,IF($F21=3,0,IF(OR(91&gt;$R21,EE21&lt;=$I21),EE21,EE21-MIN(INT(ROUND(IF($F21=1,$C21*$J21,IF(ID21&gt;0,ID21*$K21,EE21*$J21))*IF(91=$R21,$S21,12)/12,6)+$B$4),EE21-$I21)))))</f>
        <v/>
      </c>
      <c r="EG21" s="68">
        <f>IF($U21=0,0,IF($F21=4,0,IF($F21=3,0,IF(OR(92&gt;$R21,EF21&lt;=$I21),EF21,EF21-MIN(INT(ROUND(IF($F21=1,$C21*$J21,IF(IE21&gt;0,IE21*$K21,EF21*$J21))*IF(92=$R21,$S21,12)/12,6)+$B$4),EF21-$I21)))))</f>
        <v/>
      </c>
      <c r="EH21" s="68">
        <f>IF($U21=0,0,IF($F21=4,0,IF($F21=3,0,IF(OR(93&gt;$R21,EG21&lt;=$I21),EG21,EG21-MIN(INT(ROUND(IF($F21=1,$C21*$J21,IF(IF21&gt;0,IF21*$K21,EG21*$J21))*IF(93=$R21,$S21,12)/12,6)+$B$4),EG21-$I21)))))</f>
        <v/>
      </c>
      <c r="EI21" s="68">
        <f>IF($U21=0,0,IF($F21=4,0,IF($F21=3,0,IF(OR(94&gt;$R21,EH21&lt;=$I21),EH21,EH21-MIN(INT(ROUND(IF($F21=1,$C21*$J21,IF(IG21&gt;0,IG21*$K21,EH21*$J21))*IF(94=$R21,$S21,12)/12,6)+$B$4),EH21-$I21)))))</f>
        <v/>
      </c>
      <c r="EJ21" s="68">
        <f>IF($U21=0,0,IF($F21=4,0,IF($F21=3,0,IF(OR(95&gt;$R21,EI21&lt;=$I21),EI21,EI21-MIN(INT(ROUND(IF($F21=1,$C21*$J21,IF(IH21&gt;0,IH21*$K21,EI21*$J21))*IF(95=$R21,$S21,12)/12,6)+$B$4),EI21-$I21)))))</f>
        <v/>
      </c>
      <c r="EK21" s="68">
        <f>IF($U21=0,0,IF($F21=4,0,IF($F21=3,0,IF(OR(96&gt;$R21,EJ21&lt;=$I21),EJ21,EJ21-MIN(INT(ROUND(IF($F21=1,$C21*$J21,IF(II21&gt;0,II21*$K21,EJ21*$J21))*IF(96=$R21,$S21,12)/12,6)+$B$4),EJ21-$I21)))))</f>
        <v/>
      </c>
      <c r="EL21" s="68">
        <f>IF($U21=0,0,IF($F21=4,0,IF($F21=3,0,IF(OR(97&gt;$R21,EK21&lt;=$I21),EK21,EK21-MIN(INT(ROUND(IF($F21=1,$C21*$J21,IF(IJ21&gt;0,IJ21*$K21,EK21*$J21))*IF(97=$R21,$S21,12)/12,6)+$B$4),EK21-$I21)))))</f>
        <v/>
      </c>
      <c r="EM21" s="68">
        <f>IF($U21=0,0,IF($F21=4,0,IF($F21=3,0,IF(OR(98&gt;$R21,EL21&lt;=$I21),EL21,EL21-MIN(INT(ROUND(IF($F21=1,$C21*$J21,IF(IK21&gt;0,IK21*$K21,EL21*$J21))*IF(98=$R21,$S21,12)/12,6)+$B$4),EL21-$I21)))))</f>
        <v/>
      </c>
      <c r="EN21" s="68">
        <f>IF($U21=0,0,IF($F21=4,0,IF($F21=3,0,IF(OR(99&gt;$R21,EM21&lt;=$I21),EM21,EM21-MIN(INT(ROUND(IF($F21=1,$C21*$J21,IF(IL21&gt;0,IL21*$K21,EM21*$J21))*IF(99=$R21,$S21,12)/12,6)+$B$4),EM21-$I21)))))</f>
        <v/>
      </c>
      <c r="EO21" s="68">
        <f>IF($U21=0,0,IF($F21=4,0,IF($F21=3,0,IF(OR(100&gt;$R21,EN21&lt;=$I21),EN21,EN21-MIN(INT(ROUND(IF($F21=1,$C21*$J21,IF(IM21&gt;0,IM21*$K21,EN21*$J21))*IF(100=$R21,$S21,12)/12,6)+$B$4),EN21-$I21)))))</f>
        <v/>
      </c>
      <c r="EP21" s="68">
        <f>IF($U21=0,0,IF($F21=4,0,IF($F21=3,0,IF(OR(101&gt;$R21,EO21&lt;=$I21),EO21,EO21-MIN(INT(ROUND(IF($F21=1,$C21*$J21,IF(IN21&gt;0,IN21*$K21,EO21*$J21))*IF(101=$R21,$S21,12)/12,6)+$B$4),EO21-$I21)))))</f>
        <v/>
      </c>
      <c r="EQ21" s="68" t="n"/>
      <c r="ER21" s="68">
        <f>IF(OR($U21=0,$F21&lt;&gt;2),0,IF(ROUND(AS21*$J21,6)&lt;ROUND($M21,6),AS21,0))</f>
        <v/>
      </c>
      <c r="ES21" s="68">
        <f>IF(OR($U21=0,$F21&lt;&gt;2),0,IF(ER21&gt;0,ER21,IF(ROUND(AT21*$J21,6)&lt;ROUND($M21,6),AT21,0)))</f>
        <v/>
      </c>
      <c r="ET21" s="68">
        <f>IF(OR($U21=0,$F21&lt;&gt;2),0,IF(ES21&gt;0,ES21,IF(ROUND(AU21*$J21,6)&lt;ROUND($M21,6),AU21,0)))</f>
        <v/>
      </c>
      <c r="EU21" s="68">
        <f>IF(OR($U21=0,$F21&lt;&gt;2),0,IF(ET21&gt;0,ET21,IF(ROUND(AV21*$J21,6)&lt;ROUND($M21,6),AV21,0)))</f>
        <v/>
      </c>
      <c r="EV21" s="68">
        <f>IF(OR($U21=0,$F21&lt;&gt;2),0,IF(EU21&gt;0,EU21,IF(ROUND(AW21*$J21,6)&lt;ROUND($M21,6),AW21,0)))</f>
        <v/>
      </c>
      <c r="EW21" s="68">
        <f>IF(OR($U21=0,$F21&lt;&gt;2),0,IF(EV21&gt;0,EV21,IF(ROUND(AX21*$J21,6)&lt;ROUND($M21,6),AX21,0)))</f>
        <v/>
      </c>
      <c r="EX21" s="68">
        <f>IF(OR($U21=0,$F21&lt;&gt;2),0,IF(EW21&gt;0,EW21,IF(ROUND(AY21*$J21,6)&lt;ROUND($M21,6),AY21,0)))</f>
        <v/>
      </c>
      <c r="EY21" s="68">
        <f>IF(OR($U21=0,$F21&lt;&gt;2),0,IF(EX21&gt;0,EX21,IF(ROUND(AZ21*$J21,6)&lt;ROUND($M21,6),AZ21,0)))</f>
        <v/>
      </c>
      <c r="EZ21" s="68">
        <f>IF(OR($U21=0,$F21&lt;&gt;2),0,IF(EY21&gt;0,EY21,IF(ROUND(BA21*$J21,6)&lt;ROUND($M21,6),BA21,0)))</f>
        <v/>
      </c>
      <c r="FA21" s="68">
        <f>IF(OR($U21=0,$F21&lt;&gt;2),0,IF(EZ21&gt;0,EZ21,IF(ROUND(BB21*$J21,6)&lt;ROUND($M21,6),BB21,0)))</f>
        <v/>
      </c>
      <c r="FB21" s="68">
        <f>IF(OR($U21=0,$F21&lt;&gt;2),0,IF(FA21&gt;0,FA21,IF(ROUND(BC21*$J21,6)&lt;ROUND($M21,6),BC21,0)))</f>
        <v/>
      </c>
      <c r="FC21" s="68">
        <f>IF(OR($U21=0,$F21&lt;&gt;2),0,IF(FB21&gt;0,FB21,IF(ROUND(BD21*$J21,6)&lt;ROUND($M21,6),BD21,0)))</f>
        <v/>
      </c>
      <c r="FD21" s="68">
        <f>IF(OR($U21=0,$F21&lt;&gt;2),0,IF(FC21&gt;0,FC21,IF(ROUND(BE21*$J21,6)&lt;ROUND($M21,6),BE21,0)))</f>
        <v/>
      </c>
      <c r="FE21" s="68">
        <f>IF(OR($U21=0,$F21&lt;&gt;2),0,IF(FD21&gt;0,FD21,IF(ROUND(BF21*$J21,6)&lt;ROUND($M21,6),BF21,0)))</f>
        <v/>
      </c>
      <c r="FF21" s="68">
        <f>IF(OR($U21=0,$F21&lt;&gt;2),0,IF(FE21&gt;0,FE21,IF(ROUND(BG21*$J21,6)&lt;ROUND($M21,6),BG21,0)))</f>
        <v/>
      </c>
      <c r="FG21" s="68">
        <f>IF(OR($U21=0,$F21&lt;&gt;2),0,IF(FF21&gt;0,FF21,IF(ROUND(BH21*$J21,6)&lt;ROUND($M21,6),BH21,0)))</f>
        <v/>
      </c>
      <c r="FH21" s="68">
        <f>IF(OR($U21=0,$F21&lt;&gt;2),0,IF(FG21&gt;0,FG21,IF(ROUND(BI21*$J21,6)&lt;ROUND($M21,6),BI21,0)))</f>
        <v/>
      </c>
      <c r="FI21" s="68">
        <f>IF(OR($U21=0,$F21&lt;&gt;2),0,IF(FH21&gt;0,FH21,IF(ROUND(BJ21*$J21,6)&lt;ROUND($M21,6),BJ21,0)))</f>
        <v/>
      </c>
      <c r="FJ21" s="68">
        <f>IF(OR($U21=0,$F21&lt;&gt;2),0,IF(FI21&gt;0,FI21,IF(ROUND(BK21*$J21,6)&lt;ROUND($M21,6),BK21,0)))</f>
        <v/>
      </c>
      <c r="FK21" s="68">
        <f>IF(OR($U21=0,$F21&lt;&gt;2),0,IF(FJ21&gt;0,FJ21,IF(ROUND(BL21*$J21,6)&lt;ROUND($M21,6),BL21,0)))</f>
        <v/>
      </c>
      <c r="FL21" s="68">
        <f>IF(OR($U21=0,$F21&lt;&gt;2),0,IF(FK21&gt;0,FK21,IF(ROUND(BM21*$J21,6)&lt;ROUND($M21,6),BM21,0)))</f>
        <v/>
      </c>
      <c r="FM21" s="68">
        <f>IF(OR($U21=0,$F21&lt;&gt;2),0,IF(FL21&gt;0,FL21,IF(ROUND(BN21*$J21,6)&lt;ROUND($M21,6),BN21,0)))</f>
        <v/>
      </c>
      <c r="FN21" s="68">
        <f>IF(OR($U21=0,$F21&lt;&gt;2),0,IF(FM21&gt;0,FM21,IF(ROUND(BO21*$J21,6)&lt;ROUND($M21,6),BO21,0)))</f>
        <v/>
      </c>
      <c r="FO21" s="68">
        <f>IF(OR($U21=0,$F21&lt;&gt;2),0,IF(FN21&gt;0,FN21,IF(ROUND(BP21*$J21,6)&lt;ROUND($M21,6),BP21,0)))</f>
        <v/>
      </c>
      <c r="FP21" s="68">
        <f>IF(OR($U21=0,$F21&lt;&gt;2),0,IF(FO21&gt;0,FO21,IF(ROUND(BQ21*$J21,6)&lt;ROUND($M21,6),BQ21,0)))</f>
        <v/>
      </c>
      <c r="FQ21" s="68">
        <f>IF(OR($U21=0,$F21&lt;&gt;2),0,IF(FP21&gt;0,FP21,IF(ROUND(BR21*$J21,6)&lt;ROUND($M21,6),BR21,0)))</f>
        <v/>
      </c>
      <c r="FR21" s="68">
        <f>IF(OR($U21=0,$F21&lt;&gt;2),0,IF(FQ21&gt;0,FQ21,IF(ROUND(BS21*$J21,6)&lt;ROUND($M21,6),BS21,0)))</f>
        <v/>
      </c>
      <c r="FS21" s="68">
        <f>IF(OR($U21=0,$F21&lt;&gt;2),0,IF(FR21&gt;0,FR21,IF(ROUND(BT21*$J21,6)&lt;ROUND($M21,6),BT21,0)))</f>
        <v/>
      </c>
      <c r="FT21" s="68">
        <f>IF(OR($U21=0,$F21&lt;&gt;2),0,IF(FS21&gt;0,FS21,IF(ROUND(BU21*$J21,6)&lt;ROUND($M21,6),BU21,0)))</f>
        <v/>
      </c>
      <c r="FU21" s="68">
        <f>IF(OR($U21=0,$F21&lt;&gt;2),0,IF(FT21&gt;0,FT21,IF(ROUND(BV21*$J21,6)&lt;ROUND($M21,6),BV21,0)))</f>
        <v/>
      </c>
      <c r="FV21" s="68">
        <f>IF(OR($U21=0,$F21&lt;&gt;2),0,IF(FU21&gt;0,FU21,IF(ROUND(BW21*$J21,6)&lt;ROUND($M21,6),BW21,0)))</f>
        <v/>
      </c>
      <c r="FW21" s="68">
        <f>IF(OR($U21=0,$F21&lt;&gt;2),0,IF(FV21&gt;0,FV21,IF(ROUND(BX21*$J21,6)&lt;ROUND($M21,6),BX21,0)))</f>
        <v/>
      </c>
      <c r="FX21" s="68">
        <f>IF(OR($U21=0,$F21&lt;&gt;2),0,IF(FW21&gt;0,FW21,IF(ROUND(BY21*$J21,6)&lt;ROUND($M21,6),BY21,0)))</f>
        <v/>
      </c>
      <c r="FY21" s="68">
        <f>IF(OR($U21=0,$F21&lt;&gt;2),0,IF(FX21&gt;0,FX21,IF(ROUND(BZ21*$J21,6)&lt;ROUND($M21,6),BZ21,0)))</f>
        <v/>
      </c>
      <c r="FZ21" s="68">
        <f>IF(OR($U21=0,$F21&lt;&gt;2),0,IF(FY21&gt;0,FY21,IF(ROUND(CA21*$J21,6)&lt;ROUND($M21,6),CA21,0)))</f>
        <v/>
      </c>
      <c r="GA21" s="68">
        <f>IF(OR($U21=0,$F21&lt;&gt;2),0,IF(FZ21&gt;0,FZ21,IF(ROUND(CB21*$J21,6)&lt;ROUND($M21,6),CB21,0)))</f>
        <v/>
      </c>
      <c r="GB21" s="68">
        <f>IF(OR($U21=0,$F21&lt;&gt;2),0,IF(GA21&gt;0,GA21,IF(ROUND(CC21*$J21,6)&lt;ROUND($M21,6),CC21,0)))</f>
        <v/>
      </c>
      <c r="GC21" s="68">
        <f>IF(OR($U21=0,$F21&lt;&gt;2),0,IF(GB21&gt;0,GB21,IF(ROUND(CD21*$J21,6)&lt;ROUND($M21,6),CD21,0)))</f>
        <v/>
      </c>
      <c r="GD21" s="68">
        <f>IF(OR($U21=0,$F21&lt;&gt;2),0,IF(GC21&gt;0,GC21,IF(ROUND(CE21*$J21,6)&lt;ROUND($M21,6),CE21,0)))</f>
        <v/>
      </c>
      <c r="GE21" s="68">
        <f>IF(OR($U21=0,$F21&lt;&gt;2),0,IF(GD21&gt;0,GD21,IF(ROUND(CF21*$J21,6)&lt;ROUND($M21,6),CF21,0)))</f>
        <v/>
      </c>
      <c r="GF21" s="68">
        <f>IF(OR($U21=0,$F21&lt;&gt;2),0,IF(GE21&gt;0,GE21,IF(ROUND(CG21*$J21,6)&lt;ROUND($M21,6),CG21,0)))</f>
        <v/>
      </c>
      <c r="GG21" s="68">
        <f>IF(OR($U21=0,$F21&lt;&gt;2),0,IF(GF21&gt;0,GF21,IF(ROUND(CH21*$J21,6)&lt;ROUND($M21,6),CH21,0)))</f>
        <v/>
      </c>
      <c r="GH21" s="68">
        <f>IF(OR($U21=0,$F21&lt;&gt;2),0,IF(GG21&gt;0,GG21,IF(ROUND(CI21*$J21,6)&lt;ROUND($M21,6),CI21,0)))</f>
        <v/>
      </c>
      <c r="GI21" s="68">
        <f>IF(OR($U21=0,$F21&lt;&gt;2),0,IF(GH21&gt;0,GH21,IF(ROUND(CJ21*$J21,6)&lt;ROUND($M21,6),CJ21,0)))</f>
        <v/>
      </c>
      <c r="GJ21" s="68">
        <f>IF(OR($U21=0,$F21&lt;&gt;2),0,IF(GI21&gt;0,GI21,IF(ROUND(CK21*$J21,6)&lt;ROUND($M21,6),CK21,0)))</f>
        <v/>
      </c>
      <c r="GK21" s="68">
        <f>IF(OR($U21=0,$F21&lt;&gt;2),0,IF(GJ21&gt;0,GJ21,IF(ROUND(CL21*$J21,6)&lt;ROUND($M21,6),CL21,0)))</f>
        <v/>
      </c>
      <c r="GL21" s="68">
        <f>IF(OR($U21=0,$F21&lt;&gt;2),0,IF(GK21&gt;0,GK21,IF(ROUND(CM21*$J21,6)&lt;ROUND($M21,6),CM21,0)))</f>
        <v/>
      </c>
      <c r="GM21" s="68">
        <f>IF(OR($U21=0,$F21&lt;&gt;2),0,IF(GL21&gt;0,GL21,IF(ROUND(CN21*$J21,6)&lt;ROUND($M21,6),CN21,0)))</f>
        <v/>
      </c>
      <c r="GN21" s="68">
        <f>IF(OR($U21=0,$F21&lt;&gt;2),0,IF(GM21&gt;0,GM21,IF(ROUND(CO21*$J21,6)&lt;ROUND($M21,6),CO21,0)))</f>
        <v/>
      </c>
      <c r="GO21" s="68">
        <f>IF(OR($U21=0,$F21&lt;&gt;2),0,IF(GN21&gt;0,GN21,IF(ROUND(CP21*$J21,6)&lt;ROUND($M21,6),CP21,0)))</f>
        <v/>
      </c>
      <c r="GP21" s="68">
        <f>IF(OR($U21=0,$F21&lt;&gt;2),0,IF(GO21&gt;0,GO21,IF(ROUND(CQ21*$J21,6)&lt;ROUND($M21,6),CQ21,0)))</f>
        <v/>
      </c>
      <c r="GQ21" s="68">
        <f>IF(OR($U21=0,$F21&lt;&gt;2),0,IF(GP21&gt;0,GP21,IF(ROUND(CR21*$J21,6)&lt;ROUND($M21,6),CR21,0)))</f>
        <v/>
      </c>
      <c r="GR21" s="68">
        <f>IF(OR($U21=0,$F21&lt;&gt;2),0,IF(GQ21&gt;0,GQ21,IF(ROUND(CS21*$J21,6)&lt;ROUND($M21,6),CS21,0)))</f>
        <v/>
      </c>
      <c r="GS21" s="68">
        <f>IF(OR($U21=0,$F21&lt;&gt;2),0,IF(GR21&gt;0,GR21,IF(ROUND(CT21*$J21,6)&lt;ROUND($M21,6),CT21,0)))</f>
        <v/>
      </c>
      <c r="GT21" s="68">
        <f>IF(OR($U21=0,$F21&lt;&gt;2),0,IF(GS21&gt;0,GS21,IF(ROUND(CU21*$J21,6)&lt;ROUND($M21,6),CU21,0)))</f>
        <v/>
      </c>
      <c r="GU21" s="68">
        <f>IF(OR($U21=0,$F21&lt;&gt;2),0,IF(GT21&gt;0,GT21,IF(ROUND(CV21*$J21,6)&lt;ROUND($M21,6),CV21,0)))</f>
        <v/>
      </c>
      <c r="GV21" s="68">
        <f>IF(OR($U21=0,$F21&lt;&gt;2),0,IF(GU21&gt;0,GU21,IF(ROUND(CW21*$J21,6)&lt;ROUND($M21,6),CW21,0)))</f>
        <v/>
      </c>
      <c r="GW21" s="68">
        <f>IF(OR($U21=0,$F21&lt;&gt;2),0,IF(GV21&gt;0,GV21,IF(ROUND(CX21*$J21,6)&lt;ROUND($M21,6),CX21,0)))</f>
        <v/>
      </c>
      <c r="GX21" s="68">
        <f>IF(OR($U21=0,$F21&lt;&gt;2),0,IF(GW21&gt;0,GW21,IF(ROUND(CY21*$J21,6)&lt;ROUND($M21,6),CY21,0)))</f>
        <v/>
      </c>
      <c r="GY21" s="68">
        <f>IF(OR($U21=0,$F21&lt;&gt;2),0,IF(GX21&gt;0,GX21,IF(ROUND(CZ21*$J21,6)&lt;ROUND($M21,6),CZ21,0)))</f>
        <v/>
      </c>
      <c r="GZ21" s="68">
        <f>IF(OR($U21=0,$F21&lt;&gt;2),0,IF(GY21&gt;0,GY21,IF(ROUND(DA21*$J21,6)&lt;ROUND($M21,6),DA21,0)))</f>
        <v/>
      </c>
      <c r="HA21" s="68">
        <f>IF(OR($U21=0,$F21&lt;&gt;2),0,IF(GZ21&gt;0,GZ21,IF(ROUND(DB21*$J21,6)&lt;ROUND($M21,6),DB21,0)))</f>
        <v/>
      </c>
      <c r="HB21" s="68">
        <f>IF(OR($U21=0,$F21&lt;&gt;2),0,IF(HA21&gt;0,HA21,IF(ROUND(DC21*$J21,6)&lt;ROUND($M21,6),DC21,0)))</f>
        <v/>
      </c>
      <c r="HC21" s="68">
        <f>IF(OR($U21=0,$F21&lt;&gt;2),0,IF(HB21&gt;0,HB21,IF(ROUND(DD21*$J21,6)&lt;ROUND($M21,6),DD21,0)))</f>
        <v/>
      </c>
      <c r="HD21" s="68">
        <f>IF(OR($U21=0,$F21&lt;&gt;2),0,IF(HC21&gt;0,HC21,IF(ROUND(DE21*$J21,6)&lt;ROUND($M21,6),DE21,0)))</f>
        <v/>
      </c>
      <c r="HE21" s="68">
        <f>IF(OR($U21=0,$F21&lt;&gt;2),0,IF(HD21&gt;0,HD21,IF(ROUND(DF21*$J21,6)&lt;ROUND($M21,6),DF21,0)))</f>
        <v/>
      </c>
      <c r="HF21" s="68">
        <f>IF(OR($U21=0,$F21&lt;&gt;2),0,IF(HE21&gt;0,HE21,IF(ROUND(DG21*$J21,6)&lt;ROUND($M21,6),DG21,0)))</f>
        <v/>
      </c>
      <c r="HG21" s="68">
        <f>IF(OR($U21=0,$F21&lt;&gt;2),0,IF(HF21&gt;0,HF21,IF(ROUND(DH21*$J21,6)&lt;ROUND($M21,6),DH21,0)))</f>
        <v/>
      </c>
      <c r="HH21" s="68">
        <f>IF(OR($U21=0,$F21&lt;&gt;2),0,IF(HG21&gt;0,HG21,IF(ROUND(DI21*$J21,6)&lt;ROUND($M21,6),DI21,0)))</f>
        <v/>
      </c>
      <c r="HI21" s="68">
        <f>IF(OR($U21=0,$F21&lt;&gt;2),0,IF(HH21&gt;0,HH21,IF(ROUND(DJ21*$J21,6)&lt;ROUND($M21,6),DJ21,0)))</f>
        <v/>
      </c>
      <c r="HJ21" s="68">
        <f>IF(OR($U21=0,$F21&lt;&gt;2),0,IF(HI21&gt;0,HI21,IF(ROUND(DK21*$J21,6)&lt;ROUND($M21,6),DK21,0)))</f>
        <v/>
      </c>
      <c r="HK21" s="68">
        <f>IF(OR($U21=0,$F21&lt;&gt;2),0,IF(HJ21&gt;0,HJ21,IF(ROUND(DL21*$J21,6)&lt;ROUND($M21,6),DL21,0)))</f>
        <v/>
      </c>
      <c r="HL21" s="68">
        <f>IF(OR($U21=0,$F21&lt;&gt;2),0,IF(HK21&gt;0,HK21,IF(ROUND(DM21*$J21,6)&lt;ROUND($M21,6),DM21,0)))</f>
        <v/>
      </c>
      <c r="HM21" s="68">
        <f>IF(OR($U21=0,$F21&lt;&gt;2),0,IF(HL21&gt;0,HL21,IF(ROUND(DN21*$J21,6)&lt;ROUND($M21,6),DN21,0)))</f>
        <v/>
      </c>
      <c r="HN21" s="68">
        <f>IF(OR($U21=0,$F21&lt;&gt;2),0,IF(HM21&gt;0,HM21,IF(ROUND(DO21*$J21,6)&lt;ROUND($M21,6),DO21,0)))</f>
        <v/>
      </c>
      <c r="HO21" s="68">
        <f>IF(OR($U21=0,$F21&lt;&gt;2),0,IF(HN21&gt;0,HN21,IF(ROUND(DP21*$J21,6)&lt;ROUND($M21,6),DP21,0)))</f>
        <v/>
      </c>
      <c r="HP21" s="68">
        <f>IF(OR($U21=0,$F21&lt;&gt;2),0,IF(HO21&gt;0,HO21,IF(ROUND(DQ21*$J21,6)&lt;ROUND($M21,6),DQ21,0)))</f>
        <v/>
      </c>
      <c r="HQ21" s="68">
        <f>IF(OR($U21=0,$F21&lt;&gt;2),0,IF(HP21&gt;0,HP21,IF(ROUND(DR21*$J21,6)&lt;ROUND($M21,6),DR21,0)))</f>
        <v/>
      </c>
      <c r="HR21" s="68">
        <f>IF(OR($U21=0,$F21&lt;&gt;2),0,IF(HQ21&gt;0,HQ21,IF(ROUND(DS21*$J21,6)&lt;ROUND($M21,6),DS21,0)))</f>
        <v/>
      </c>
      <c r="HS21" s="68">
        <f>IF(OR($U21=0,$F21&lt;&gt;2),0,IF(HR21&gt;0,HR21,IF(ROUND(DT21*$J21,6)&lt;ROUND($M21,6),DT21,0)))</f>
        <v/>
      </c>
      <c r="HT21" s="68">
        <f>IF(OR($U21=0,$F21&lt;&gt;2),0,IF(HS21&gt;0,HS21,IF(ROUND(DU21*$J21,6)&lt;ROUND($M21,6),DU21,0)))</f>
        <v/>
      </c>
      <c r="HU21" s="68">
        <f>IF(OR($U21=0,$F21&lt;&gt;2),0,IF(HT21&gt;0,HT21,IF(ROUND(DV21*$J21,6)&lt;ROUND($M21,6),DV21,0)))</f>
        <v/>
      </c>
      <c r="HV21" s="68">
        <f>IF(OR($U21=0,$F21&lt;&gt;2),0,IF(HU21&gt;0,HU21,IF(ROUND(DW21*$J21,6)&lt;ROUND($M21,6),DW21,0)))</f>
        <v/>
      </c>
      <c r="HW21" s="68">
        <f>IF(OR($U21=0,$F21&lt;&gt;2),0,IF(HV21&gt;0,HV21,IF(ROUND(DX21*$J21,6)&lt;ROUND($M21,6),DX21,0)))</f>
        <v/>
      </c>
      <c r="HX21" s="68">
        <f>IF(OR($U21=0,$F21&lt;&gt;2),0,IF(HW21&gt;0,HW21,IF(ROUND(DY21*$J21,6)&lt;ROUND($M21,6),DY21,0)))</f>
        <v/>
      </c>
      <c r="HY21" s="68">
        <f>IF(OR($U21=0,$F21&lt;&gt;2),0,IF(HX21&gt;0,HX21,IF(ROUND(DZ21*$J21,6)&lt;ROUND($M21,6),DZ21,0)))</f>
        <v/>
      </c>
      <c r="HZ21" s="68">
        <f>IF(OR($U21=0,$F21&lt;&gt;2),0,IF(HY21&gt;0,HY21,IF(ROUND(EA21*$J21,6)&lt;ROUND($M21,6),EA21,0)))</f>
        <v/>
      </c>
      <c r="IA21" s="68">
        <f>IF(OR($U21=0,$F21&lt;&gt;2),0,IF(HZ21&gt;0,HZ21,IF(ROUND(EB21*$J21,6)&lt;ROUND($M21,6),EB21,0)))</f>
        <v/>
      </c>
      <c r="IB21" s="68">
        <f>IF(OR($U21=0,$F21&lt;&gt;2),0,IF(IA21&gt;0,IA21,IF(ROUND(EC21*$J21,6)&lt;ROUND($M21,6),EC21,0)))</f>
        <v/>
      </c>
      <c r="IC21" s="68">
        <f>IF(OR($U21=0,$F21&lt;&gt;2),0,IF(IB21&gt;0,IB21,IF(ROUND(ED21*$J21,6)&lt;ROUND($M21,6),ED21,0)))</f>
        <v/>
      </c>
      <c r="ID21" s="68">
        <f>IF(OR($U21=0,$F21&lt;&gt;2),0,IF(IC21&gt;0,IC21,IF(ROUND(EE21*$J21,6)&lt;ROUND($M21,6),EE21,0)))</f>
        <v/>
      </c>
      <c r="IE21" s="68">
        <f>IF(OR($U21=0,$F21&lt;&gt;2),0,IF(ID21&gt;0,ID21,IF(ROUND(EF21*$J21,6)&lt;ROUND($M21,6),EF21,0)))</f>
        <v/>
      </c>
      <c r="IF21" s="68">
        <f>IF(OR($U21=0,$F21&lt;&gt;2),0,IF(IE21&gt;0,IE21,IF(ROUND(EG21*$J21,6)&lt;ROUND($M21,6),EG21,0)))</f>
        <v/>
      </c>
      <c r="IG21" s="68">
        <f>IF(OR($U21=0,$F21&lt;&gt;2),0,IF(IF21&gt;0,IF21,IF(ROUND(EH21*$J21,6)&lt;ROUND($M21,6),EH21,0)))</f>
        <v/>
      </c>
      <c r="IH21" s="68">
        <f>IF(OR($U21=0,$F21&lt;&gt;2),0,IF(IG21&gt;0,IG21,IF(ROUND(EI21*$J21,6)&lt;ROUND($M21,6),EI21,0)))</f>
        <v/>
      </c>
      <c r="II21" s="68">
        <f>IF(OR($U21=0,$F21&lt;&gt;2),0,IF(IH21&gt;0,IH21,IF(ROUND(EJ21*$J21,6)&lt;ROUND($M21,6),EJ21,0)))</f>
        <v/>
      </c>
      <c r="IJ21" s="68">
        <f>IF(OR($U21=0,$F21&lt;&gt;2),0,IF(II21&gt;0,II21,IF(ROUND(EK21*$J21,6)&lt;ROUND($M21,6),EK21,0)))</f>
        <v/>
      </c>
      <c r="IK21" s="68">
        <f>IF(OR($U21=0,$F21&lt;&gt;2),0,IF(IJ21&gt;0,IJ21,IF(ROUND(EL21*$J21,6)&lt;ROUND($M21,6),EL21,0)))</f>
        <v/>
      </c>
      <c r="IL21" s="68">
        <f>IF(OR($U21=0,$F21&lt;&gt;2),0,IF(IK21&gt;0,IK21,IF(ROUND(EM21*$J21,6)&lt;ROUND($M21,6),EM21,0)))</f>
        <v/>
      </c>
      <c r="IM21" s="68">
        <f>IF(OR($U21=0,$F21&lt;&gt;2),0,IF(IL21&gt;0,IL21,IF(ROUND(EN21*$J21,6)&lt;ROUND($M21,6),EN21,0)))</f>
        <v/>
      </c>
      <c r="IN21" s="68">
        <f>IF(OR($U21=0,$F21&lt;&gt;2),0,IF(IM21&gt;0,IM21,IF(ROUND(EO21*$J21,6)&lt;ROUND($M21,6),EO21,0)))</f>
        <v/>
      </c>
    </row>
    <row r="22">
      <c r="A22" s="68" t="n">
        <v>17</v>
      </c>
      <c r="B22" s="68">
        <f>IF(OR(TRIM('固定資産台帳'!$B22)&lt;&gt;"",'固定資産台帳'!$E22&lt;&gt;"",'固定資産台帳'!$G22&lt;&gt;"",'固定資産台帳'!$H22&lt;&gt;""),1,0)</f>
        <v/>
      </c>
      <c r="C22" s="68">
        <f>IF(ISNUMBER('固定資産台帳'!$G22),MAX(ROUND('固定資産台帳'!$G22,0),0),0)</f>
        <v/>
      </c>
      <c r="D22" s="84">
        <f>IF(ISNUMBER('固定資産台帳'!$E22),INT('固定資産台帳'!$E22),0)</f>
        <v/>
      </c>
      <c r="E22" s="84">
        <f>IF(ISNUMBER('固定資産台帳'!$F22),INT('固定資産台帳'!$F22),$D22)</f>
        <v/>
      </c>
      <c r="F22" s="68">
        <f>IF('固定資産台帳'!$H22="定額法",1,IF(OR('固定資産台帳'!$H22="定率法",'固定資産台帳'!$H22="定率法（200%）",'固定資産台帳'!$H22="定率法（250%）"),2,IF('固定資産台帳'!$H22="一括償却（3年）",3,IF('固定資産台帳'!$H22="少額特例",4,0))))</f>
        <v/>
      </c>
      <c r="G22" s="68">
        <f>IF('固定資産台帳'!$H22="定率法（250%）",250,IF('固定資産台帳'!$H22="定率法（200%）",200,IF($D22&gt;=DATE(2012,4,1),200,250)))</f>
        <v/>
      </c>
      <c r="H22" s="68">
        <f>IF(ISNUMBER('固定資産台帳'!$I22),IF(AND('固定資産台帳'!$I22&gt;=2,'固定資産台帳'!$I22&lt;=100,'固定資産台帳'!$I22=INT('固定資産台帳'!$I22)),'固定資産台帳'!$I22,0),0)</f>
        <v/>
      </c>
      <c r="I22" s="68">
        <f>IF('固定資産台帳'!$C22="無形固定資産",0,1)</f>
        <v/>
      </c>
      <c r="J22" s="68">
        <f>IF(OR($H22=0,$F22=0,$F22&gt;2),0,IF($F22=1,INDEX('償却率表'!$B$6:$B$104,$H22-1),IF($G22=200,INDEX('償却率表'!$C$6:$C$104,$H22-1),INDEX('償却率表'!$F$6:$F$104,$H22-1))))</f>
        <v/>
      </c>
      <c r="K22" s="68">
        <f>IF(AND($F22=2,$H22&gt;0),IF($G22=200,INDEX('償却率表'!$D$6:$D$104,$H22-1),INDEX('償却率表'!$G$6:$G$104,$H22-1)),0)</f>
        <v/>
      </c>
      <c r="L22" s="68">
        <f>IF(AND($F22=2,$H22&gt;0),IF($G22=200,INDEX('償却率表'!$E$6:$E$104,$H22-1),INDEX('償却率表'!$H$6:$H$104,$H22-1)),0)</f>
        <v/>
      </c>
      <c r="M22" s="68">
        <f>$C22*$L22</f>
        <v/>
      </c>
      <c r="N22" s="68">
        <f>IF($B$1=1,1,IF('固定資産台帳'!$J22="",1,IF(ISNUMBER('固定資産台帳'!$J22),IF(AND('固定資産台帳'!$J22&gt;0,'固定資産台帳'!$J22&lt;=1),'固定資産台帳'!$J22,0),0)))</f>
        <v/>
      </c>
      <c r="O22" s="68">
        <f>IF($E22=0,0,YEAR($E22)-IF(MONTH($E22)&lt;$B$2,1,0))</f>
        <v/>
      </c>
      <c r="P22" s="68">
        <f>IF($E22=0,0,12-MOD(MONTH($E22)-$B$2,12))</f>
        <v/>
      </c>
      <c r="Q22" s="84">
        <f>IF(ISNUMBER('固定資産台帳'!$K22),INT('固定資産台帳'!$K22),0)</f>
        <v/>
      </c>
      <c r="R22" s="68">
        <f>IF(OR($Q22=0,$E22=0),999,YEAR($Q22)-IF(MONTH($Q22)&lt;$B$2,1,0)-$O22)</f>
        <v/>
      </c>
      <c r="S22" s="68">
        <f>IF($R22=999,0,MOD(MONTH($Q22)-$B$2,12)+1-IF($R22=0,12-$P22,0))</f>
        <v/>
      </c>
      <c r="T22" s="68">
        <f>IF($B22=0,0,IF($C22&lt;=0,1,IF($D22=0,2,IF($F22=0,3,IF(AND($F22&lt;=2,$H22=0),4,IF(AND($F22&lt;=2,$D22&lt;DATE(2007,4,1)),5,IF($E22&lt;$D22,6,IF(AND($Q22&gt;0,$Q22&lt;$E22),7,IF($N22=0,8,IF($B$3=0,9,0))))))))))</f>
        <v/>
      </c>
      <c r="U22" s="68">
        <f>IF(AND($B22=1,$T22=0),1,0)</f>
        <v/>
      </c>
      <c r="V22" s="68">
        <f>$B$3-$O22</f>
        <v/>
      </c>
      <c r="W22" s="68">
        <f>IF(AND($U22=1,$V22&gt;=0),1,0)</f>
        <v/>
      </c>
      <c r="X22" s="68">
        <f>IF($W22=0,0,IF($V22=0,$C22,INDEX($AS22:$EP22,MIN($V22,102))))</f>
        <v/>
      </c>
      <c r="Y22" s="68">
        <f>IF($W22=0,0,INDEX($AS22:$EP22,MIN($V22,101)+1))</f>
        <v/>
      </c>
      <c r="Z22" s="68">
        <f>$X22-$Y22</f>
        <v/>
      </c>
      <c r="AA22" s="68">
        <f>IF(AND($W22=1,$F22=2,$V22&gt;=1),INDEX($ER22:$IN22,MIN($V22,101)),0)</f>
        <v/>
      </c>
      <c r="AB22" s="68">
        <f>IF(OR($W22=0,$F22&gt;2,$Z22=0),0,IF($V22=0,IF($R22=0,$S22,$P22),IF($V22=$R22,$S22,12)))</f>
        <v/>
      </c>
      <c r="AC22" s="68">
        <f>IF($W22=0,0,INT(ROUND($Z22*$N22,6)+$B$4))</f>
        <v/>
      </c>
      <c r="AD22" s="68">
        <f>IF(AND($W22=1,$F22&lt;=2,$V22=$R22),1,0)</f>
        <v/>
      </c>
      <c r="AE22" s="68">
        <f>IF(AND($W22=1,$F22&lt;=2,$V22&gt;$R22),1,0)</f>
        <v/>
      </c>
      <c r="AF22" s="68">
        <f>IF(AND($W22=1,$AE22=0,OR($Z22&gt;0,$AD22=1)),1,0)</f>
        <v/>
      </c>
      <c r="AG22" s="68">
        <f>IF($AF22=1,SUM($AF$6:$AF22),0)</f>
        <v/>
      </c>
      <c r="AH22" s="68">
        <f>IF($T22=0,"",CHOOSE($T22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22" s="68">
        <f>IF(AND($F22=2,OR('固定資産台帳'!$C22="建物",'固定資産台帳'!$C22="無形固定資産",AND(OR('固定資産台帳'!$C22="建物附属設備",'固定資産台帳'!$C22="構築物"),$D22&gt;=DATE(2016,4,1)))),"この資産は定額法だけです（定率法は使えません）。","")&amp;IF(AND($F22=3,$C22&gt;=200000),"一括償却は20万円未満の資産だけです。","")&amp;IF(AND($F22=3,$B$1=0,$C22&lt;100000),"10万円未満は一括償却にせず、全額をその年の経費にします。","")&amp;IF(AND($F22=4,$C22&lt;100000),"10万円未満は少額特例ではなく、全額をその年の経費にします。","")&amp;IF(AND($F22=4,$D22&lt;DATE(2026,4,1),$C22&gt;=300000),"2026年3月31日までの取得で少額特例が使えるのは30万円未満です。","")&amp;IF(AND($F22=4,$D22&gt;=DATE(2026,4,1),$C22&gt;=400000),"少額特例は40万円未満の資産だけです。","")&amp;IF(AND($F22=4,OR($D22&lt;DATE(2006,4,1),$D22&gt;DATE(2029,3,31))),"少額特例は2006年4月1日〜2029年3月31日に取得した資産だけです。","")&amp;IF(AND($F22=2,$G22=250,$D22&gt;DATE(2012,12,31)),"250%定率法は2012年12月31日までの取得だけです。","")</f>
        <v/>
      </c>
      <c r="AJ22" s="68">
        <f>IF(AND($F22=2,'固定資産台帳'!$H22="定率法（200%）",$D22&lt;DATE(2012,4,1)),"2012年3月31日までの取得に200%を使うのは、経過措置の届出をした場合です。","")&amp;IF(AND($F22=2,'固定資産台帳'!$H22="定率法（250%）",$D22&gt;=DATE(2012,4,1),$D22&lt;=DATE(2012,12,31)),"2012年4〜12月の取得に250%を使うのは、経過措置を選んだ場合です。","")</f>
        <v/>
      </c>
      <c r="AK22" s="68">
        <f>IF($U22=0,"",IF($V22&lt;0,"表示している年より後に使い始める資産です。",IF($AE22=1,"売却・除却済みです。",IF($AD22=1,"この年に売却・除却。期末の帳簿価額 "&amp;TEXT($Y22,"#,##0")&amp;"円を帳簿から外します。",IF($F22=4,IF($V22=0,"少額特例：この年に全額を経費にします。","少額特例で経費にした資産です。"),IF($F22=3,IF($V22&gt;2,"一括償却は終わっています。","一括償却 "&amp;($V22+1)&amp;"年目（3年のうち）。"),IF($Z22=0,"償却済み（帳簿価額 "&amp;TEXT($Y22,"#,##0")&amp;"円）。",IF($AA22&gt;0,"改定償却率で計算（改定取得価額 "&amp;TEXT($AA22,"#,##0")&amp;"円）。",IF($V22=0,"この年に使い始め（"&amp;$AB22&amp;"か月分）。","")))))))))</f>
        <v/>
      </c>
      <c r="AL22" s="68">
        <f>IF(AND($U22=1,$F22=4,$V22=0),$C22,0)</f>
        <v/>
      </c>
      <c r="AM22" s="68">
        <f>IF($F22=2,INT(ROUND($M22,6)+$B$4),0)</f>
        <v/>
      </c>
      <c r="AN22" s="68">
        <f>IF($W22=0,0,IF($F22=2,IF($AA22&gt;0,$AA22,$X22),$C22))</f>
        <v/>
      </c>
      <c r="AO22" s="68">
        <f>IF($W22=0,"",IF($F22=3,"1/3",IF($F22=4,"―",IF($AA22&gt;0,$K22,$J22))))</f>
        <v/>
      </c>
      <c r="AP22" s="68" t="n"/>
      <c r="AQ22" s="68" t="n"/>
      <c r="AR22" s="68" t="n"/>
      <c r="AS22" s="68">
        <f>IF($U22=0,0,IF($F22=4,0,IF($F22=3,MAX($C22-INT(ROUND($C22/3,6)+$B$4),0),$C22-MIN(INT(ROUND($C22*$J22*IF($R22=0,$S22,$P22)/12,6)+$B$4),MAX($C22-$I22,0)))))</f>
        <v/>
      </c>
      <c r="AT22" s="68">
        <f>IF($U22=0,0,IF($F22=4,0,IF($F22=3,AS22-MIN(INT(ROUND($C22/3,6)+$B$4),AS22),IF(OR(1&gt;$R22,AS22&lt;=$I22),AS22,AS22-MIN(INT(ROUND(IF($F22=1,$C22*$J22,IF(ER22&gt;0,ER22*$K22,AS22*$J22))*IF(1=$R22,$S22,12)/12,6)+$B$4),AS22-$I22)))))</f>
        <v/>
      </c>
      <c r="AU22" s="68">
        <f>IF($U22=0,0,IF($F22=4,0,IF($F22=3,0,IF(OR(2&gt;$R22,AT22&lt;=$I22),AT22,AT22-MIN(INT(ROUND(IF($F22=1,$C22*$J22,IF(ES22&gt;0,ES22*$K22,AT22*$J22))*IF(2=$R22,$S22,12)/12,6)+$B$4),AT22-$I22)))))</f>
        <v/>
      </c>
      <c r="AV22" s="68">
        <f>IF($U22=0,0,IF($F22=4,0,IF($F22=3,0,IF(OR(3&gt;$R22,AU22&lt;=$I22),AU22,AU22-MIN(INT(ROUND(IF($F22=1,$C22*$J22,IF(ET22&gt;0,ET22*$K22,AU22*$J22))*IF(3=$R22,$S22,12)/12,6)+$B$4),AU22-$I22)))))</f>
        <v/>
      </c>
      <c r="AW22" s="68">
        <f>IF($U22=0,0,IF($F22=4,0,IF($F22=3,0,IF(OR(4&gt;$R22,AV22&lt;=$I22),AV22,AV22-MIN(INT(ROUND(IF($F22=1,$C22*$J22,IF(EU22&gt;0,EU22*$K22,AV22*$J22))*IF(4=$R22,$S22,12)/12,6)+$B$4),AV22-$I22)))))</f>
        <v/>
      </c>
      <c r="AX22" s="68">
        <f>IF($U22=0,0,IF($F22=4,0,IF($F22=3,0,IF(OR(5&gt;$R22,AW22&lt;=$I22),AW22,AW22-MIN(INT(ROUND(IF($F22=1,$C22*$J22,IF(EV22&gt;0,EV22*$K22,AW22*$J22))*IF(5=$R22,$S22,12)/12,6)+$B$4),AW22-$I22)))))</f>
        <v/>
      </c>
      <c r="AY22" s="68">
        <f>IF($U22=0,0,IF($F22=4,0,IF($F22=3,0,IF(OR(6&gt;$R22,AX22&lt;=$I22),AX22,AX22-MIN(INT(ROUND(IF($F22=1,$C22*$J22,IF(EW22&gt;0,EW22*$K22,AX22*$J22))*IF(6=$R22,$S22,12)/12,6)+$B$4),AX22-$I22)))))</f>
        <v/>
      </c>
      <c r="AZ22" s="68">
        <f>IF($U22=0,0,IF($F22=4,0,IF($F22=3,0,IF(OR(7&gt;$R22,AY22&lt;=$I22),AY22,AY22-MIN(INT(ROUND(IF($F22=1,$C22*$J22,IF(EX22&gt;0,EX22*$K22,AY22*$J22))*IF(7=$R22,$S22,12)/12,6)+$B$4),AY22-$I22)))))</f>
        <v/>
      </c>
      <c r="BA22" s="68">
        <f>IF($U22=0,0,IF($F22=4,0,IF($F22=3,0,IF(OR(8&gt;$R22,AZ22&lt;=$I22),AZ22,AZ22-MIN(INT(ROUND(IF($F22=1,$C22*$J22,IF(EY22&gt;0,EY22*$K22,AZ22*$J22))*IF(8=$R22,$S22,12)/12,6)+$B$4),AZ22-$I22)))))</f>
        <v/>
      </c>
      <c r="BB22" s="68">
        <f>IF($U22=0,0,IF($F22=4,0,IF($F22=3,0,IF(OR(9&gt;$R22,BA22&lt;=$I22),BA22,BA22-MIN(INT(ROUND(IF($F22=1,$C22*$J22,IF(EZ22&gt;0,EZ22*$K22,BA22*$J22))*IF(9=$R22,$S22,12)/12,6)+$B$4),BA22-$I22)))))</f>
        <v/>
      </c>
      <c r="BC22" s="68">
        <f>IF($U22=0,0,IF($F22=4,0,IF($F22=3,0,IF(OR(10&gt;$R22,BB22&lt;=$I22),BB22,BB22-MIN(INT(ROUND(IF($F22=1,$C22*$J22,IF(FA22&gt;0,FA22*$K22,BB22*$J22))*IF(10=$R22,$S22,12)/12,6)+$B$4),BB22-$I22)))))</f>
        <v/>
      </c>
      <c r="BD22" s="68">
        <f>IF($U22=0,0,IF($F22=4,0,IF($F22=3,0,IF(OR(11&gt;$R22,BC22&lt;=$I22),BC22,BC22-MIN(INT(ROUND(IF($F22=1,$C22*$J22,IF(FB22&gt;0,FB22*$K22,BC22*$J22))*IF(11=$R22,$S22,12)/12,6)+$B$4),BC22-$I22)))))</f>
        <v/>
      </c>
      <c r="BE22" s="68">
        <f>IF($U22=0,0,IF($F22=4,0,IF($F22=3,0,IF(OR(12&gt;$R22,BD22&lt;=$I22),BD22,BD22-MIN(INT(ROUND(IF($F22=1,$C22*$J22,IF(FC22&gt;0,FC22*$K22,BD22*$J22))*IF(12=$R22,$S22,12)/12,6)+$B$4),BD22-$I22)))))</f>
        <v/>
      </c>
      <c r="BF22" s="68">
        <f>IF($U22=0,0,IF($F22=4,0,IF($F22=3,0,IF(OR(13&gt;$R22,BE22&lt;=$I22),BE22,BE22-MIN(INT(ROUND(IF($F22=1,$C22*$J22,IF(FD22&gt;0,FD22*$K22,BE22*$J22))*IF(13=$R22,$S22,12)/12,6)+$B$4),BE22-$I22)))))</f>
        <v/>
      </c>
      <c r="BG22" s="68">
        <f>IF($U22=0,0,IF($F22=4,0,IF($F22=3,0,IF(OR(14&gt;$R22,BF22&lt;=$I22),BF22,BF22-MIN(INT(ROUND(IF($F22=1,$C22*$J22,IF(FE22&gt;0,FE22*$K22,BF22*$J22))*IF(14=$R22,$S22,12)/12,6)+$B$4),BF22-$I22)))))</f>
        <v/>
      </c>
      <c r="BH22" s="68">
        <f>IF($U22=0,0,IF($F22=4,0,IF($F22=3,0,IF(OR(15&gt;$R22,BG22&lt;=$I22),BG22,BG22-MIN(INT(ROUND(IF($F22=1,$C22*$J22,IF(FF22&gt;0,FF22*$K22,BG22*$J22))*IF(15=$R22,$S22,12)/12,6)+$B$4),BG22-$I22)))))</f>
        <v/>
      </c>
      <c r="BI22" s="68">
        <f>IF($U22=0,0,IF($F22=4,0,IF($F22=3,0,IF(OR(16&gt;$R22,BH22&lt;=$I22),BH22,BH22-MIN(INT(ROUND(IF($F22=1,$C22*$J22,IF(FG22&gt;0,FG22*$K22,BH22*$J22))*IF(16=$R22,$S22,12)/12,6)+$B$4),BH22-$I22)))))</f>
        <v/>
      </c>
      <c r="BJ22" s="68">
        <f>IF($U22=0,0,IF($F22=4,0,IF($F22=3,0,IF(OR(17&gt;$R22,BI22&lt;=$I22),BI22,BI22-MIN(INT(ROUND(IF($F22=1,$C22*$J22,IF(FH22&gt;0,FH22*$K22,BI22*$J22))*IF(17=$R22,$S22,12)/12,6)+$B$4),BI22-$I22)))))</f>
        <v/>
      </c>
      <c r="BK22" s="68">
        <f>IF($U22=0,0,IF($F22=4,0,IF($F22=3,0,IF(OR(18&gt;$R22,BJ22&lt;=$I22),BJ22,BJ22-MIN(INT(ROUND(IF($F22=1,$C22*$J22,IF(FI22&gt;0,FI22*$K22,BJ22*$J22))*IF(18=$R22,$S22,12)/12,6)+$B$4),BJ22-$I22)))))</f>
        <v/>
      </c>
      <c r="BL22" s="68">
        <f>IF($U22=0,0,IF($F22=4,0,IF($F22=3,0,IF(OR(19&gt;$R22,BK22&lt;=$I22),BK22,BK22-MIN(INT(ROUND(IF($F22=1,$C22*$J22,IF(FJ22&gt;0,FJ22*$K22,BK22*$J22))*IF(19=$R22,$S22,12)/12,6)+$B$4),BK22-$I22)))))</f>
        <v/>
      </c>
      <c r="BM22" s="68">
        <f>IF($U22=0,0,IF($F22=4,0,IF($F22=3,0,IF(OR(20&gt;$R22,BL22&lt;=$I22),BL22,BL22-MIN(INT(ROUND(IF($F22=1,$C22*$J22,IF(FK22&gt;0,FK22*$K22,BL22*$J22))*IF(20=$R22,$S22,12)/12,6)+$B$4),BL22-$I22)))))</f>
        <v/>
      </c>
      <c r="BN22" s="68">
        <f>IF($U22=0,0,IF($F22=4,0,IF($F22=3,0,IF(OR(21&gt;$R22,BM22&lt;=$I22),BM22,BM22-MIN(INT(ROUND(IF($F22=1,$C22*$J22,IF(FL22&gt;0,FL22*$K22,BM22*$J22))*IF(21=$R22,$S22,12)/12,6)+$B$4),BM22-$I22)))))</f>
        <v/>
      </c>
      <c r="BO22" s="68">
        <f>IF($U22=0,0,IF($F22=4,0,IF($F22=3,0,IF(OR(22&gt;$R22,BN22&lt;=$I22),BN22,BN22-MIN(INT(ROUND(IF($F22=1,$C22*$J22,IF(FM22&gt;0,FM22*$K22,BN22*$J22))*IF(22=$R22,$S22,12)/12,6)+$B$4),BN22-$I22)))))</f>
        <v/>
      </c>
      <c r="BP22" s="68">
        <f>IF($U22=0,0,IF($F22=4,0,IF($F22=3,0,IF(OR(23&gt;$R22,BO22&lt;=$I22),BO22,BO22-MIN(INT(ROUND(IF($F22=1,$C22*$J22,IF(FN22&gt;0,FN22*$K22,BO22*$J22))*IF(23=$R22,$S22,12)/12,6)+$B$4),BO22-$I22)))))</f>
        <v/>
      </c>
      <c r="BQ22" s="68">
        <f>IF($U22=0,0,IF($F22=4,0,IF($F22=3,0,IF(OR(24&gt;$R22,BP22&lt;=$I22),BP22,BP22-MIN(INT(ROUND(IF($F22=1,$C22*$J22,IF(FO22&gt;0,FO22*$K22,BP22*$J22))*IF(24=$R22,$S22,12)/12,6)+$B$4),BP22-$I22)))))</f>
        <v/>
      </c>
      <c r="BR22" s="68">
        <f>IF($U22=0,0,IF($F22=4,0,IF($F22=3,0,IF(OR(25&gt;$R22,BQ22&lt;=$I22),BQ22,BQ22-MIN(INT(ROUND(IF($F22=1,$C22*$J22,IF(FP22&gt;0,FP22*$K22,BQ22*$J22))*IF(25=$R22,$S22,12)/12,6)+$B$4),BQ22-$I22)))))</f>
        <v/>
      </c>
      <c r="BS22" s="68">
        <f>IF($U22=0,0,IF($F22=4,0,IF($F22=3,0,IF(OR(26&gt;$R22,BR22&lt;=$I22),BR22,BR22-MIN(INT(ROUND(IF($F22=1,$C22*$J22,IF(FQ22&gt;0,FQ22*$K22,BR22*$J22))*IF(26=$R22,$S22,12)/12,6)+$B$4),BR22-$I22)))))</f>
        <v/>
      </c>
      <c r="BT22" s="68">
        <f>IF($U22=0,0,IF($F22=4,0,IF($F22=3,0,IF(OR(27&gt;$R22,BS22&lt;=$I22),BS22,BS22-MIN(INT(ROUND(IF($F22=1,$C22*$J22,IF(FR22&gt;0,FR22*$K22,BS22*$J22))*IF(27=$R22,$S22,12)/12,6)+$B$4),BS22-$I22)))))</f>
        <v/>
      </c>
      <c r="BU22" s="68">
        <f>IF($U22=0,0,IF($F22=4,0,IF($F22=3,0,IF(OR(28&gt;$R22,BT22&lt;=$I22),BT22,BT22-MIN(INT(ROUND(IF($F22=1,$C22*$J22,IF(FS22&gt;0,FS22*$K22,BT22*$J22))*IF(28=$R22,$S22,12)/12,6)+$B$4),BT22-$I22)))))</f>
        <v/>
      </c>
      <c r="BV22" s="68">
        <f>IF($U22=0,0,IF($F22=4,0,IF($F22=3,0,IF(OR(29&gt;$R22,BU22&lt;=$I22),BU22,BU22-MIN(INT(ROUND(IF($F22=1,$C22*$J22,IF(FT22&gt;0,FT22*$K22,BU22*$J22))*IF(29=$R22,$S22,12)/12,6)+$B$4),BU22-$I22)))))</f>
        <v/>
      </c>
      <c r="BW22" s="68">
        <f>IF($U22=0,0,IF($F22=4,0,IF($F22=3,0,IF(OR(30&gt;$R22,BV22&lt;=$I22),BV22,BV22-MIN(INT(ROUND(IF($F22=1,$C22*$J22,IF(FU22&gt;0,FU22*$K22,BV22*$J22))*IF(30=$R22,$S22,12)/12,6)+$B$4),BV22-$I22)))))</f>
        <v/>
      </c>
      <c r="BX22" s="68">
        <f>IF($U22=0,0,IF($F22=4,0,IF($F22=3,0,IF(OR(31&gt;$R22,BW22&lt;=$I22),BW22,BW22-MIN(INT(ROUND(IF($F22=1,$C22*$J22,IF(FV22&gt;0,FV22*$K22,BW22*$J22))*IF(31=$R22,$S22,12)/12,6)+$B$4),BW22-$I22)))))</f>
        <v/>
      </c>
      <c r="BY22" s="68">
        <f>IF($U22=0,0,IF($F22=4,0,IF($F22=3,0,IF(OR(32&gt;$R22,BX22&lt;=$I22),BX22,BX22-MIN(INT(ROUND(IF($F22=1,$C22*$J22,IF(FW22&gt;0,FW22*$K22,BX22*$J22))*IF(32=$R22,$S22,12)/12,6)+$B$4),BX22-$I22)))))</f>
        <v/>
      </c>
      <c r="BZ22" s="68">
        <f>IF($U22=0,0,IF($F22=4,0,IF($F22=3,0,IF(OR(33&gt;$R22,BY22&lt;=$I22),BY22,BY22-MIN(INT(ROUND(IF($F22=1,$C22*$J22,IF(FX22&gt;0,FX22*$K22,BY22*$J22))*IF(33=$R22,$S22,12)/12,6)+$B$4),BY22-$I22)))))</f>
        <v/>
      </c>
      <c r="CA22" s="68">
        <f>IF($U22=0,0,IF($F22=4,0,IF($F22=3,0,IF(OR(34&gt;$R22,BZ22&lt;=$I22),BZ22,BZ22-MIN(INT(ROUND(IF($F22=1,$C22*$J22,IF(FY22&gt;0,FY22*$K22,BZ22*$J22))*IF(34=$R22,$S22,12)/12,6)+$B$4),BZ22-$I22)))))</f>
        <v/>
      </c>
      <c r="CB22" s="68">
        <f>IF($U22=0,0,IF($F22=4,0,IF($F22=3,0,IF(OR(35&gt;$R22,CA22&lt;=$I22),CA22,CA22-MIN(INT(ROUND(IF($F22=1,$C22*$J22,IF(FZ22&gt;0,FZ22*$K22,CA22*$J22))*IF(35=$R22,$S22,12)/12,6)+$B$4),CA22-$I22)))))</f>
        <v/>
      </c>
      <c r="CC22" s="68">
        <f>IF($U22=0,0,IF($F22=4,0,IF($F22=3,0,IF(OR(36&gt;$R22,CB22&lt;=$I22),CB22,CB22-MIN(INT(ROUND(IF($F22=1,$C22*$J22,IF(GA22&gt;0,GA22*$K22,CB22*$J22))*IF(36=$R22,$S22,12)/12,6)+$B$4),CB22-$I22)))))</f>
        <v/>
      </c>
      <c r="CD22" s="68">
        <f>IF($U22=0,0,IF($F22=4,0,IF($F22=3,0,IF(OR(37&gt;$R22,CC22&lt;=$I22),CC22,CC22-MIN(INT(ROUND(IF($F22=1,$C22*$J22,IF(GB22&gt;0,GB22*$K22,CC22*$J22))*IF(37=$R22,$S22,12)/12,6)+$B$4),CC22-$I22)))))</f>
        <v/>
      </c>
      <c r="CE22" s="68">
        <f>IF($U22=0,0,IF($F22=4,0,IF($F22=3,0,IF(OR(38&gt;$R22,CD22&lt;=$I22),CD22,CD22-MIN(INT(ROUND(IF($F22=1,$C22*$J22,IF(GC22&gt;0,GC22*$K22,CD22*$J22))*IF(38=$R22,$S22,12)/12,6)+$B$4),CD22-$I22)))))</f>
        <v/>
      </c>
      <c r="CF22" s="68">
        <f>IF($U22=0,0,IF($F22=4,0,IF($F22=3,0,IF(OR(39&gt;$R22,CE22&lt;=$I22),CE22,CE22-MIN(INT(ROUND(IF($F22=1,$C22*$J22,IF(GD22&gt;0,GD22*$K22,CE22*$J22))*IF(39=$R22,$S22,12)/12,6)+$B$4),CE22-$I22)))))</f>
        <v/>
      </c>
      <c r="CG22" s="68">
        <f>IF($U22=0,0,IF($F22=4,0,IF($F22=3,0,IF(OR(40&gt;$R22,CF22&lt;=$I22),CF22,CF22-MIN(INT(ROUND(IF($F22=1,$C22*$J22,IF(GE22&gt;0,GE22*$K22,CF22*$J22))*IF(40=$R22,$S22,12)/12,6)+$B$4),CF22-$I22)))))</f>
        <v/>
      </c>
      <c r="CH22" s="68">
        <f>IF($U22=0,0,IF($F22=4,0,IF($F22=3,0,IF(OR(41&gt;$R22,CG22&lt;=$I22),CG22,CG22-MIN(INT(ROUND(IF($F22=1,$C22*$J22,IF(GF22&gt;0,GF22*$K22,CG22*$J22))*IF(41=$R22,$S22,12)/12,6)+$B$4),CG22-$I22)))))</f>
        <v/>
      </c>
      <c r="CI22" s="68">
        <f>IF($U22=0,0,IF($F22=4,0,IF($F22=3,0,IF(OR(42&gt;$R22,CH22&lt;=$I22),CH22,CH22-MIN(INT(ROUND(IF($F22=1,$C22*$J22,IF(GG22&gt;0,GG22*$K22,CH22*$J22))*IF(42=$R22,$S22,12)/12,6)+$B$4),CH22-$I22)))))</f>
        <v/>
      </c>
      <c r="CJ22" s="68">
        <f>IF($U22=0,0,IF($F22=4,0,IF($F22=3,0,IF(OR(43&gt;$R22,CI22&lt;=$I22),CI22,CI22-MIN(INT(ROUND(IF($F22=1,$C22*$J22,IF(GH22&gt;0,GH22*$K22,CI22*$J22))*IF(43=$R22,$S22,12)/12,6)+$B$4),CI22-$I22)))))</f>
        <v/>
      </c>
      <c r="CK22" s="68">
        <f>IF($U22=0,0,IF($F22=4,0,IF($F22=3,0,IF(OR(44&gt;$R22,CJ22&lt;=$I22),CJ22,CJ22-MIN(INT(ROUND(IF($F22=1,$C22*$J22,IF(GI22&gt;0,GI22*$K22,CJ22*$J22))*IF(44=$R22,$S22,12)/12,6)+$B$4),CJ22-$I22)))))</f>
        <v/>
      </c>
      <c r="CL22" s="68">
        <f>IF($U22=0,0,IF($F22=4,0,IF($F22=3,0,IF(OR(45&gt;$R22,CK22&lt;=$I22),CK22,CK22-MIN(INT(ROUND(IF($F22=1,$C22*$J22,IF(GJ22&gt;0,GJ22*$K22,CK22*$J22))*IF(45=$R22,$S22,12)/12,6)+$B$4),CK22-$I22)))))</f>
        <v/>
      </c>
      <c r="CM22" s="68">
        <f>IF($U22=0,0,IF($F22=4,0,IF($F22=3,0,IF(OR(46&gt;$R22,CL22&lt;=$I22),CL22,CL22-MIN(INT(ROUND(IF($F22=1,$C22*$J22,IF(GK22&gt;0,GK22*$K22,CL22*$J22))*IF(46=$R22,$S22,12)/12,6)+$B$4),CL22-$I22)))))</f>
        <v/>
      </c>
      <c r="CN22" s="68">
        <f>IF($U22=0,0,IF($F22=4,0,IF($F22=3,0,IF(OR(47&gt;$R22,CM22&lt;=$I22),CM22,CM22-MIN(INT(ROUND(IF($F22=1,$C22*$J22,IF(GL22&gt;0,GL22*$K22,CM22*$J22))*IF(47=$R22,$S22,12)/12,6)+$B$4),CM22-$I22)))))</f>
        <v/>
      </c>
      <c r="CO22" s="68">
        <f>IF($U22=0,0,IF($F22=4,0,IF($F22=3,0,IF(OR(48&gt;$R22,CN22&lt;=$I22),CN22,CN22-MIN(INT(ROUND(IF($F22=1,$C22*$J22,IF(GM22&gt;0,GM22*$K22,CN22*$J22))*IF(48=$R22,$S22,12)/12,6)+$B$4),CN22-$I22)))))</f>
        <v/>
      </c>
      <c r="CP22" s="68">
        <f>IF($U22=0,0,IF($F22=4,0,IF($F22=3,0,IF(OR(49&gt;$R22,CO22&lt;=$I22),CO22,CO22-MIN(INT(ROUND(IF($F22=1,$C22*$J22,IF(GN22&gt;0,GN22*$K22,CO22*$J22))*IF(49=$R22,$S22,12)/12,6)+$B$4),CO22-$I22)))))</f>
        <v/>
      </c>
      <c r="CQ22" s="68">
        <f>IF($U22=0,0,IF($F22=4,0,IF($F22=3,0,IF(OR(50&gt;$R22,CP22&lt;=$I22),CP22,CP22-MIN(INT(ROUND(IF($F22=1,$C22*$J22,IF(GO22&gt;0,GO22*$K22,CP22*$J22))*IF(50=$R22,$S22,12)/12,6)+$B$4),CP22-$I22)))))</f>
        <v/>
      </c>
      <c r="CR22" s="68">
        <f>IF($U22=0,0,IF($F22=4,0,IF($F22=3,0,IF(OR(51&gt;$R22,CQ22&lt;=$I22),CQ22,CQ22-MIN(INT(ROUND(IF($F22=1,$C22*$J22,IF(GP22&gt;0,GP22*$K22,CQ22*$J22))*IF(51=$R22,$S22,12)/12,6)+$B$4),CQ22-$I22)))))</f>
        <v/>
      </c>
      <c r="CS22" s="68">
        <f>IF($U22=0,0,IF($F22=4,0,IF($F22=3,0,IF(OR(52&gt;$R22,CR22&lt;=$I22),CR22,CR22-MIN(INT(ROUND(IF($F22=1,$C22*$J22,IF(GQ22&gt;0,GQ22*$K22,CR22*$J22))*IF(52=$R22,$S22,12)/12,6)+$B$4),CR22-$I22)))))</f>
        <v/>
      </c>
      <c r="CT22" s="68">
        <f>IF($U22=0,0,IF($F22=4,0,IF($F22=3,0,IF(OR(53&gt;$R22,CS22&lt;=$I22),CS22,CS22-MIN(INT(ROUND(IF($F22=1,$C22*$J22,IF(GR22&gt;0,GR22*$K22,CS22*$J22))*IF(53=$R22,$S22,12)/12,6)+$B$4),CS22-$I22)))))</f>
        <v/>
      </c>
      <c r="CU22" s="68">
        <f>IF($U22=0,0,IF($F22=4,0,IF($F22=3,0,IF(OR(54&gt;$R22,CT22&lt;=$I22),CT22,CT22-MIN(INT(ROUND(IF($F22=1,$C22*$J22,IF(GS22&gt;0,GS22*$K22,CT22*$J22))*IF(54=$R22,$S22,12)/12,6)+$B$4),CT22-$I22)))))</f>
        <v/>
      </c>
      <c r="CV22" s="68">
        <f>IF($U22=0,0,IF($F22=4,0,IF($F22=3,0,IF(OR(55&gt;$R22,CU22&lt;=$I22),CU22,CU22-MIN(INT(ROUND(IF($F22=1,$C22*$J22,IF(GT22&gt;0,GT22*$K22,CU22*$J22))*IF(55=$R22,$S22,12)/12,6)+$B$4),CU22-$I22)))))</f>
        <v/>
      </c>
      <c r="CW22" s="68">
        <f>IF($U22=0,0,IF($F22=4,0,IF($F22=3,0,IF(OR(56&gt;$R22,CV22&lt;=$I22),CV22,CV22-MIN(INT(ROUND(IF($F22=1,$C22*$J22,IF(GU22&gt;0,GU22*$K22,CV22*$J22))*IF(56=$R22,$S22,12)/12,6)+$B$4),CV22-$I22)))))</f>
        <v/>
      </c>
      <c r="CX22" s="68">
        <f>IF($U22=0,0,IF($F22=4,0,IF($F22=3,0,IF(OR(57&gt;$R22,CW22&lt;=$I22),CW22,CW22-MIN(INT(ROUND(IF($F22=1,$C22*$J22,IF(GV22&gt;0,GV22*$K22,CW22*$J22))*IF(57=$R22,$S22,12)/12,6)+$B$4),CW22-$I22)))))</f>
        <v/>
      </c>
      <c r="CY22" s="68">
        <f>IF($U22=0,0,IF($F22=4,0,IF($F22=3,0,IF(OR(58&gt;$R22,CX22&lt;=$I22),CX22,CX22-MIN(INT(ROUND(IF($F22=1,$C22*$J22,IF(GW22&gt;0,GW22*$K22,CX22*$J22))*IF(58=$R22,$S22,12)/12,6)+$B$4),CX22-$I22)))))</f>
        <v/>
      </c>
      <c r="CZ22" s="68">
        <f>IF($U22=0,0,IF($F22=4,0,IF($F22=3,0,IF(OR(59&gt;$R22,CY22&lt;=$I22),CY22,CY22-MIN(INT(ROUND(IF($F22=1,$C22*$J22,IF(GX22&gt;0,GX22*$K22,CY22*$J22))*IF(59=$R22,$S22,12)/12,6)+$B$4),CY22-$I22)))))</f>
        <v/>
      </c>
      <c r="DA22" s="68">
        <f>IF($U22=0,0,IF($F22=4,0,IF($F22=3,0,IF(OR(60&gt;$R22,CZ22&lt;=$I22),CZ22,CZ22-MIN(INT(ROUND(IF($F22=1,$C22*$J22,IF(GY22&gt;0,GY22*$K22,CZ22*$J22))*IF(60=$R22,$S22,12)/12,6)+$B$4),CZ22-$I22)))))</f>
        <v/>
      </c>
      <c r="DB22" s="68">
        <f>IF($U22=0,0,IF($F22=4,0,IF($F22=3,0,IF(OR(61&gt;$R22,DA22&lt;=$I22),DA22,DA22-MIN(INT(ROUND(IF($F22=1,$C22*$J22,IF(GZ22&gt;0,GZ22*$K22,DA22*$J22))*IF(61=$R22,$S22,12)/12,6)+$B$4),DA22-$I22)))))</f>
        <v/>
      </c>
      <c r="DC22" s="68">
        <f>IF($U22=0,0,IF($F22=4,0,IF($F22=3,0,IF(OR(62&gt;$R22,DB22&lt;=$I22),DB22,DB22-MIN(INT(ROUND(IF($F22=1,$C22*$J22,IF(HA22&gt;0,HA22*$K22,DB22*$J22))*IF(62=$R22,$S22,12)/12,6)+$B$4),DB22-$I22)))))</f>
        <v/>
      </c>
      <c r="DD22" s="68">
        <f>IF($U22=0,0,IF($F22=4,0,IF($F22=3,0,IF(OR(63&gt;$R22,DC22&lt;=$I22),DC22,DC22-MIN(INT(ROUND(IF($F22=1,$C22*$J22,IF(HB22&gt;0,HB22*$K22,DC22*$J22))*IF(63=$R22,$S22,12)/12,6)+$B$4),DC22-$I22)))))</f>
        <v/>
      </c>
      <c r="DE22" s="68">
        <f>IF($U22=0,0,IF($F22=4,0,IF($F22=3,0,IF(OR(64&gt;$R22,DD22&lt;=$I22),DD22,DD22-MIN(INT(ROUND(IF($F22=1,$C22*$J22,IF(HC22&gt;0,HC22*$K22,DD22*$J22))*IF(64=$R22,$S22,12)/12,6)+$B$4),DD22-$I22)))))</f>
        <v/>
      </c>
      <c r="DF22" s="68">
        <f>IF($U22=0,0,IF($F22=4,0,IF($F22=3,0,IF(OR(65&gt;$R22,DE22&lt;=$I22),DE22,DE22-MIN(INT(ROUND(IF($F22=1,$C22*$J22,IF(HD22&gt;0,HD22*$K22,DE22*$J22))*IF(65=$R22,$S22,12)/12,6)+$B$4),DE22-$I22)))))</f>
        <v/>
      </c>
      <c r="DG22" s="68">
        <f>IF($U22=0,0,IF($F22=4,0,IF($F22=3,0,IF(OR(66&gt;$R22,DF22&lt;=$I22),DF22,DF22-MIN(INT(ROUND(IF($F22=1,$C22*$J22,IF(HE22&gt;0,HE22*$K22,DF22*$J22))*IF(66=$R22,$S22,12)/12,6)+$B$4),DF22-$I22)))))</f>
        <v/>
      </c>
      <c r="DH22" s="68">
        <f>IF($U22=0,0,IF($F22=4,0,IF($F22=3,0,IF(OR(67&gt;$R22,DG22&lt;=$I22),DG22,DG22-MIN(INT(ROUND(IF($F22=1,$C22*$J22,IF(HF22&gt;0,HF22*$K22,DG22*$J22))*IF(67=$R22,$S22,12)/12,6)+$B$4),DG22-$I22)))))</f>
        <v/>
      </c>
      <c r="DI22" s="68">
        <f>IF($U22=0,0,IF($F22=4,0,IF($F22=3,0,IF(OR(68&gt;$R22,DH22&lt;=$I22),DH22,DH22-MIN(INT(ROUND(IF($F22=1,$C22*$J22,IF(HG22&gt;0,HG22*$K22,DH22*$J22))*IF(68=$R22,$S22,12)/12,6)+$B$4),DH22-$I22)))))</f>
        <v/>
      </c>
      <c r="DJ22" s="68">
        <f>IF($U22=0,0,IF($F22=4,0,IF($F22=3,0,IF(OR(69&gt;$R22,DI22&lt;=$I22),DI22,DI22-MIN(INT(ROUND(IF($F22=1,$C22*$J22,IF(HH22&gt;0,HH22*$K22,DI22*$J22))*IF(69=$R22,$S22,12)/12,6)+$B$4),DI22-$I22)))))</f>
        <v/>
      </c>
      <c r="DK22" s="68">
        <f>IF($U22=0,0,IF($F22=4,0,IF($F22=3,0,IF(OR(70&gt;$R22,DJ22&lt;=$I22),DJ22,DJ22-MIN(INT(ROUND(IF($F22=1,$C22*$J22,IF(HI22&gt;0,HI22*$K22,DJ22*$J22))*IF(70=$R22,$S22,12)/12,6)+$B$4),DJ22-$I22)))))</f>
        <v/>
      </c>
      <c r="DL22" s="68">
        <f>IF($U22=0,0,IF($F22=4,0,IF($F22=3,0,IF(OR(71&gt;$R22,DK22&lt;=$I22),DK22,DK22-MIN(INT(ROUND(IF($F22=1,$C22*$J22,IF(HJ22&gt;0,HJ22*$K22,DK22*$J22))*IF(71=$R22,$S22,12)/12,6)+$B$4),DK22-$I22)))))</f>
        <v/>
      </c>
      <c r="DM22" s="68">
        <f>IF($U22=0,0,IF($F22=4,0,IF($F22=3,0,IF(OR(72&gt;$R22,DL22&lt;=$I22),DL22,DL22-MIN(INT(ROUND(IF($F22=1,$C22*$J22,IF(HK22&gt;0,HK22*$K22,DL22*$J22))*IF(72=$R22,$S22,12)/12,6)+$B$4),DL22-$I22)))))</f>
        <v/>
      </c>
      <c r="DN22" s="68">
        <f>IF($U22=0,0,IF($F22=4,0,IF($F22=3,0,IF(OR(73&gt;$R22,DM22&lt;=$I22),DM22,DM22-MIN(INT(ROUND(IF($F22=1,$C22*$J22,IF(HL22&gt;0,HL22*$K22,DM22*$J22))*IF(73=$R22,$S22,12)/12,6)+$B$4),DM22-$I22)))))</f>
        <v/>
      </c>
      <c r="DO22" s="68">
        <f>IF($U22=0,0,IF($F22=4,0,IF($F22=3,0,IF(OR(74&gt;$R22,DN22&lt;=$I22),DN22,DN22-MIN(INT(ROUND(IF($F22=1,$C22*$J22,IF(HM22&gt;0,HM22*$K22,DN22*$J22))*IF(74=$R22,$S22,12)/12,6)+$B$4),DN22-$I22)))))</f>
        <v/>
      </c>
      <c r="DP22" s="68">
        <f>IF($U22=0,0,IF($F22=4,0,IF($F22=3,0,IF(OR(75&gt;$R22,DO22&lt;=$I22),DO22,DO22-MIN(INT(ROUND(IF($F22=1,$C22*$J22,IF(HN22&gt;0,HN22*$K22,DO22*$J22))*IF(75=$R22,$S22,12)/12,6)+$B$4),DO22-$I22)))))</f>
        <v/>
      </c>
      <c r="DQ22" s="68">
        <f>IF($U22=0,0,IF($F22=4,0,IF($F22=3,0,IF(OR(76&gt;$R22,DP22&lt;=$I22),DP22,DP22-MIN(INT(ROUND(IF($F22=1,$C22*$J22,IF(HO22&gt;0,HO22*$K22,DP22*$J22))*IF(76=$R22,$S22,12)/12,6)+$B$4),DP22-$I22)))))</f>
        <v/>
      </c>
      <c r="DR22" s="68">
        <f>IF($U22=0,0,IF($F22=4,0,IF($F22=3,0,IF(OR(77&gt;$R22,DQ22&lt;=$I22),DQ22,DQ22-MIN(INT(ROUND(IF($F22=1,$C22*$J22,IF(HP22&gt;0,HP22*$K22,DQ22*$J22))*IF(77=$R22,$S22,12)/12,6)+$B$4),DQ22-$I22)))))</f>
        <v/>
      </c>
      <c r="DS22" s="68">
        <f>IF($U22=0,0,IF($F22=4,0,IF($F22=3,0,IF(OR(78&gt;$R22,DR22&lt;=$I22),DR22,DR22-MIN(INT(ROUND(IF($F22=1,$C22*$J22,IF(HQ22&gt;0,HQ22*$K22,DR22*$J22))*IF(78=$R22,$S22,12)/12,6)+$B$4),DR22-$I22)))))</f>
        <v/>
      </c>
      <c r="DT22" s="68">
        <f>IF($U22=0,0,IF($F22=4,0,IF($F22=3,0,IF(OR(79&gt;$R22,DS22&lt;=$I22),DS22,DS22-MIN(INT(ROUND(IF($F22=1,$C22*$J22,IF(HR22&gt;0,HR22*$K22,DS22*$J22))*IF(79=$R22,$S22,12)/12,6)+$B$4),DS22-$I22)))))</f>
        <v/>
      </c>
      <c r="DU22" s="68">
        <f>IF($U22=0,0,IF($F22=4,0,IF($F22=3,0,IF(OR(80&gt;$R22,DT22&lt;=$I22),DT22,DT22-MIN(INT(ROUND(IF($F22=1,$C22*$J22,IF(HS22&gt;0,HS22*$K22,DT22*$J22))*IF(80=$R22,$S22,12)/12,6)+$B$4),DT22-$I22)))))</f>
        <v/>
      </c>
      <c r="DV22" s="68">
        <f>IF($U22=0,0,IF($F22=4,0,IF($F22=3,0,IF(OR(81&gt;$R22,DU22&lt;=$I22),DU22,DU22-MIN(INT(ROUND(IF($F22=1,$C22*$J22,IF(HT22&gt;0,HT22*$K22,DU22*$J22))*IF(81=$R22,$S22,12)/12,6)+$B$4),DU22-$I22)))))</f>
        <v/>
      </c>
      <c r="DW22" s="68">
        <f>IF($U22=0,0,IF($F22=4,0,IF($F22=3,0,IF(OR(82&gt;$R22,DV22&lt;=$I22),DV22,DV22-MIN(INT(ROUND(IF($F22=1,$C22*$J22,IF(HU22&gt;0,HU22*$K22,DV22*$J22))*IF(82=$R22,$S22,12)/12,6)+$B$4),DV22-$I22)))))</f>
        <v/>
      </c>
      <c r="DX22" s="68">
        <f>IF($U22=0,0,IF($F22=4,0,IF($F22=3,0,IF(OR(83&gt;$R22,DW22&lt;=$I22),DW22,DW22-MIN(INT(ROUND(IF($F22=1,$C22*$J22,IF(HV22&gt;0,HV22*$K22,DW22*$J22))*IF(83=$R22,$S22,12)/12,6)+$B$4),DW22-$I22)))))</f>
        <v/>
      </c>
      <c r="DY22" s="68">
        <f>IF($U22=0,0,IF($F22=4,0,IF($F22=3,0,IF(OR(84&gt;$R22,DX22&lt;=$I22),DX22,DX22-MIN(INT(ROUND(IF($F22=1,$C22*$J22,IF(HW22&gt;0,HW22*$K22,DX22*$J22))*IF(84=$R22,$S22,12)/12,6)+$B$4),DX22-$I22)))))</f>
        <v/>
      </c>
      <c r="DZ22" s="68">
        <f>IF($U22=0,0,IF($F22=4,0,IF($F22=3,0,IF(OR(85&gt;$R22,DY22&lt;=$I22),DY22,DY22-MIN(INT(ROUND(IF($F22=1,$C22*$J22,IF(HX22&gt;0,HX22*$K22,DY22*$J22))*IF(85=$R22,$S22,12)/12,6)+$B$4),DY22-$I22)))))</f>
        <v/>
      </c>
      <c r="EA22" s="68">
        <f>IF($U22=0,0,IF($F22=4,0,IF($F22=3,0,IF(OR(86&gt;$R22,DZ22&lt;=$I22),DZ22,DZ22-MIN(INT(ROUND(IF($F22=1,$C22*$J22,IF(HY22&gt;0,HY22*$K22,DZ22*$J22))*IF(86=$R22,$S22,12)/12,6)+$B$4),DZ22-$I22)))))</f>
        <v/>
      </c>
      <c r="EB22" s="68">
        <f>IF($U22=0,0,IF($F22=4,0,IF($F22=3,0,IF(OR(87&gt;$R22,EA22&lt;=$I22),EA22,EA22-MIN(INT(ROUND(IF($F22=1,$C22*$J22,IF(HZ22&gt;0,HZ22*$K22,EA22*$J22))*IF(87=$R22,$S22,12)/12,6)+$B$4),EA22-$I22)))))</f>
        <v/>
      </c>
      <c r="EC22" s="68">
        <f>IF($U22=0,0,IF($F22=4,0,IF($F22=3,0,IF(OR(88&gt;$R22,EB22&lt;=$I22),EB22,EB22-MIN(INT(ROUND(IF($F22=1,$C22*$J22,IF(IA22&gt;0,IA22*$K22,EB22*$J22))*IF(88=$R22,$S22,12)/12,6)+$B$4),EB22-$I22)))))</f>
        <v/>
      </c>
      <c r="ED22" s="68">
        <f>IF($U22=0,0,IF($F22=4,0,IF($F22=3,0,IF(OR(89&gt;$R22,EC22&lt;=$I22),EC22,EC22-MIN(INT(ROUND(IF($F22=1,$C22*$J22,IF(IB22&gt;0,IB22*$K22,EC22*$J22))*IF(89=$R22,$S22,12)/12,6)+$B$4),EC22-$I22)))))</f>
        <v/>
      </c>
      <c r="EE22" s="68">
        <f>IF($U22=0,0,IF($F22=4,0,IF($F22=3,0,IF(OR(90&gt;$R22,ED22&lt;=$I22),ED22,ED22-MIN(INT(ROUND(IF($F22=1,$C22*$J22,IF(IC22&gt;0,IC22*$K22,ED22*$J22))*IF(90=$R22,$S22,12)/12,6)+$B$4),ED22-$I22)))))</f>
        <v/>
      </c>
      <c r="EF22" s="68">
        <f>IF($U22=0,0,IF($F22=4,0,IF($F22=3,0,IF(OR(91&gt;$R22,EE22&lt;=$I22),EE22,EE22-MIN(INT(ROUND(IF($F22=1,$C22*$J22,IF(ID22&gt;0,ID22*$K22,EE22*$J22))*IF(91=$R22,$S22,12)/12,6)+$B$4),EE22-$I22)))))</f>
        <v/>
      </c>
      <c r="EG22" s="68">
        <f>IF($U22=0,0,IF($F22=4,0,IF($F22=3,0,IF(OR(92&gt;$R22,EF22&lt;=$I22),EF22,EF22-MIN(INT(ROUND(IF($F22=1,$C22*$J22,IF(IE22&gt;0,IE22*$K22,EF22*$J22))*IF(92=$R22,$S22,12)/12,6)+$B$4),EF22-$I22)))))</f>
        <v/>
      </c>
      <c r="EH22" s="68">
        <f>IF($U22=0,0,IF($F22=4,0,IF($F22=3,0,IF(OR(93&gt;$R22,EG22&lt;=$I22),EG22,EG22-MIN(INT(ROUND(IF($F22=1,$C22*$J22,IF(IF22&gt;0,IF22*$K22,EG22*$J22))*IF(93=$R22,$S22,12)/12,6)+$B$4),EG22-$I22)))))</f>
        <v/>
      </c>
      <c r="EI22" s="68">
        <f>IF($U22=0,0,IF($F22=4,0,IF($F22=3,0,IF(OR(94&gt;$R22,EH22&lt;=$I22),EH22,EH22-MIN(INT(ROUND(IF($F22=1,$C22*$J22,IF(IG22&gt;0,IG22*$K22,EH22*$J22))*IF(94=$R22,$S22,12)/12,6)+$B$4),EH22-$I22)))))</f>
        <v/>
      </c>
      <c r="EJ22" s="68">
        <f>IF($U22=0,0,IF($F22=4,0,IF($F22=3,0,IF(OR(95&gt;$R22,EI22&lt;=$I22),EI22,EI22-MIN(INT(ROUND(IF($F22=1,$C22*$J22,IF(IH22&gt;0,IH22*$K22,EI22*$J22))*IF(95=$R22,$S22,12)/12,6)+$B$4),EI22-$I22)))))</f>
        <v/>
      </c>
      <c r="EK22" s="68">
        <f>IF($U22=0,0,IF($F22=4,0,IF($F22=3,0,IF(OR(96&gt;$R22,EJ22&lt;=$I22),EJ22,EJ22-MIN(INT(ROUND(IF($F22=1,$C22*$J22,IF(II22&gt;0,II22*$K22,EJ22*$J22))*IF(96=$R22,$S22,12)/12,6)+$B$4),EJ22-$I22)))))</f>
        <v/>
      </c>
      <c r="EL22" s="68">
        <f>IF($U22=0,0,IF($F22=4,0,IF($F22=3,0,IF(OR(97&gt;$R22,EK22&lt;=$I22),EK22,EK22-MIN(INT(ROUND(IF($F22=1,$C22*$J22,IF(IJ22&gt;0,IJ22*$K22,EK22*$J22))*IF(97=$R22,$S22,12)/12,6)+$B$4),EK22-$I22)))))</f>
        <v/>
      </c>
      <c r="EM22" s="68">
        <f>IF($U22=0,0,IF($F22=4,0,IF($F22=3,0,IF(OR(98&gt;$R22,EL22&lt;=$I22),EL22,EL22-MIN(INT(ROUND(IF($F22=1,$C22*$J22,IF(IK22&gt;0,IK22*$K22,EL22*$J22))*IF(98=$R22,$S22,12)/12,6)+$B$4),EL22-$I22)))))</f>
        <v/>
      </c>
      <c r="EN22" s="68">
        <f>IF($U22=0,0,IF($F22=4,0,IF($F22=3,0,IF(OR(99&gt;$R22,EM22&lt;=$I22),EM22,EM22-MIN(INT(ROUND(IF($F22=1,$C22*$J22,IF(IL22&gt;0,IL22*$K22,EM22*$J22))*IF(99=$R22,$S22,12)/12,6)+$B$4),EM22-$I22)))))</f>
        <v/>
      </c>
      <c r="EO22" s="68">
        <f>IF($U22=0,0,IF($F22=4,0,IF($F22=3,0,IF(OR(100&gt;$R22,EN22&lt;=$I22),EN22,EN22-MIN(INT(ROUND(IF($F22=1,$C22*$J22,IF(IM22&gt;0,IM22*$K22,EN22*$J22))*IF(100=$R22,$S22,12)/12,6)+$B$4),EN22-$I22)))))</f>
        <v/>
      </c>
      <c r="EP22" s="68">
        <f>IF($U22=0,0,IF($F22=4,0,IF($F22=3,0,IF(OR(101&gt;$R22,EO22&lt;=$I22),EO22,EO22-MIN(INT(ROUND(IF($F22=1,$C22*$J22,IF(IN22&gt;0,IN22*$K22,EO22*$J22))*IF(101=$R22,$S22,12)/12,6)+$B$4),EO22-$I22)))))</f>
        <v/>
      </c>
      <c r="EQ22" s="68" t="n"/>
      <c r="ER22" s="68">
        <f>IF(OR($U22=0,$F22&lt;&gt;2),0,IF(ROUND(AS22*$J22,6)&lt;ROUND($M22,6),AS22,0))</f>
        <v/>
      </c>
      <c r="ES22" s="68">
        <f>IF(OR($U22=0,$F22&lt;&gt;2),0,IF(ER22&gt;0,ER22,IF(ROUND(AT22*$J22,6)&lt;ROUND($M22,6),AT22,0)))</f>
        <v/>
      </c>
      <c r="ET22" s="68">
        <f>IF(OR($U22=0,$F22&lt;&gt;2),0,IF(ES22&gt;0,ES22,IF(ROUND(AU22*$J22,6)&lt;ROUND($M22,6),AU22,0)))</f>
        <v/>
      </c>
      <c r="EU22" s="68">
        <f>IF(OR($U22=0,$F22&lt;&gt;2),0,IF(ET22&gt;0,ET22,IF(ROUND(AV22*$J22,6)&lt;ROUND($M22,6),AV22,0)))</f>
        <v/>
      </c>
      <c r="EV22" s="68">
        <f>IF(OR($U22=0,$F22&lt;&gt;2),0,IF(EU22&gt;0,EU22,IF(ROUND(AW22*$J22,6)&lt;ROUND($M22,6),AW22,0)))</f>
        <v/>
      </c>
      <c r="EW22" s="68">
        <f>IF(OR($U22=0,$F22&lt;&gt;2),0,IF(EV22&gt;0,EV22,IF(ROUND(AX22*$J22,6)&lt;ROUND($M22,6),AX22,0)))</f>
        <v/>
      </c>
      <c r="EX22" s="68">
        <f>IF(OR($U22=0,$F22&lt;&gt;2),0,IF(EW22&gt;0,EW22,IF(ROUND(AY22*$J22,6)&lt;ROUND($M22,6),AY22,0)))</f>
        <v/>
      </c>
      <c r="EY22" s="68">
        <f>IF(OR($U22=0,$F22&lt;&gt;2),0,IF(EX22&gt;0,EX22,IF(ROUND(AZ22*$J22,6)&lt;ROUND($M22,6),AZ22,0)))</f>
        <v/>
      </c>
      <c r="EZ22" s="68">
        <f>IF(OR($U22=0,$F22&lt;&gt;2),0,IF(EY22&gt;0,EY22,IF(ROUND(BA22*$J22,6)&lt;ROUND($M22,6),BA22,0)))</f>
        <v/>
      </c>
      <c r="FA22" s="68">
        <f>IF(OR($U22=0,$F22&lt;&gt;2),0,IF(EZ22&gt;0,EZ22,IF(ROUND(BB22*$J22,6)&lt;ROUND($M22,6),BB22,0)))</f>
        <v/>
      </c>
      <c r="FB22" s="68">
        <f>IF(OR($U22=0,$F22&lt;&gt;2),0,IF(FA22&gt;0,FA22,IF(ROUND(BC22*$J22,6)&lt;ROUND($M22,6),BC22,0)))</f>
        <v/>
      </c>
      <c r="FC22" s="68">
        <f>IF(OR($U22=0,$F22&lt;&gt;2),0,IF(FB22&gt;0,FB22,IF(ROUND(BD22*$J22,6)&lt;ROUND($M22,6),BD22,0)))</f>
        <v/>
      </c>
      <c r="FD22" s="68">
        <f>IF(OR($U22=0,$F22&lt;&gt;2),0,IF(FC22&gt;0,FC22,IF(ROUND(BE22*$J22,6)&lt;ROUND($M22,6),BE22,0)))</f>
        <v/>
      </c>
      <c r="FE22" s="68">
        <f>IF(OR($U22=0,$F22&lt;&gt;2),0,IF(FD22&gt;0,FD22,IF(ROUND(BF22*$J22,6)&lt;ROUND($M22,6),BF22,0)))</f>
        <v/>
      </c>
      <c r="FF22" s="68">
        <f>IF(OR($U22=0,$F22&lt;&gt;2),0,IF(FE22&gt;0,FE22,IF(ROUND(BG22*$J22,6)&lt;ROUND($M22,6),BG22,0)))</f>
        <v/>
      </c>
      <c r="FG22" s="68">
        <f>IF(OR($U22=0,$F22&lt;&gt;2),0,IF(FF22&gt;0,FF22,IF(ROUND(BH22*$J22,6)&lt;ROUND($M22,6),BH22,0)))</f>
        <v/>
      </c>
      <c r="FH22" s="68">
        <f>IF(OR($U22=0,$F22&lt;&gt;2),0,IF(FG22&gt;0,FG22,IF(ROUND(BI22*$J22,6)&lt;ROUND($M22,6),BI22,0)))</f>
        <v/>
      </c>
      <c r="FI22" s="68">
        <f>IF(OR($U22=0,$F22&lt;&gt;2),0,IF(FH22&gt;0,FH22,IF(ROUND(BJ22*$J22,6)&lt;ROUND($M22,6),BJ22,0)))</f>
        <v/>
      </c>
      <c r="FJ22" s="68">
        <f>IF(OR($U22=0,$F22&lt;&gt;2),0,IF(FI22&gt;0,FI22,IF(ROUND(BK22*$J22,6)&lt;ROUND($M22,6),BK22,0)))</f>
        <v/>
      </c>
      <c r="FK22" s="68">
        <f>IF(OR($U22=0,$F22&lt;&gt;2),0,IF(FJ22&gt;0,FJ22,IF(ROUND(BL22*$J22,6)&lt;ROUND($M22,6),BL22,0)))</f>
        <v/>
      </c>
      <c r="FL22" s="68">
        <f>IF(OR($U22=0,$F22&lt;&gt;2),0,IF(FK22&gt;0,FK22,IF(ROUND(BM22*$J22,6)&lt;ROUND($M22,6),BM22,0)))</f>
        <v/>
      </c>
      <c r="FM22" s="68">
        <f>IF(OR($U22=0,$F22&lt;&gt;2),0,IF(FL22&gt;0,FL22,IF(ROUND(BN22*$J22,6)&lt;ROUND($M22,6),BN22,0)))</f>
        <v/>
      </c>
      <c r="FN22" s="68">
        <f>IF(OR($U22=0,$F22&lt;&gt;2),0,IF(FM22&gt;0,FM22,IF(ROUND(BO22*$J22,6)&lt;ROUND($M22,6),BO22,0)))</f>
        <v/>
      </c>
      <c r="FO22" s="68">
        <f>IF(OR($U22=0,$F22&lt;&gt;2),0,IF(FN22&gt;0,FN22,IF(ROUND(BP22*$J22,6)&lt;ROUND($M22,6),BP22,0)))</f>
        <v/>
      </c>
      <c r="FP22" s="68">
        <f>IF(OR($U22=0,$F22&lt;&gt;2),0,IF(FO22&gt;0,FO22,IF(ROUND(BQ22*$J22,6)&lt;ROUND($M22,6),BQ22,0)))</f>
        <v/>
      </c>
      <c r="FQ22" s="68">
        <f>IF(OR($U22=0,$F22&lt;&gt;2),0,IF(FP22&gt;0,FP22,IF(ROUND(BR22*$J22,6)&lt;ROUND($M22,6),BR22,0)))</f>
        <v/>
      </c>
      <c r="FR22" s="68">
        <f>IF(OR($U22=0,$F22&lt;&gt;2),0,IF(FQ22&gt;0,FQ22,IF(ROUND(BS22*$J22,6)&lt;ROUND($M22,6),BS22,0)))</f>
        <v/>
      </c>
      <c r="FS22" s="68">
        <f>IF(OR($U22=0,$F22&lt;&gt;2),0,IF(FR22&gt;0,FR22,IF(ROUND(BT22*$J22,6)&lt;ROUND($M22,6),BT22,0)))</f>
        <v/>
      </c>
      <c r="FT22" s="68">
        <f>IF(OR($U22=0,$F22&lt;&gt;2),0,IF(FS22&gt;0,FS22,IF(ROUND(BU22*$J22,6)&lt;ROUND($M22,6),BU22,0)))</f>
        <v/>
      </c>
      <c r="FU22" s="68">
        <f>IF(OR($U22=0,$F22&lt;&gt;2),0,IF(FT22&gt;0,FT22,IF(ROUND(BV22*$J22,6)&lt;ROUND($M22,6),BV22,0)))</f>
        <v/>
      </c>
      <c r="FV22" s="68">
        <f>IF(OR($U22=0,$F22&lt;&gt;2),0,IF(FU22&gt;0,FU22,IF(ROUND(BW22*$J22,6)&lt;ROUND($M22,6),BW22,0)))</f>
        <v/>
      </c>
      <c r="FW22" s="68">
        <f>IF(OR($U22=0,$F22&lt;&gt;2),0,IF(FV22&gt;0,FV22,IF(ROUND(BX22*$J22,6)&lt;ROUND($M22,6),BX22,0)))</f>
        <v/>
      </c>
      <c r="FX22" s="68">
        <f>IF(OR($U22=0,$F22&lt;&gt;2),0,IF(FW22&gt;0,FW22,IF(ROUND(BY22*$J22,6)&lt;ROUND($M22,6),BY22,0)))</f>
        <v/>
      </c>
      <c r="FY22" s="68">
        <f>IF(OR($U22=0,$F22&lt;&gt;2),0,IF(FX22&gt;0,FX22,IF(ROUND(BZ22*$J22,6)&lt;ROUND($M22,6),BZ22,0)))</f>
        <v/>
      </c>
      <c r="FZ22" s="68">
        <f>IF(OR($U22=0,$F22&lt;&gt;2),0,IF(FY22&gt;0,FY22,IF(ROUND(CA22*$J22,6)&lt;ROUND($M22,6),CA22,0)))</f>
        <v/>
      </c>
      <c r="GA22" s="68">
        <f>IF(OR($U22=0,$F22&lt;&gt;2),0,IF(FZ22&gt;0,FZ22,IF(ROUND(CB22*$J22,6)&lt;ROUND($M22,6),CB22,0)))</f>
        <v/>
      </c>
      <c r="GB22" s="68">
        <f>IF(OR($U22=0,$F22&lt;&gt;2),0,IF(GA22&gt;0,GA22,IF(ROUND(CC22*$J22,6)&lt;ROUND($M22,6),CC22,0)))</f>
        <v/>
      </c>
      <c r="GC22" s="68">
        <f>IF(OR($U22=0,$F22&lt;&gt;2),0,IF(GB22&gt;0,GB22,IF(ROUND(CD22*$J22,6)&lt;ROUND($M22,6),CD22,0)))</f>
        <v/>
      </c>
      <c r="GD22" s="68">
        <f>IF(OR($U22=0,$F22&lt;&gt;2),0,IF(GC22&gt;0,GC22,IF(ROUND(CE22*$J22,6)&lt;ROUND($M22,6),CE22,0)))</f>
        <v/>
      </c>
      <c r="GE22" s="68">
        <f>IF(OR($U22=0,$F22&lt;&gt;2),0,IF(GD22&gt;0,GD22,IF(ROUND(CF22*$J22,6)&lt;ROUND($M22,6),CF22,0)))</f>
        <v/>
      </c>
      <c r="GF22" s="68">
        <f>IF(OR($U22=0,$F22&lt;&gt;2),0,IF(GE22&gt;0,GE22,IF(ROUND(CG22*$J22,6)&lt;ROUND($M22,6),CG22,0)))</f>
        <v/>
      </c>
      <c r="GG22" s="68">
        <f>IF(OR($U22=0,$F22&lt;&gt;2),0,IF(GF22&gt;0,GF22,IF(ROUND(CH22*$J22,6)&lt;ROUND($M22,6),CH22,0)))</f>
        <v/>
      </c>
      <c r="GH22" s="68">
        <f>IF(OR($U22=0,$F22&lt;&gt;2),0,IF(GG22&gt;0,GG22,IF(ROUND(CI22*$J22,6)&lt;ROUND($M22,6),CI22,0)))</f>
        <v/>
      </c>
      <c r="GI22" s="68">
        <f>IF(OR($U22=0,$F22&lt;&gt;2),0,IF(GH22&gt;0,GH22,IF(ROUND(CJ22*$J22,6)&lt;ROUND($M22,6),CJ22,0)))</f>
        <v/>
      </c>
      <c r="GJ22" s="68">
        <f>IF(OR($U22=0,$F22&lt;&gt;2),0,IF(GI22&gt;0,GI22,IF(ROUND(CK22*$J22,6)&lt;ROUND($M22,6),CK22,0)))</f>
        <v/>
      </c>
      <c r="GK22" s="68">
        <f>IF(OR($U22=0,$F22&lt;&gt;2),0,IF(GJ22&gt;0,GJ22,IF(ROUND(CL22*$J22,6)&lt;ROUND($M22,6),CL22,0)))</f>
        <v/>
      </c>
      <c r="GL22" s="68">
        <f>IF(OR($U22=0,$F22&lt;&gt;2),0,IF(GK22&gt;0,GK22,IF(ROUND(CM22*$J22,6)&lt;ROUND($M22,6),CM22,0)))</f>
        <v/>
      </c>
      <c r="GM22" s="68">
        <f>IF(OR($U22=0,$F22&lt;&gt;2),0,IF(GL22&gt;0,GL22,IF(ROUND(CN22*$J22,6)&lt;ROUND($M22,6),CN22,0)))</f>
        <v/>
      </c>
      <c r="GN22" s="68">
        <f>IF(OR($U22=0,$F22&lt;&gt;2),0,IF(GM22&gt;0,GM22,IF(ROUND(CO22*$J22,6)&lt;ROUND($M22,6),CO22,0)))</f>
        <v/>
      </c>
      <c r="GO22" s="68">
        <f>IF(OR($U22=0,$F22&lt;&gt;2),0,IF(GN22&gt;0,GN22,IF(ROUND(CP22*$J22,6)&lt;ROUND($M22,6),CP22,0)))</f>
        <v/>
      </c>
      <c r="GP22" s="68">
        <f>IF(OR($U22=0,$F22&lt;&gt;2),0,IF(GO22&gt;0,GO22,IF(ROUND(CQ22*$J22,6)&lt;ROUND($M22,6),CQ22,0)))</f>
        <v/>
      </c>
      <c r="GQ22" s="68">
        <f>IF(OR($U22=0,$F22&lt;&gt;2),0,IF(GP22&gt;0,GP22,IF(ROUND(CR22*$J22,6)&lt;ROUND($M22,6),CR22,0)))</f>
        <v/>
      </c>
      <c r="GR22" s="68">
        <f>IF(OR($U22=0,$F22&lt;&gt;2),0,IF(GQ22&gt;0,GQ22,IF(ROUND(CS22*$J22,6)&lt;ROUND($M22,6),CS22,0)))</f>
        <v/>
      </c>
      <c r="GS22" s="68">
        <f>IF(OR($U22=0,$F22&lt;&gt;2),0,IF(GR22&gt;0,GR22,IF(ROUND(CT22*$J22,6)&lt;ROUND($M22,6),CT22,0)))</f>
        <v/>
      </c>
      <c r="GT22" s="68">
        <f>IF(OR($U22=0,$F22&lt;&gt;2),0,IF(GS22&gt;0,GS22,IF(ROUND(CU22*$J22,6)&lt;ROUND($M22,6),CU22,0)))</f>
        <v/>
      </c>
      <c r="GU22" s="68">
        <f>IF(OR($U22=0,$F22&lt;&gt;2),0,IF(GT22&gt;0,GT22,IF(ROUND(CV22*$J22,6)&lt;ROUND($M22,6),CV22,0)))</f>
        <v/>
      </c>
      <c r="GV22" s="68">
        <f>IF(OR($U22=0,$F22&lt;&gt;2),0,IF(GU22&gt;0,GU22,IF(ROUND(CW22*$J22,6)&lt;ROUND($M22,6),CW22,0)))</f>
        <v/>
      </c>
      <c r="GW22" s="68">
        <f>IF(OR($U22=0,$F22&lt;&gt;2),0,IF(GV22&gt;0,GV22,IF(ROUND(CX22*$J22,6)&lt;ROUND($M22,6),CX22,0)))</f>
        <v/>
      </c>
      <c r="GX22" s="68">
        <f>IF(OR($U22=0,$F22&lt;&gt;2),0,IF(GW22&gt;0,GW22,IF(ROUND(CY22*$J22,6)&lt;ROUND($M22,6),CY22,0)))</f>
        <v/>
      </c>
      <c r="GY22" s="68">
        <f>IF(OR($U22=0,$F22&lt;&gt;2),0,IF(GX22&gt;0,GX22,IF(ROUND(CZ22*$J22,6)&lt;ROUND($M22,6),CZ22,0)))</f>
        <v/>
      </c>
      <c r="GZ22" s="68">
        <f>IF(OR($U22=0,$F22&lt;&gt;2),0,IF(GY22&gt;0,GY22,IF(ROUND(DA22*$J22,6)&lt;ROUND($M22,6),DA22,0)))</f>
        <v/>
      </c>
      <c r="HA22" s="68">
        <f>IF(OR($U22=0,$F22&lt;&gt;2),0,IF(GZ22&gt;0,GZ22,IF(ROUND(DB22*$J22,6)&lt;ROUND($M22,6),DB22,0)))</f>
        <v/>
      </c>
      <c r="HB22" s="68">
        <f>IF(OR($U22=0,$F22&lt;&gt;2),0,IF(HA22&gt;0,HA22,IF(ROUND(DC22*$J22,6)&lt;ROUND($M22,6),DC22,0)))</f>
        <v/>
      </c>
      <c r="HC22" s="68">
        <f>IF(OR($U22=0,$F22&lt;&gt;2),0,IF(HB22&gt;0,HB22,IF(ROUND(DD22*$J22,6)&lt;ROUND($M22,6),DD22,0)))</f>
        <v/>
      </c>
      <c r="HD22" s="68">
        <f>IF(OR($U22=0,$F22&lt;&gt;2),0,IF(HC22&gt;0,HC22,IF(ROUND(DE22*$J22,6)&lt;ROUND($M22,6),DE22,0)))</f>
        <v/>
      </c>
      <c r="HE22" s="68">
        <f>IF(OR($U22=0,$F22&lt;&gt;2),0,IF(HD22&gt;0,HD22,IF(ROUND(DF22*$J22,6)&lt;ROUND($M22,6),DF22,0)))</f>
        <v/>
      </c>
      <c r="HF22" s="68">
        <f>IF(OR($U22=0,$F22&lt;&gt;2),0,IF(HE22&gt;0,HE22,IF(ROUND(DG22*$J22,6)&lt;ROUND($M22,6),DG22,0)))</f>
        <v/>
      </c>
      <c r="HG22" s="68">
        <f>IF(OR($U22=0,$F22&lt;&gt;2),0,IF(HF22&gt;0,HF22,IF(ROUND(DH22*$J22,6)&lt;ROUND($M22,6),DH22,0)))</f>
        <v/>
      </c>
      <c r="HH22" s="68">
        <f>IF(OR($U22=0,$F22&lt;&gt;2),0,IF(HG22&gt;0,HG22,IF(ROUND(DI22*$J22,6)&lt;ROUND($M22,6),DI22,0)))</f>
        <v/>
      </c>
      <c r="HI22" s="68">
        <f>IF(OR($U22=0,$F22&lt;&gt;2),0,IF(HH22&gt;0,HH22,IF(ROUND(DJ22*$J22,6)&lt;ROUND($M22,6),DJ22,0)))</f>
        <v/>
      </c>
      <c r="HJ22" s="68">
        <f>IF(OR($U22=0,$F22&lt;&gt;2),0,IF(HI22&gt;0,HI22,IF(ROUND(DK22*$J22,6)&lt;ROUND($M22,6),DK22,0)))</f>
        <v/>
      </c>
      <c r="HK22" s="68">
        <f>IF(OR($U22=0,$F22&lt;&gt;2),0,IF(HJ22&gt;0,HJ22,IF(ROUND(DL22*$J22,6)&lt;ROUND($M22,6),DL22,0)))</f>
        <v/>
      </c>
      <c r="HL22" s="68">
        <f>IF(OR($U22=0,$F22&lt;&gt;2),0,IF(HK22&gt;0,HK22,IF(ROUND(DM22*$J22,6)&lt;ROUND($M22,6),DM22,0)))</f>
        <v/>
      </c>
      <c r="HM22" s="68">
        <f>IF(OR($U22=0,$F22&lt;&gt;2),0,IF(HL22&gt;0,HL22,IF(ROUND(DN22*$J22,6)&lt;ROUND($M22,6),DN22,0)))</f>
        <v/>
      </c>
      <c r="HN22" s="68">
        <f>IF(OR($U22=0,$F22&lt;&gt;2),0,IF(HM22&gt;0,HM22,IF(ROUND(DO22*$J22,6)&lt;ROUND($M22,6),DO22,0)))</f>
        <v/>
      </c>
      <c r="HO22" s="68">
        <f>IF(OR($U22=0,$F22&lt;&gt;2),0,IF(HN22&gt;0,HN22,IF(ROUND(DP22*$J22,6)&lt;ROUND($M22,6),DP22,0)))</f>
        <v/>
      </c>
      <c r="HP22" s="68">
        <f>IF(OR($U22=0,$F22&lt;&gt;2),0,IF(HO22&gt;0,HO22,IF(ROUND(DQ22*$J22,6)&lt;ROUND($M22,6),DQ22,0)))</f>
        <v/>
      </c>
      <c r="HQ22" s="68">
        <f>IF(OR($U22=0,$F22&lt;&gt;2),0,IF(HP22&gt;0,HP22,IF(ROUND(DR22*$J22,6)&lt;ROUND($M22,6),DR22,0)))</f>
        <v/>
      </c>
      <c r="HR22" s="68">
        <f>IF(OR($U22=0,$F22&lt;&gt;2),0,IF(HQ22&gt;0,HQ22,IF(ROUND(DS22*$J22,6)&lt;ROUND($M22,6),DS22,0)))</f>
        <v/>
      </c>
      <c r="HS22" s="68">
        <f>IF(OR($U22=0,$F22&lt;&gt;2),0,IF(HR22&gt;0,HR22,IF(ROUND(DT22*$J22,6)&lt;ROUND($M22,6),DT22,0)))</f>
        <v/>
      </c>
      <c r="HT22" s="68">
        <f>IF(OR($U22=0,$F22&lt;&gt;2),0,IF(HS22&gt;0,HS22,IF(ROUND(DU22*$J22,6)&lt;ROUND($M22,6),DU22,0)))</f>
        <v/>
      </c>
      <c r="HU22" s="68">
        <f>IF(OR($U22=0,$F22&lt;&gt;2),0,IF(HT22&gt;0,HT22,IF(ROUND(DV22*$J22,6)&lt;ROUND($M22,6),DV22,0)))</f>
        <v/>
      </c>
      <c r="HV22" s="68">
        <f>IF(OR($U22=0,$F22&lt;&gt;2),0,IF(HU22&gt;0,HU22,IF(ROUND(DW22*$J22,6)&lt;ROUND($M22,6),DW22,0)))</f>
        <v/>
      </c>
      <c r="HW22" s="68">
        <f>IF(OR($U22=0,$F22&lt;&gt;2),0,IF(HV22&gt;0,HV22,IF(ROUND(DX22*$J22,6)&lt;ROUND($M22,6),DX22,0)))</f>
        <v/>
      </c>
      <c r="HX22" s="68">
        <f>IF(OR($U22=0,$F22&lt;&gt;2),0,IF(HW22&gt;0,HW22,IF(ROUND(DY22*$J22,6)&lt;ROUND($M22,6),DY22,0)))</f>
        <v/>
      </c>
      <c r="HY22" s="68">
        <f>IF(OR($U22=0,$F22&lt;&gt;2),0,IF(HX22&gt;0,HX22,IF(ROUND(DZ22*$J22,6)&lt;ROUND($M22,6),DZ22,0)))</f>
        <v/>
      </c>
      <c r="HZ22" s="68">
        <f>IF(OR($U22=0,$F22&lt;&gt;2),0,IF(HY22&gt;0,HY22,IF(ROUND(EA22*$J22,6)&lt;ROUND($M22,6),EA22,0)))</f>
        <v/>
      </c>
      <c r="IA22" s="68">
        <f>IF(OR($U22=0,$F22&lt;&gt;2),0,IF(HZ22&gt;0,HZ22,IF(ROUND(EB22*$J22,6)&lt;ROUND($M22,6),EB22,0)))</f>
        <v/>
      </c>
      <c r="IB22" s="68">
        <f>IF(OR($U22=0,$F22&lt;&gt;2),0,IF(IA22&gt;0,IA22,IF(ROUND(EC22*$J22,6)&lt;ROUND($M22,6),EC22,0)))</f>
        <v/>
      </c>
      <c r="IC22" s="68">
        <f>IF(OR($U22=0,$F22&lt;&gt;2),0,IF(IB22&gt;0,IB22,IF(ROUND(ED22*$J22,6)&lt;ROUND($M22,6),ED22,0)))</f>
        <v/>
      </c>
      <c r="ID22" s="68">
        <f>IF(OR($U22=0,$F22&lt;&gt;2),0,IF(IC22&gt;0,IC22,IF(ROUND(EE22*$J22,6)&lt;ROUND($M22,6),EE22,0)))</f>
        <v/>
      </c>
      <c r="IE22" s="68">
        <f>IF(OR($U22=0,$F22&lt;&gt;2),0,IF(ID22&gt;0,ID22,IF(ROUND(EF22*$J22,6)&lt;ROUND($M22,6),EF22,0)))</f>
        <v/>
      </c>
      <c r="IF22" s="68">
        <f>IF(OR($U22=0,$F22&lt;&gt;2),0,IF(IE22&gt;0,IE22,IF(ROUND(EG22*$J22,6)&lt;ROUND($M22,6),EG22,0)))</f>
        <v/>
      </c>
      <c r="IG22" s="68">
        <f>IF(OR($U22=0,$F22&lt;&gt;2),0,IF(IF22&gt;0,IF22,IF(ROUND(EH22*$J22,6)&lt;ROUND($M22,6),EH22,0)))</f>
        <v/>
      </c>
      <c r="IH22" s="68">
        <f>IF(OR($U22=0,$F22&lt;&gt;2),0,IF(IG22&gt;0,IG22,IF(ROUND(EI22*$J22,6)&lt;ROUND($M22,6),EI22,0)))</f>
        <v/>
      </c>
      <c r="II22" s="68">
        <f>IF(OR($U22=0,$F22&lt;&gt;2),0,IF(IH22&gt;0,IH22,IF(ROUND(EJ22*$J22,6)&lt;ROUND($M22,6),EJ22,0)))</f>
        <v/>
      </c>
      <c r="IJ22" s="68">
        <f>IF(OR($U22=0,$F22&lt;&gt;2),0,IF(II22&gt;0,II22,IF(ROUND(EK22*$J22,6)&lt;ROUND($M22,6),EK22,0)))</f>
        <v/>
      </c>
      <c r="IK22" s="68">
        <f>IF(OR($U22=0,$F22&lt;&gt;2),0,IF(IJ22&gt;0,IJ22,IF(ROUND(EL22*$J22,6)&lt;ROUND($M22,6),EL22,0)))</f>
        <v/>
      </c>
      <c r="IL22" s="68">
        <f>IF(OR($U22=0,$F22&lt;&gt;2),0,IF(IK22&gt;0,IK22,IF(ROUND(EM22*$J22,6)&lt;ROUND($M22,6),EM22,0)))</f>
        <v/>
      </c>
      <c r="IM22" s="68">
        <f>IF(OR($U22=0,$F22&lt;&gt;2),0,IF(IL22&gt;0,IL22,IF(ROUND(EN22*$J22,6)&lt;ROUND($M22,6),EN22,0)))</f>
        <v/>
      </c>
      <c r="IN22" s="68">
        <f>IF(OR($U22=0,$F22&lt;&gt;2),0,IF(IM22&gt;0,IM22,IF(ROUND(EO22*$J22,6)&lt;ROUND($M22,6),EO22,0)))</f>
        <v/>
      </c>
    </row>
    <row r="23">
      <c r="A23" s="68" t="n">
        <v>18</v>
      </c>
      <c r="B23" s="68">
        <f>IF(OR(TRIM('固定資産台帳'!$B23)&lt;&gt;"",'固定資産台帳'!$E23&lt;&gt;"",'固定資産台帳'!$G23&lt;&gt;"",'固定資産台帳'!$H23&lt;&gt;""),1,0)</f>
        <v/>
      </c>
      <c r="C23" s="68">
        <f>IF(ISNUMBER('固定資産台帳'!$G23),MAX(ROUND('固定資産台帳'!$G23,0),0),0)</f>
        <v/>
      </c>
      <c r="D23" s="84">
        <f>IF(ISNUMBER('固定資産台帳'!$E23),INT('固定資産台帳'!$E23),0)</f>
        <v/>
      </c>
      <c r="E23" s="84">
        <f>IF(ISNUMBER('固定資産台帳'!$F23),INT('固定資産台帳'!$F23),$D23)</f>
        <v/>
      </c>
      <c r="F23" s="68">
        <f>IF('固定資産台帳'!$H23="定額法",1,IF(OR('固定資産台帳'!$H23="定率法",'固定資産台帳'!$H23="定率法（200%）",'固定資産台帳'!$H23="定率法（250%）"),2,IF('固定資産台帳'!$H23="一括償却（3年）",3,IF('固定資産台帳'!$H23="少額特例",4,0))))</f>
        <v/>
      </c>
      <c r="G23" s="68">
        <f>IF('固定資産台帳'!$H23="定率法（250%）",250,IF('固定資産台帳'!$H23="定率法（200%）",200,IF($D23&gt;=DATE(2012,4,1),200,250)))</f>
        <v/>
      </c>
      <c r="H23" s="68">
        <f>IF(ISNUMBER('固定資産台帳'!$I23),IF(AND('固定資産台帳'!$I23&gt;=2,'固定資産台帳'!$I23&lt;=100,'固定資産台帳'!$I23=INT('固定資産台帳'!$I23)),'固定資産台帳'!$I23,0),0)</f>
        <v/>
      </c>
      <c r="I23" s="68">
        <f>IF('固定資産台帳'!$C23="無形固定資産",0,1)</f>
        <v/>
      </c>
      <c r="J23" s="68">
        <f>IF(OR($H23=0,$F23=0,$F23&gt;2),0,IF($F23=1,INDEX('償却率表'!$B$6:$B$104,$H23-1),IF($G23=200,INDEX('償却率表'!$C$6:$C$104,$H23-1),INDEX('償却率表'!$F$6:$F$104,$H23-1))))</f>
        <v/>
      </c>
      <c r="K23" s="68">
        <f>IF(AND($F23=2,$H23&gt;0),IF($G23=200,INDEX('償却率表'!$D$6:$D$104,$H23-1),INDEX('償却率表'!$G$6:$G$104,$H23-1)),0)</f>
        <v/>
      </c>
      <c r="L23" s="68">
        <f>IF(AND($F23=2,$H23&gt;0),IF($G23=200,INDEX('償却率表'!$E$6:$E$104,$H23-1),INDEX('償却率表'!$H$6:$H$104,$H23-1)),0)</f>
        <v/>
      </c>
      <c r="M23" s="68">
        <f>$C23*$L23</f>
        <v/>
      </c>
      <c r="N23" s="68">
        <f>IF($B$1=1,1,IF('固定資産台帳'!$J23="",1,IF(ISNUMBER('固定資産台帳'!$J23),IF(AND('固定資産台帳'!$J23&gt;0,'固定資産台帳'!$J23&lt;=1),'固定資産台帳'!$J23,0),0)))</f>
        <v/>
      </c>
      <c r="O23" s="68">
        <f>IF($E23=0,0,YEAR($E23)-IF(MONTH($E23)&lt;$B$2,1,0))</f>
        <v/>
      </c>
      <c r="P23" s="68">
        <f>IF($E23=0,0,12-MOD(MONTH($E23)-$B$2,12))</f>
        <v/>
      </c>
      <c r="Q23" s="84">
        <f>IF(ISNUMBER('固定資産台帳'!$K23),INT('固定資産台帳'!$K23),0)</f>
        <v/>
      </c>
      <c r="R23" s="68">
        <f>IF(OR($Q23=0,$E23=0),999,YEAR($Q23)-IF(MONTH($Q23)&lt;$B$2,1,0)-$O23)</f>
        <v/>
      </c>
      <c r="S23" s="68">
        <f>IF($R23=999,0,MOD(MONTH($Q23)-$B$2,12)+1-IF($R23=0,12-$P23,0))</f>
        <v/>
      </c>
      <c r="T23" s="68">
        <f>IF($B23=0,0,IF($C23&lt;=0,1,IF($D23=0,2,IF($F23=0,3,IF(AND($F23&lt;=2,$H23=0),4,IF(AND($F23&lt;=2,$D23&lt;DATE(2007,4,1)),5,IF($E23&lt;$D23,6,IF(AND($Q23&gt;0,$Q23&lt;$E23),7,IF($N23=0,8,IF($B$3=0,9,0))))))))))</f>
        <v/>
      </c>
      <c r="U23" s="68">
        <f>IF(AND($B23=1,$T23=0),1,0)</f>
        <v/>
      </c>
      <c r="V23" s="68">
        <f>$B$3-$O23</f>
        <v/>
      </c>
      <c r="W23" s="68">
        <f>IF(AND($U23=1,$V23&gt;=0),1,0)</f>
        <v/>
      </c>
      <c r="X23" s="68">
        <f>IF($W23=0,0,IF($V23=0,$C23,INDEX($AS23:$EP23,MIN($V23,102))))</f>
        <v/>
      </c>
      <c r="Y23" s="68">
        <f>IF($W23=0,0,INDEX($AS23:$EP23,MIN($V23,101)+1))</f>
        <v/>
      </c>
      <c r="Z23" s="68">
        <f>$X23-$Y23</f>
        <v/>
      </c>
      <c r="AA23" s="68">
        <f>IF(AND($W23=1,$F23=2,$V23&gt;=1),INDEX($ER23:$IN23,MIN($V23,101)),0)</f>
        <v/>
      </c>
      <c r="AB23" s="68">
        <f>IF(OR($W23=0,$F23&gt;2,$Z23=0),0,IF($V23=0,IF($R23=0,$S23,$P23),IF($V23=$R23,$S23,12)))</f>
        <v/>
      </c>
      <c r="AC23" s="68">
        <f>IF($W23=0,0,INT(ROUND($Z23*$N23,6)+$B$4))</f>
        <v/>
      </c>
      <c r="AD23" s="68">
        <f>IF(AND($W23=1,$F23&lt;=2,$V23=$R23),1,0)</f>
        <v/>
      </c>
      <c r="AE23" s="68">
        <f>IF(AND($W23=1,$F23&lt;=2,$V23&gt;$R23),1,0)</f>
        <v/>
      </c>
      <c r="AF23" s="68">
        <f>IF(AND($W23=1,$AE23=0,OR($Z23&gt;0,$AD23=1)),1,0)</f>
        <v/>
      </c>
      <c r="AG23" s="68">
        <f>IF($AF23=1,SUM($AF$6:$AF23),0)</f>
        <v/>
      </c>
      <c r="AH23" s="68">
        <f>IF($T23=0,"",CHOOSE($T23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23" s="68">
        <f>IF(AND($F23=2,OR('固定資産台帳'!$C23="建物",'固定資産台帳'!$C23="無形固定資産",AND(OR('固定資産台帳'!$C23="建物附属設備",'固定資産台帳'!$C23="構築物"),$D23&gt;=DATE(2016,4,1)))),"この資産は定額法だけです（定率法は使えません）。","")&amp;IF(AND($F23=3,$C23&gt;=200000),"一括償却は20万円未満の資産だけです。","")&amp;IF(AND($F23=3,$B$1=0,$C23&lt;100000),"10万円未満は一括償却にせず、全額をその年の経費にします。","")&amp;IF(AND($F23=4,$C23&lt;100000),"10万円未満は少額特例ではなく、全額をその年の経費にします。","")&amp;IF(AND($F23=4,$D23&lt;DATE(2026,4,1),$C23&gt;=300000),"2026年3月31日までの取得で少額特例が使えるのは30万円未満です。","")&amp;IF(AND($F23=4,$D23&gt;=DATE(2026,4,1),$C23&gt;=400000),"少額特例は40万円未満の資産だけです。","")&amp;IF(AND($F23=4,OR($D23&lt;DATE(2006,4,1),$D23&gt;DATE(2029,3,31))),"少額特例は2006年4月1日〜2029年3月31日に取得した資産だけです。","")&amp;IF(AND($F23=2,$G23=250,$D23&gt;DATE(2012,12,31)),"250%定率法は2012年12月31日までの取得だけです。","")</f>
        <v/>
      </c>
      <c r="AJ23" s="68">
        <f>IF(AND($F23=2,'固定資産台帳'!$H23="定率法（200%）",$D23&lt;DATE(2012,4,1)),"2012年3月31日までの取得に200%を使うのは、経過措置の届出をした場合です。","")&amp;IF(AND($F23=2,'固定資産台帳'!$H23="定率法（250%）",$D23&gt;=DATE(2012,4,1),$D23&lt;=DATE(2012,12,31)),"2012年4〜12月の取得に250%を使うのは、経過措置を選んだ場合です。","")</f>
        <v/>
      </c>
      <c r="AK23" s="68">
        <f>IF($U23=0,"",IF($V23&lt;0,"表示している年より後に使い始める資産です。",IF($AE23=1,"売却・除却済みです。",IF($AD23=1,"この年に売却・除却。期末の帳簿価額 "&amp;TEXT($Y23,"#,##0")&amp;"円を帳簿から外します。",IF($F23=4,IF($V23=0,"少額特例：この年に全額を経費にします。","少額特例で経費にした資産です。"),IF($F23=3,IF($V23&gt;2,"一括償却は終わっています。","一括償却 "&amp;($V23+1)&amp;"年目（3年のうち）。"),IF($Z23=0,"償却済み（帳簿価額 "&amp;TEXT($Y23,"#,##0")&amp;"円）。",IF($AA23&gt;0,"改定償却率で計算（改定取得価額 "&amp;TEXT($AA23,"#,##0")&amp;"円）。",IF($V23=0,"この年に使い始め（"&amp;$AB23&amp;"か月分）。","")))))))))</f>
        <v/>
      </c>
      <c r="AL23" s="68">
        <f>IF(AND($U23=1,$F23=4,$V23=0),$C23,0)</f>
        <v/>
      </c>
      <c r="AM23" s="68">
        <f>IF($F23=2,INT(ROUND($M23,6)+$B$4),0)</f>
        <v/>
      </c>
      <c r="AN23" s="68">
        <f>IF($W23=0,0,IF($F23=2,IF($AA23&gt;0,$AA23,$X23),$C23))</f>
        <v/>
      </c>
      <c r="AO23" s="68">
        <f>IF($W23=0,"",IF($F23=3,"1/3",IF($F23=4,"―",IF($AA23&gt;0,$K23,$J23))))</f>
        <v/>
      </c>
      <c r="AP23" s="68" t="n"/>
      <c r="AQ23" s="68" t="n"/>
      <c r="AR23" s="68" t="n"/>
      <c r="AS23" s="68">
        <f>IF($U23=0,0,IF($F23=4,0,IF($F23=3,MAX($C23-INT(ROUND($C23/3,6)+$B$4),0),$C23-MIN(INT(ROUND($C23*$J23*IF($R23=0,$S23,$P23)/12,6)+$B$4),MAX($C23-$I23,0)))))</f>
        <v/>
      </c>
      <c r="AT23" s="68">
        <f>IF($U23=0,0,IF($F23=4,0,IF($F23=3,AS23-MIN(INT(ROUND($C23/3,6)+$B$4),AS23),IF(OR(1&gt;$R23,AS23&lt;=$I23),AS23,AS23-MIN(INT(ROUND(IF($F23=1,$C23*$J23,IF(ER23&gt;0,ER23*$K23,AS23*$J23))*IF(1=$R23,$S23,12)/12,6)+$B$4),AS23-$I23)))))</f>
        <v/>
      </c>
      <c r="AU23" s="68">
        <f>IF($U23=0,0,IF($F23=4,0,IF($F23=3,0,IF(OR(2&gt;$R23,AT23&lt;=$I23),AT23,AT23-MIN(INT(ROUND(IF($F23=1,$C23*$J23,IF(ES23&gt;0,ES23*$K23,AT23*$J23))*IF(2=$R23,$S23,12)/12,6)+$B$4),AT23-$I23)))))</f>
        <v/>
      </c>
      <c r="AV23" s="68">
        <f>IF($U23=0,0,IF($F23=4,0,IF($F23=3,0,IF(OR(3&gt;$R23,AU23&lt;=$I23),AU23,AU23-MIN(INT(ROUND(IF($F23=1,$C23*$J23,IF(ET23&gt;0,ET23*$K23,AU23*$J23))*IF(3=$R23,$S23,12)/12,6)+$B$4),AU23-$I23)))))</f>
        <v/>
      </c>
      <c r="AW23" s="68">
        <f>IF($U23=0,0,IF($F23=4,0,IF($F23=3,0,IF(OR(4&gt;$R23,AV23&lt;=$I23),AV23,AV23-MIN(INT(ROUND(IF($F23=1,$C23*$J23,IF(EU23&gt;0,EU23*$K23,AV23*$J23))*IF(4=$R23,$S23,12)/12,6)+$B$4),AV23-$I23)))))</f>
        <v/>
      </c>
      <c r="AX23" s="68">
        <f>IF($U23=0,0,IF($F23=4,0,IF($F23=3,0,IF(OR(5&gt;$R23,AW23&lt;=$I23),AW23,AW23-MIN(INT(ROUND(IF($F23=1,$C23*$J23,IF(EV23&gt;0,EV23*$K23,AW23*$J23))*IF(5=$R23,$S23,12)/12,6)+$B$4),AW23-$I23)))))</f>
        <v/>
      </c>
      <c r="AY23" s="68">
        <f>IF($U23=0,0,IF($F23=4,0,IF($F23=3,0,IF(OR(6&gt;$R23,AX23&lt;=$I23),AX23,AX23-MIN(INT(ROUND(IF($F23=1,$C23*$J23,IF(EW23&gt;0,EW23*$K23,AX23*$J23))*IF(6=$R23,$S23,12)/12,6)+$B$4),AX23-$I23)))))</f>
        <v/>
      </c>
      <c r="AZ23" s="68">
        <f>IF($U23=0,0,IF($F23=4,0,IF($F23=3,0,IF(OR(7&gt;$R23,AY23&lt;=$I23),AY23,AY23-MIN(INT(ROUND(IF($F23=1,$C23*$J23,IF(EX23&gt;0,EX23*$K23,AY23*$J23))*IF(7=$R23,$S23,12)/12,6)+$B$4),AY23-$I23)))))</f>
        <v/>
      </c>
      <c r="BA23" s="68">
        <f>IF($U23=0,0,IF($F23=4,0,IF($F23=3,0,IF(OR(8&gt;$R23,AZ23&lt;=$I23),AZ23,AZ23-MIN(INT(ROUND(IF($F23=1,$C23*$J23,IF(EY23&gt;0,EY23*$K23,AZ23*$J23))*IF(8=$R23,$S23,12)/12,6)+$B$4),AZ23-$I23)))))</f>
        <v/>
      </c>
      <c r="BB23" s="68">
        <f>IF($U23=0,0,IF($F23=4,0,IF($F23=3,0,IF(OR(9&gt;$R23,BA23&lt;=$I23),BA23,BA23-MIN(INT(ROUND(IF($F23=1,$C23*$J23,IF(EZ23&gt;0,EZ23*$K23,BA23*$J23))*IF(9=$R23,$S23,12)/12,6)+$B$4),BA23-$I23)))))</f>
        <v/>
      </c>
      <c r="BC23" s="68">
        <f>IF($U23=0,0,IF($F23=4,0,IF($F23=3,0,IF(OR(10&gt;$R23,BB23&lt;=$I23),BB23,BB23-MIN(INT(ROUND(IF($F23=1,$C23*$J23,IF(FA23&gt;0,FA23*$K23,BB23*$J23))*IF(10=$R23,$S23,12)/12,6)+$B$4),BB23-$I23)))))</f>
        <v/>
      </c>
      <c r="BD23" s="68">
        <f>IF($U23=0,0,IF($F23=4,0,IF($F23=3,0,IF(OR(11&gt;$R23,BC23&lt;=$I23),BC23,BC23-MIN(INT(ROUND(IF($F23=1,$C23*$J23,IF(FB23&gt;0,FB23*$K23,BC23*$J23))*IF(11=$R23,$S23,12)/12,6)+$B$4),BC23-$I23)))))</f>
        <v/>
      </c>
      <c r="BE23" s="68">
        <f>IF($U23=0,0,IF($F23=4,0,IF($F23=3,0,IF(OR(12&gt;$R23,BD23&lt;=$I23),BD23,BD23-MIN(INT(ROUND(IF($F23=1,$C23*$J23,IF(FC23&gt;0,FC23*$K23,BD23*$J23))*IF(12=$R23,$S23,12)/12,6)+$B$4),BD23-$I23)))))</f>
        <v/>
      </c>
      <c r="BF23" s="68">
        <f>IF($U23=0,0,IF($F23=4,0,IF($F23=3,0,IF(OR(13&gt;$R23,BE23&lt;=$I23),BE23,BE23-MIN(INT(ROUND(IF($F23=1,$C23*$J23,IF(FD23&gt;0,FD23*$K23,BE23*$J23))*IF(13=$R23,$S23,12)/12,6)+$B$4),BE23-$I23)))))</f>
        <v/>
      </c>
      <c r="BG23" s="68">
        <f>IF($U23=0,0,IF($F23=4,0,IF($F23=3,0,IF(OR(14&gt;$R23,BF23&lt;=$I23),BF23,BF23-MIN(INT(ROUND(IF($F23=1,$C23*$J23,IF(FE23&gt;0,FE23*$K23,BF23*$J23))*IF(14=$R23,$S23,12)/12,6)+$B$4),BF23-$I23)))))</f>
        <v/>
      </c>
      <c r="BH23" s="68">
        <f>IF($U23=0,0,IF($F23=4,0,IF($F23=3,0,IF(OR(15&gt;$R23,BG23&lt;=$I23),BG23,BG23-MIN(INT(ROUND(IF($F23=1,$C23*$J23,IF(FF23&gt;0,FF23*$K23,BG23*$J23))*IF(15=$R23,$S23,12)/12,6)+$B$4),BG23-$I23)))))</f>
        <v/>
      </c>
      <c r="BI23" s="68">
        <f>IF($U23=0,0,IF($F23=4,0,IF($F23=3,0,IF(OR(16&gt;$R23,BH23&lt;=$I23),BH23,BH23-MIN(INT(ROUND(IF($F23=1,$C23*$J23,IF(FG23&gt;0,FG23*$K23,BH23*$J23))*IF(16=$R23,$S23,12)/12,6)+$B$4),BH23-$I23)))))</f>
        <v/>
      </c>
      <c r="BJ23" s="68">
        <f>IF($U23=0,0,IF($F23=4,0,IF($F23=3,0,IF(OR(17&gt;$R23,BI23&lt;=$I23),BI23,BI23-MIN(INT(ROUND(IF($F23=1,$C23*$J23,IF(FH23&gt;0,FH23*$K23,BI23*$J23))*IF(17=$R23,$S23,12)/12,6)+$B$4),BI23-$I23)))))</f>
        <v/>
      </c>
      <c r="BK23" s="68">
        <f>IF($U23=0,0,IF($F23=4,0,IF($F23=3,0,IF(OR(18&gt;$R23,BJ23&lt;=$I23),BJ23,BJ23-MIN(INT(ROUND(IF($F23=1,$C23*$J23,IF(FI23&gt;0,FI23*$K23,BJ23*$J23))*IF(18=$R23,$S23,12)/12,6)+$B$4),BJ23-$I23)))))</f>
        <v/>
      </c>
      <c r="BL23" s="68">
        <f>IF($U23=0,0,IF($F23=4,0,IF($F23=3,0,IF(OR(19&gt;$R23,BK23&lt;=$I23),BK23,BK23-MIN(INT(ROUND(IF($F23=1,$C23*$J23,IF(FJ23&gt;0,FJ23*$K23,BK23*$J23))*IF(19=$R23,$S23,12)/12,6)+$B$4),BK23-$I23)))))</f>
        <v/>
      </c>
      <c r="BM23" s="68">
        <f>IF($U23=0,0,IF($F23=4,0,IF($F23=3,0,IF(OR(20&gt;$R23,BL23&lt;=$I23),BL23,BL23-MIN(INT(ROUND(IF($F23=1,$C23*$J23,IF(FK23&gt;0,FK23*$K23,BL23*$J23))*IF(20=$R23,$S23,12)/12,6)+$B$4),BL23-$I23)))))</f>
        <v/>
      </c>
      <c r="BN23" s="68">
        <f>IF($U23=0,0,IF($F23=4,0,IF($F23=3,0,IF(OR(21&gt;$R23,BM23&lt;=$I23),BM23,BM23-MIN(INT(ROUND(IF($F23=1,$C23*$J23,IF(FL23&gt;0,FL23*$K23,BM23*$J23))*IF(21=$R23,$S23,12)/12,6)+$B$4),BM23-$I23)))))</f>
        <v/>
      </c>
      <c r="BO23" s="68">
        <f>IF($U23=0,0,IF($F23=4,0,IF($F23=3,0,IF(OR(22&gt;$R23,BN23&lt;=$I23),BN23,BN23-MIN(INT(ROUND(IF($F23=1,$C23*$J23,IF(FM23&gt;0,FM23*$K23,BN23*$J23))*IF(22=$R23,$S23,12)/12,6)+$B$4),BN23-$I23)))))</f>
        <v/>
      </c>
      <c r="BP23" s="68">
        <f>IF($U23=0,0,IF($F23=4,0,IF($F23=3,0,IF(OR(23&gt;$R23,BO23&lt;=$I23),BO23,BO23-MIN(INT(ROUND(IF($F23=1,$C23*$J23,IF(FN23&gt;0,FN23*$K23,BO23*$J23))*IF(23=$R23,$S23,12)/12,6)+$B$4),BO23-$I23)))))</f>
        <v/>
      </c>
      <c r="BQ23" s="68">
        <f>IF($U23=0,0,IF($F23=4,0,IF($F23=3,0,IF(OR(24&gt;$R23,BP23&lt;=$I23),BP23,BP23-MIN(INT(ROUND(IF($F23=1,$C23*$J23,IF(FO23&gt;0,FO23*$K23,BP23*$J23))*IF(24=$R23,$S23,12)/12,6)+$B$4),BP23-$I23)))))</f>
        <v/>
      </c>
      <c r="BR23" s="68">
        <f>IF($U23=0,0,IF($F23=4,0,IF($F23=3,0,IF(OR(25&gt;$R23,BQ23&lt;=$I23),BQ23,BQ23-MIN(INT(ROUND(IF($F23=1,$C23*$J23,IF(FP23&gt;0,FP23*$K23,BQ23*$J23))*IF(25=$R23,$S23,12)/12,6)+$B$4),BQ23-$I23)))))</f>
        <v/>
      </c>
      <c r="BS23" s="68">
        <f>IF($U23=0,0,IF($F23=4,0,IF($F23=3,0,IF(OR(26&gt;$R23,BR23&lt;=$I23),BR23,BR23-MIN(INT(ROUND(IF($F23=1,$C23*$J23,IF(FQ23&gt;0,FQ23*$K23,BR23*$J23))*IF(26=$R23,$S23,12)/12,6)+$B$4),BR23-$I23)))))</f>
        <v/>
      </c>
      <c r="BT23" s="68">
        <f>IF($U23=0,0,IF($F23=4,0,IF($F23=3,0,IF(OR(27&gt;$R23,BS23&lt;=$I23),BS23,BS23-MIN(INT(ROUND(IF($F23=1,$C23*$J23,IF(FR23&gt;0,FR23*$K23,BS23*$J23))*IF(27=$R23,$S23,12)/12,6)+$B$4),BS23-$I23)))))</f>
        <v/>
      </c>
      <c r="BU23" s="68">
        <f>IF($U23=0,0,IF($F23=4,0,IF($F23=3,0,IF(OR(28&gt;$R23,BT23&lt;=$I23),BT23,BT23-MIN(INT(ROUND(IF($F23=1,$C23*$J23,IF(FS23&gt;0,FS23*$K23,BT23*$J23))*IF(28=$R23,$S23,12)/12,6)+$B$4),BT23-$I23)))))</f>
        <v/>
      </c>
      <c r="BV23" s="68">
        <f>IF($U23=0,0,IF($F23=4,0,IF($F23=3,0,IF(OR(29&gt;$R23,BU23&lt;=$I23),BU23,BU23-MIN(INT(ROUND(IF($F23=1,$C23*$J23,IF(FT23&gt;0,FT23*$K23,BU23*$J23))*IF(29=$R23,$S23,12)/12,6)+$B$4),BU23-$I23)))))</f>
        <v/>
      </c>
      <c r="BW23" s="68">
        <f>IF($U23=0,0,IF($F23=4,0,IF($F23=3,0,IF(OR(30&gt;$R23,BV23&lt;=$I23),BV23,BV23-MIN(INT(ROUND(IF($F23=1,$C23*$J23,IF(FU23&gt;0,FU23*$K23,BV23*$J23))*IF(30=$R23,$S23,12)/12,6)+$B$4),BV23-$I23)))))</f>
        <v/>
      </c>
      <c r="BX23" s="68">
        <f>IF($U23=0,0,IF($F23=4,0,IF($F23=3,0,IF(OR(31&gt;$R23,BW23&lt;=$I23),BW23,BW23-MIN(INT(ROUND(IF($F23=1,$C23*$J23,IF(FV23&gt;0,FV23*$K23,BW23*$J23))*IF(31=$R23,$S23,12)/12,6)+$B$4),BW23-$I23)))))</f>
        <v/>
      </c>
      <c r="BY23" s="68">
        <f>IF($U23=0,0,IF($F23=4,0,IF($F23=3,0,IF(OR(32&gt;$R23,BX23&lt;=$I23),BX23,BX23-MIN(INT(ROUND(IF($F23=1,$C23*$J23,IF(FW23&gt;0,FW23*$K23,BX23*$J23))*IF(32=$R23,$S23,12)/12,6)+$B$4),BX23-$I23)))))</f>
        <v/>
      </c>
      <c r="BZ23" s="68">
        <f>IF($U23=0,0,IF($F23=4,0,IF($F23=3,0,IF(OR(33&gt;$R23,BY23&lt;=$I23),BY23,BY23-MIN(INT(ROUND(IF($F23=1,$C23*$J23,IF(FX23&gt;0,FX23*$K23,BY23*$J23))*IF(33=$R23,$S23,12)/12,6)+$B$4),BY23-$I23)))))</f>
        <v/>
      </c>
      <c r="CA23" s="68">
        <f>IF($U23=0,0,IF($F23=4,0,IF($F23=3,0,IF(OR(34&gt;$R23,BZ23&lt;=$I23),BZ23,BZ23-MIN(INT(ROUND(IF($F23=1,$C23*$J23,IF(FY23&gt;0,FY23*$K23,BZ23*$J23))*IF(34=$R23,$S23,12)/12,6)+$B$4),BZ23-$I23)))))</f>
        <v/>
      </c>
      <c r="CB23" s="68">
        <f>IF($U23=0,0,IF($F23=4,0,IF($F23=3,0,IF(OR(35&gt;$R23,CA23&lt;=$I23),CA23,CA23-MIN(INT(ROUND(IF($F23=1,$C23*$J23,IF(FZ23&gt;0,FZ23*$K23,CA23*$J23))*IF(35=$R23,$S23,12)/12,6)+$B$4),CA23-$I23)))))</f>
        <v/>
      </c>
      <c r="CC23" s="68">
        <f>IF($U23=0,0,IF($F23=4,0,IF($F23=3,0,IF(OR(36&gt;$R23,CB23&lt;=$I23),CB23,CB23-MIN(INT(ROUND(IF($F23=1,$C23*$J23,IF(GA23&gt;0,GA23*$K23,CB23*$J23))*IF(36=$R23,$S23,12)/12,6)+$B$4),CB23-$I23)))))</f>
        <v/>
      </c>
      <c r="CD23" s="68">
        <f>IF($U23=0,0,IF($F23=4,0,IF($F23=3,0,IF(OR(37&gt;$R23,CC23&lt;=$I23),CC23,CC23-MIN(INT(ROUND(IF($F23=1,$C23*$J23,IF(GB23&gt;0,GB23*$K23,CC23*$J23))*IF(37=$R23,$S23,12)/12,6)+$B$4),CC23-$I23)))))</f>
        <v/>
      </c>
      <c r="CE23" s="68">
        <f>IF($U23=0,0,IF($F23=4,0,IF($F23=3,0,IF(OR(38&gt;$R23,CD23&lt;=$I23),CD23,CD23-MIN(INT(ROUND(IF($F23=1,$C23*$J23,IF(GC23&gt;0,GC23*$K23,CD23*$J23))*IF(38=$R23,$S23,12)/12,6)+$B$4),CD23-$I23)))))</f>
        <v/>
      </c>
      <c r="CF23" s="68">
        <f>IF($U23=0,0,IF($F23=4,0,IF($F23=3,0,IF(OR(39&gt;$R23,CE23&lt;=$I23),CE23,CE23-MIN(INT(ROUND(IF($F23=1,$C23*$J23,IF(GD23&gt;0,GD23*$K23,CE23*$J23))*IF(39=$R23,$S23,12)/12,6)+$B$4),CE23-$I23)))))</f>
        <v/>
      </c>
      <c r="CG23" s="68">
        <f>IF($U23=0,0,IF($F23=4,0,IF($F23=3,0,IF(OR(40&gt;$R23,CF23&lt;=$I23),CF23,CF23-MIN(INT(ROUND(IF($F23=1,$C23*$J23,IF(GE23&gt;0,GE23*$K23,CF23*$J23))*IF(40=$R23,$S23,12)/12,6)+$B$4),CF23-$I23)))))</f>
        <v/>
      </c>
      <c r="CH23" s="68">
        <f>IF($U23=0,0,IF($F23=4,0,IF($F23=3,0,IF(OR(41&gt;$R23,CG23&lt;=$I23),CG23,CG23-MIN(INT(ROUND(IF($F23=1,$C23*$J23,IF(GF23&gt;0,GF23*$K23,CG23*$J23))*IF(41=$R23,$S23,12)/12,6)+$B$4),CG23-$I23)))))</f>
        <v/>
      </c>
      <c r="CI23" s="68">
        <f>IF($U23=0,0,IF($F23=4,0,IF($F23=3,0,IF(OR(42&gt;$R23,CH23&lt;=$I23),CH23,CH23-MIN(INT(ROUND(IF($F23=1,$C23*$J23,IF(GG23&gt;0,GG23*$K23,CH23*$J23))*IF(42=$R23,$S23,12)/12,6)+$B$4),CH23-$I23)))))</f>
        <v/>
      </c>
      <c r="CJ23" s="68">
        <f>IF($U23=0,0,IF($F23=4,0,IF($F23=3,0,IF(OR(43&gt;$R23,CI23&lt;=$I23),CI23,CI23-MIN(INT(ROUND(IF($F23=1,$C23*$J23,IF(GH23&gt;0,GH23*$K23,CI23*$J23))*IF(43=$R23,$S23,12)/12,6)+$B$4),CI23-$I23)))))</f>
        <v/>
      </c>
      <c r="CK23" s="68">
        <f>IF($U23=0,0,IF($F23=4,0,IF($F23=3,0,IF(OR(44&gt;$R23,CJ23&lt;=$I23),CJ23,CJ23-MIN(INT(ROUND(IF($F23=1,$C23*$J23,IF(GI23&gt;0,GI23*$K23,CJ23*$J23))*IF(44=$R23,$S23,12)/12,6)+$B$4),CJ23-$I23)))))</f>
        <v/>
      </c>
      <c r="CL23" s="68">
        <f>IF($U23=0,0,IF($F23=4,0,IF($F23=3,0,IF(OR(45&gt;$R23,CK23&lt;=$I23),CK23,CK23-MIN(INT(ROUND(IF($F23=1,$C23*$J23,IF(GJ23&gt;0,GJ23*$K23,CK23*$J23))*IF(45=$R23,$S23,12)/12,6)+$B$4),CK23-$I23)))))</f>
        <v/>
      </c>
      <c r="CM23" s="68">
        <f>IF($U23=0,0,IF($F23=4,0,IF($F23=3,0,IF(OR(46&gt;$R23,CL23&lt;=$I23),CL23,CL23-MIN(INT(ROUND(IF($F23=1,$C23*$J23,IF(GK23&gt;0,GK23*$K23,CL23*$J23))*IF(46=$R23,$S23,12)/12,6)+$B$4),CL23-$I23)))))</f>
        <v/>
      </c>
      <c r="CN23" s="68">
        <f>IF($U23=0,0,IF($F23=4,0,IF($F23=3,0,IF(OR(47&gt;$R23,CM23&lt;=$I23),CM23,CM23-MIN(INT(ROUND(IF($F23=1,$C23*$J23,IF(GL23&gt;0,GL23*$K23,CM23*$J23))*IF(47=$R23,$S23,12)/12,6)+$B$4),CM23-$I23)))))</f>
        <v/>
      </c>
      <c r="CO23" s="68">
        <f>IF($U23=0,0,IF($F23=4,0,IF($F23=3,0,IF(OR(48&gt;$R23,CN23&lt;=$I23),CN23,CN23-MIN(INT(ROUND(IF($F23=1,$C23*$J23,IF(GM23&gt;0,GM23*$K23,CN23*$J23))*IF(48=$R23,$S23,12)/12,6)+$B$4),CN23-$I23)))))</f>
        <v/>
      </c>
      <c r="CP23" s="68">
        <f>IF($U23=0,0,IF($F23=4,0,IF($F23=3,0,IF(OR(49&gt;$R23,CO23&lt;=$I23),CO23,CO23-MIN(INT(ROUND(IF($F23=1,$C23*$J23,IF(GN23&gt;0,GN23*$K23,CO23*$J23))*IF(49=$R23,$S23,12)/12,6)+$B$4),CO23-$I23)))))</f>
        <v/>
      </c>
      <c r="CQ23" s="68">
        <f>IF($U23=0,0,IF($F23=4,0,IF($F23=3,0,IF(OR(50&gt;$R23,CP23&lt;=$I23),CP23,CP23-MIN(INT(ROUND(IF($F23=1,$C23*$J23,IF(GO23&gt;0,GO23*$K23,CP23*$J23))*IF(50=$R23,$S23,12)/12,6)+$B$4),CP23-$I23)))))</f>
        <v/>
      </c>
      <c r="CR23" s="68">
        <f>IF($U23=0,0,IF($F23=4,0,IF($F23=3,0,IF(OR(51&gt;$R23,CQ23&lt;=$I23),CQ23,CQ23-MIN(INT(ROUND(IF($F23=1,$C23*$J23,IF(GP23&gt;0,GP23*$K23,CQ23*$J23))*IF(51=$R23,$S23,12)/12,6)+$B$4),CQ23-$I23)))))</f>
        <v/>
      </c>
      <c r="CS23" s="68">
        <f>IF($U23=0,0,IF($F23=4,0,IF($F23=3,0,IF(OR(52&gt;$R23,CR23&lt;=$I23),CR23,CR23-MIN(INT(ROUND(IF($F23=1,$C23*$J23,IF(GQ23&gt;0,GQ23*$K23,CR23*$J23))*IF(52=$R23,$S23,12)/12,6)+$B$4),CR23-$I23)))))</f>
        <v/>
      </c>
      <c r="CT23" s="68">
        <f>IF($U23=0,0,IF($F23=4,0,IF($F23=3,0,IF(OR(53&gt;$R23,CS23&lt;=$I23),CS23,CS23-MIN(INT(ROUND(IF($F23=1,$C23*$J23,IF(GR23&gt;0,GR23*$K23,CS23*$J23))*IF(53=$R23,$S23,12)/12,6)+$B$4),CS23-$I23)))))</f>
        <v/>
      </c>
      <c r="CU23" s="68">
        <f>IF($U23=0,0,IF($F23=4,0,IF($F23=3,0,IF(OR(54&gt;$R23,CT23&lt;=$I23),CT23,CT23-MIN(INT(ROUND(IF($F23=1,$C23*$J23,IF(GS23&gt;0,GS23*$K23,CT23*$J23))*IF(54=$R23,$S23,12)/12,6)+$B$4),CT23-$I23)))))</f>
        <v/>
      </c>
      <c r="CV23" s="68">
        <f>IF($U23=0,0,IF($F23=4,0,IF($F23=3,0,IF(OR(55&gt;$R23,CU23&lt;=$I23),CU23,CU23-MIN(INT(ROUND(IF($F23=1,$C23*$J23,IF(GT23&gt;0,GT23*$K23,CU23*$J23))*IF(55=$R23,$S23,12)/12,6)+$B$4),CU23-$I23)))))</f>
        <v/>
      </c>
      <c r="CW23" s="68">
        <f>IF($U23=0,0,IF($F23=4,0,IF($F23=3,0,IF(OR(56&gt;$R23,CV23&lt;=$I23),CV23,CV23-MIN(INT(ROUND(IF($F23=1,$C23*$J23,IF(GU23&gt;0,GU23*$K23,CV23*$J23))*IF(56=$R23,$S23,12)/12,6)+$B$4),CV23-$I23)))))</f>
        <v/>
      </c>
      <c r="CX23" s="68">
        <f>IF($U23=0,0,IF($F23=4,0,IF($F23=3,0,IF(OR(57&gt;$R23,CW23&lt;=$I23),CW23,CW23-MIN(INT(ROUND(IF($F23=1,$C23*$J23,IF(GV23&gt;0,GV23*$K23,CW23*$J23))*IF(57=$R23,$S23,12)/12,6)+$B$4),CW23-$I23)))))</f>
        <v/>
      </c>
      <c r="CY23" s="68">
        <f>IF($U23=0,0,IF($F23=4,0,IF($F23=3,0,IF(OR(58&gt;$R23,CX23&lt;=$I23),CX23,CX23-MIN(INT(ROUND(IF($F23=1,$C23*$J23,IF(GW23&gt;0,GW23*$K23,CX23*$J23))*IF(58=$R23,$S23,12)/12,6)+$B$4),CX23-$I23)))))</f>
        <v/>
      </c>
      <c r="CZ23" s="68">
        <f>IF($U23=0,0,IF($F23=4,0,IF($F23=3,0,IF(OR(59&gt;$R23,CY23&lt;=$I23),CY23,CY23-MIN(INT(ROUND(IF($F23=1,$C23*$J23,IF(GX23&gt;0,GX23*$K23,CY23*$J23))*IF(59=$R23,$S23,12)/12,6)+$B$4),CY23-$I23)))))</f>
        <v/>
      </c>
      <c r="DA23" s="68">
        <f>IF($U23=0,0,IF($F23=4,0,IF($F23=3,0,IF(OR(60&gt;$R23,CZ23&lt;=$I23),CZ23,CZ23-MIN(INT(ROUND(IF($F23=1,$C23*$J23,IF(GY23&gt;0,GY23*$K23,CZ23*$J23))*IF(60=$R23,$S23,12)/12,6)+$B$4),CZ23-$I23)))))</f>
        <v/>
      </c>
      <c r="DB23" s="68">
        <f>IF($U23=0,0,IF($F23=4,0,IF($F23=3,0,IF(OR(61&gt;$R23,DA23&lt;=$I23),DA23,DA23-MIN(INT(ROUND(IF($F23=1,$C23*$J23,IF(GZ23&gt;0,GZ23*$K23,DA23*$J23))*IF(61=$R23,$S23,12)/12,6)+$B$4),DA23-$I23)))))</f>
        <v/>
      </c>
      <c r="DC23" s="68">
        <f>IF($U23=0,0,IF($F23=4,0,IF($F23=3,0,IF(OR(62&gt;$R23,DB23&lt;=$I23),DB23,DB23-MIN(INT(ROUND(IF($F23=1,$C23*$J23,IF(HA23&gt;0,HA23*$K23,DB23*$J23))*IF(62=$R23,$S23,12)/12,6)+$B$4),DB23-$I23)))))</f>
        <v/>
      </c>
      <c r="DD23" s="68">
        <f>IF($U23=0,0,IF($F23=4,0,IF($F23=3,0,IF(OR(63&gt;$R23,DC23&lt;=$I23),DC23,DC23-MIN(INT(ROUND(IF($F23=1,$C23*$J23,IF(HB23&gt;0,HB23*$K23,DC23*$J23))*IF(63=$R23,$S23,12)/12,6)+$B$4),DC23-$I23)))))</f>
        <v/>
      </c>
      <c r="DE23" s="68">
        <f>IF($U23=0,0,IF($F23=4,0,IF($F23=3,0,IF(OR(64&gt;$R23,DD23&lt;=$I23),DD23,DD23-MIN(INT(ROUND(IF($F23=1,$C23*$J23,IF(HC23&gt;0,HC23*$K23,DD23*$J23))*IF(64=$R23,$S23,12)/12,6)+$B$4),DD23-$I23)))))</f>
        <v/>
      </c>
      <c r="DF23" s="68">
        <f>IF($U23=0,0,IF($F23=4,0,IF($F23=3,0,IF(OR(65&gt;$R23,DE23&lt;=$I23),DE23,DE23-MIN(INT(ROUND(IF($F23=1,$C23*$J23,IF(HD23&gt;0,HD23*$K23,DE23*$J23))*IF(65=$R23,$S23,12)/12,6)+$B$4),DE23-$I23)))))</f>
        <v/>
      </c>
      <c r="DG23" s="68">
        <f>IF($U23=0,0,IF($F23=4,0,IF($F23=3,0,IF(OR(66&gt;$R23,DF23&lt;=$I23),DF23,DF23-MIN(INT(ROUND(IF($F23=1,$C23*$J23,IF(HE23&gt;0,HE23*$K23,DF23*$J23))*IF(66=$R23,$S23,12)/12,6)+$B$4),DF23-$I23)))))</f>
        <v/>
      </c>
      <c r="DH23" s="68">
        <f>IF($U23=0,0,IF($F23=4,0,IF($F23=3,0,IF(OR(67&gt;$R23,DG23&lt;=$I23),DG23,DG23-MIN(INT(ROUND(IF($F23=1,$C23*$J23,IF(HF23&gt;0,HF23*$K23,DG23*$J23))*IF(67=$R23,$S23,12)/12,6)+$B$4),DG23-$I23)))))</f>
        <v/>
      </c>
      <c r="DI23" s="68">
        <f>IF($U23=0,0,IF($F23=4,0,IF($F23=3,0,IF(OR(68&gt;$R23,DH23&lt;=$I23),DH23,DH23-MIN(INT(ROUND(IF($F23=1,$C23*$J23,IF(HG23&gt;0,HG23*$K23,DH23*$J23))*IF(68=$R23,$S23,12)/12,6)+$B$4),DH23-$I23)))))</f>
        <v/>
      </c>
      <c r="DJ23" s="68">
        <f>IF($U23=0,0,IF($F23=4,0,IF($F23=3,0,IF(OR(69&gt;$R23,DI23&lt;=$I23),DI23,DI23-MIN(INT(ROUND(IF($F23=1,$C23*$J23,IF(HH23&gt;0,HH23*$K23,DI23*$J23))*IF(69=$R23,$S23,12)/12,6)+$B$4),DI23-$I23)))))</f>
        <v/>
      </c>
      <c r="DK23" s="68">
        <f>IF($U23=0,0,IF($F23=4,0,IF($F23=3,0,IF(OR(70&gt;$R23,DJ23&lt;=$I23),DJ23,DJ23-MIN(INT(ROUND(IF($F23=1,$C23*$J23,IF(HI23&gt;0,HI23*$K23,DJ23*$J23))*IF(70=$R23,$S23,12)/12,6)+$B$4),DJ23-$I23)))))</f>
        <v/>
      </c>
      <c r="DL23" s="68">
        <f>IF($U23=0,0,IF($F23=4,0,IF($F23=3,0,IF(OR(71&gt;$R23,DK23&lt;=$I23),DK23,DK23-MIN(INT(ROUND(IF($F23=1,$C23*$J23,IF(HJ23&gt;0,HJ23*$K23,DK23*$J23))*IF(71=$R23,$S23,12)/12,6)+$B$4),DK23-$I23)))))</f>
        <v/>
      </c>
      <c r="DM23" s="68">
        <f>IF($U23=0,0,IF($F23=4,0,IF($F23=3,0,IF(OR(72&gt;$R23,DL23&lt;=$I23),DL23,DL23-MIN(INT(ROUND(IF($F23=1,$C23*$J23,IF(HK23&gt;0,HK23*$K23,DL23*$J23))*IF(72=$R23,$S23,12)/12,6)+$B$4),DL23-$I23)))))</f>
        <v/>
      </c>
      <c r="DN23" s="68">
        <f>IF($U23=0,0,IF($F23=4,0,IF($F23=3,0,IF(OR(73&gt;$R23,DM23&lt;=$I23),DM23,DM23-MIN(INT(ROUND(IF($F23=1,$C23*$J23,IF(HL23&gt;0,HL23*$K23,DM23*$J23))*IF(73=$R23,$S23,12)/12,6)+$B$4),DM23-$I23)))))</f>
        <v/>
      </c>
      <c r="DO23" s="68">
        <f>IF($U23=0,0,IF($F23=4,0,IF($F23=3,0,IF(OR(74&gt;$R23,DN23&lt;=$I23),DN23,DN23-MIN(INT(ROUND(IF($F23=1,$C23*$J23,IF(HM23&gt;0,HM23*$K23,DN23*$J23))*IF(74=$R23,$S23,12)/12,6)+$B$4),DN23-$I23)))))</f>
        <v/>
      </c>
      <c r="DP23" s="68">
        <f>IF($U23=0,0,IF($F23=4,0,IF($F23=3,0,IF(OR(75&gt;$R23,DO23&lt;=$I23),DO23,DO23-MIN(INT(ROUND(IF($F23=1,$C23*$J23,IF(HN23&gt;0,HN23*$K23,DO23*$J23))*IF(75=$R23,$S23,12)/12,6)+$B$4),DO23-$I23)))))</f>
        <v/>
      </c>
      <c r="DQ23" s="68">
        <f>IF($U23=0,0,IF($F23=4,0,IF($F23=3,0,IF(OR(76&gt;$R23,DP23&lt;=$I23),DP23,DP23-MIN(INT(ROUND(IF($F23=1,$C23*$J23,IF(HO23&gt;0,HO23*$K23,DP23*$J23))*IF(76=$R23,$S23,12)/12,6)+$B$4),DP23-$I23)))))</f>
        <v/>
      </c>
      <c r="DR23" s="68">
        <f>IF($U23=0,0,IF($F23=4,0,IF($F23=3,0,IF(OR(77&gt;$R23,DQ23&lt;=$I23),DQ23,DQ23-MIN(INT(ROUND(IF($F23=1,$C23*$J23,IF(HP23&gt;0,HP23*$K23,DQ23*$J23))*IF(77=$R23,$S23,12)/12,6)+$B$4),DQ23-$I23)))))</f>
        <v/>
      </c>
      <c r="DS23" s="68">
        <f>IF($U23=0,0,IF($F23=4,0,IF($F23=3,0,IF(OR(78&gt;$R23,DR23&lt;=$I23),DR23,DR23-MIN(INT(ROUND(IF($F23=1,$C23*$J23,IF(HQ23&gt;0,HQ23*$K23,DR23*$J23))*IF(78=$R23,$S23,12)/12,6)+$B$4),DR23-$I23)))))</f>
        <v/>
      </c>
      <c r="DT23" s="68">
        <f>IF($U23=0,0,IF($F23=4,0,IF($F23=3,0,IF(OR(79&gt;$R23,DS23&lt;=$I23),DS23,DS23-MIN(INT(ROUND(IF($F23=1,$C23*$J23,IF(HR23&gt;0,HR23*$K23,DS23*$J23))*IF(79=$R23,$S23,12)/12,6)+$B$4),DS23-$I23)))))</f>
        <v/>
      </c>
      <c r="DU23" s="68">
        <f>IF($U23=0,0,IF($F23=4,0,IF($F23=3,0,IF(OR(80&gt;$R23,DT23&lt;=$I23),DT23,DT23-MIN(INT(ROUND(IF($F23=1,$C23*$J23,IF(HS23&gt;0,HS23*$K23,DT23*$J23))*IF(80=$R23,$S23,12)/12,6)+$B$4),DT23-$I23)))))</f>
        <v/>
      </c>
      <c r="DV23" s="68">
        <f>IF($U23=0,0,IF($F23=4,0,IF($F23=3,0,IF(OR(81&gt;$R23,DU23&lt;=$I23),DU23,DU23-MIN(INT(ROUND(IF($F23=1,$C23*$J23,IF(HT23&gt;0,HT23*$K23,DU23*$J23))*IF(81=$R23,$S23,12)/12,6)+$B$4),DU23-$I23)))))</f>
        <v/>
      </c>
      <c r="DW23" s="68">
        <f>IF($U23=0,0,IF($F23=4,0,IF($F23=3,0,IF(OR(82&gt;$R23,DV23&lt;=$I23),DV23,DV23-MIN(INT(ROUND(IF($F23=1,$C23*$J23,IF(HU23&gt;0,HU23*$K23,DV23*$J23))*IF(82=$R23,$S23,12)/12,6)+$B$4),DV23-$I23)))))</f>
        <v/>
      </c>
      <c r="DX23" s="68">
        <f>IF($U23=0,0,IF($F23=4,0,IF($F23=3,0,IF(OR(83&gt;$R23,DW23&lt;=$I23),DW23,DW23-MIN(INT(ROUND(IF($F23=1,$C23*$J23,IF(HV23&gt;0,HV23*$K23,DW23*$J23))*IF(83=$R23,$S23,12)/12,6)+$B$4),DW23-$I23)))))</f>
        <v/>
      </c>
      <c r="DY23" s="68">
        <f>IF($U23=0,0,IF($F23=4,0,IF($F23=3,0,IF(OR(84&gt;$R23,DX23&lt;=$I23),DX23,DX23-MIN(INT(ROUND(IF($F23=1,$C23*$J23,IF(HW23&gt;0,HW23*$K23,DX23*$J23))*IF(84=$R23,$S23,12)/12,6)+$B$4),DX23-$I23)))))</f>
        <v/>
      </c>
      <c r="DZ23" s="68">
        <f>IF($U23=0,0,IF($F23=4,0,IF($F23=3,0,IF(OR(85&gt;$R23,DY23&lt;=$I23),DY23,DY23-MIN(INT(ROUND(IF($F23=1,$C23*$J23,IF(HX23&gt;0,HX23*$K23,DY23*$J23))*IF(85=$R23,$S23,12)/12,6)+$B$4),DY23-$I23)))))</f>
        <v/>
      </c>
      <c r="EA23" s="68">
        <f>IF($U23=0,0,IF($F23=4,0,IF($F23=3,0,IF(OR(86&gt;$R23,DZ23&lt;=$I23),DZ23,DZ23-MIN(INT(ROUND(IF($F23=1,$C23*$J23,IF(HY23&gt;0,HY23*$K23,DZ23*$J23))*IF(86=$R23,$S23,12)/12,6)+$B$4),DZ23-$I23)))))</f>
        <v/>
      </c>
      <c r="EB23" s="68">
        <f>IF($U23=0,0,IF($F23=4,0,IF($F23=3,0,IF(OR(87&gt;$R23,EA23&lt;=$I23),EA23,EA23-MIN(INT(ROUND(IF($F23=1,$C23*$J23,IF(HZ23&gt;0,HZ23*$K23,EA23*$J23))*IF(87=$R23,$S23,12)/12,6)+$B$4),EA23-$I23)))))</f>
        <v/>
      </c>
      <c r="EC23" s="68">
        <f>IF($U23=0,0,IF($F23=4,0,IF($F23=3,0,IF(OR(88&gt;$R23,EB23&lt;=$I23),EB23,EB23-MIN(INT(ROUND(IF($F23=1,$C23*$J23,IF(IA23&gt;0,IA23*$K23,EB23*$J23))*IF(88=$R23,$S23,12)/12,6)+$B$4),EB23-$I23)))))</f>
        <v/>
      </c>
      <c r="ED23" s="68">
        <f>IF($U23=0,0,IF($F23=4,0,IF($F23=3,0,IF(OR(89&gt;$R23,EC23&lt;=$I23),EC23,EC23-MIN(INT(ROUND(IF($F23=1,$C23*$J23,IF(IB23&gt;0,IB23*$K23,EC23*$J23))*IF(89=$R23,$S23,12)/12,6)+$B$4),EC23-$I23)))))</f>
        <v/>
      </c>
      <c r="EE23" s="68">
        <f>IF($U23=0,0,IF($F23=4,0,IF($F23=3,0,IF(OR(90&gt;$R23,ED23&lt;=$I23),ED23,ED23-MIN(INT(ROUND(IF($F23=1,$C23*$J23,IF(IC23&gt;0,IC23*$K23,ED23*$J23))*IF(90=$R23,$S23,12)/12,6)+$B$4),ED23-$I23)))))</f>
        <v/>
      </c>
      <c r="EF23" s="68">
        <f>IF($U23=0,0,IF($F23=4,0,IF($F23=3,0,IF(OR(91&gt;$R23,EE23&lt;=$I23),EE23,EE23-MIN(INT(ROUND(IF($F23=1,$C23*$J23,IF(ID23&gt;0,ID23*$K23,EE23*$J23))*IF(91=$R23,$S23,12)/12,6)+$B$4),EE23-$I23)))))</f>
        <v/>
      </c>
      <c r="EG23" s="68">
        <f>IF($U23=0,0,IF($F23=4,0,IF($F23=3,0,IF(OR(92&gt;$R23,EF23&lt;=$I23),EF23,EF23-MIN(INT(ROUND(IF($F23=1,$C23*$J23,IF(IE23&gt;0,IE23*$K23,EF23*$J23))*IF(92=$R23,$S23,12)/12,6)+$B$4),EF23-$I23)))))</f>
        <v/>
      </c>
      <c r="EH23" s="68">
        <f>IF($U23=0,0,IF($F23=4,0,IF($F23=3,0,IF(OR(93&gt;$R23,EG23&lt;=$I23),EG23,EG23-MIN(INT(ROUND(IF($F23=1,$C23*$J23,IF(IF23&gt;0,IF23*$K23,EG23*$J23))*IF(93=$R23,$S23,12)/12,6)+$B$4),EG23-$I23)))))</f>
        <v/>
      </c>
      <c r="EI23" s="68">
        <f>IF($U23=0,0,IF($F23=4,0,IF($F23=3,0,IF(OR(94&gt;$R23,EH23&lt;=$I23),EH23,EH23-MIN(INT(ROUND(IF($F23=1,$C23*$J23,IF(IG23&gt;0,IG23*$K23,EH23*$J23))*IF(94=$R23,$S23,12)/12,6)+$B$4),EH23-$I23)))))</f>
        <v/>
      </c>
      <c r="EJ23" s="68">
        <f>IF($U23=0,0,IF($F23=4,0,IF($F23=3,0,IF(OR(95&gt;$R23,EI23&lt;=$I23),EI23,EI23-MIN(INT(ROUND(IF($F23=1,$C23*$J23,IF(IH23&gt;0,IH23*$K23,EI23*$J23))*IF(95=$R23,$S23,12)/12,6)+$B$4),EI23-$I23)))))</f>
        <v/>
      </c>
      <c r="EK23" s="68">
        <f>IF($U23=0,0,IF($F23=4,0,IF($F23=3,0,IF(OR(96&gt;$R23,EJ23&lt;=$I23),EJ23,EJ23-MIN(INT(ROUND(IF($F23=1,$C23*$J23,IF(II23&gt;0,II23*$K23,EJ23*$J23))*IF(96=$R23,$S23,12)/12,6)+$B$4),EJ23-$I23)))))</f>
        <v/>
      </c>
      <c r="EL23" s="68">
        <f>IF($U23=0,0,IF($F23=4,0,IF($F23=3,0,IF(OR(97&gt;$R23,EK23&lt;=$I23),EK23,EK23-MIN(INT(ROUND(IF($F23=1,$C23*$J23,IF(IJ23&gt;0,IJ23*$K23,EK23*$J23))*IF(97=$R23,$S23,12)/12,6)+$B$4),EK23-$I23)))))</f>
        <v/>
      </c>
      <c r="EM23" s="68">
        <f>IF($U23=0,0,IF($F23=4,0,IF($F23=3,0,IF(OR(98&gt;$R23,EL23&lt;=$I23),EL23,EL23-MIN(INT(ROUND(IF($F23=1,$C23*$J23,IF(IK23&gt;0,IK23*$K23,EL23*$J23))*IF(98=$R23,$S23,12)/12,6)+$B$4),EL23-$I23)))))</f>
        <v/>
      </c>
      <c r="EN23" s="68">
        <f>IF($U23=0,0,IF($F23=4,0,IF($F23=3,0,IF(OR(99&gt;$R23,EM23&lt;=$I23),EM23,EM23-MIN(INT(ROUND(IF($F23=1,$C23*$J23,IF(IL23&gt;0,IL23*$K23,EM23*$J23))*IF(99=$R23,$S23,12)/12,6)+$B$4),EM23-$I23)))))</f>
        <v/>
      </c>
      <c r="EO23" s="68">
        <f>IF($U23=0,0,IF($F23=4,0,IF($F23=3,0,IF(OR(100&gt;$R23,EN23&lt;=$I23),EN23,EN23-MIN(INT(ROUND(IF($F23=1,$C23*$J23,IF(IM23&gt;0,IM23*$K23,EN23*$J23))*IF(100=$R23,$S23,12)/12,6)+$B$4),EN23-$I23)))))</f>
        <v/>
      </c>
      <c r="EP23" s="68">
        <f>IF($U23=0,0,IF($F23=4,0,IF($F23=3,0,IF(OR(101&gt;$R23,EO23&lt;=$I23),EO23,EO23-MIN(INT(ROUND(IF($F23=1,$C23*$J23,IF(IN23&gt;0,IN23*$K23,EO23*$J23))*IF(101=$R23,$S23,12)/12,6)+$B$4),EO23-$I23)))))</f>
        <v/>
      </c>
      <c r="EQ23" s="68" t="n"/>
      <c r="ER23" s="68">
        <f>IF(OR($U23=0,$F23&lt;&gt;2),0,IF(ROUND(AS23*$J23,6)&lt;ROUND($M23,6),AS23,0))</f>
        <v/>
      </c>
      <c r="ES23" s="68">
        <f>IF(OR($U23=0,$F23&lt;&gt;2),0,IF(ER23&gt;0,ER23,IF(ROUND(AT23*$J23,6)&lt;ROUND($M23,6),AT23,0)))</f>
        <v/>
      </c>
      <c r="ET23" s="68">
        <f>IF(OR($U23=0,$F23&lt;&gt;2),0,IF(ES23&gt;0,ES23,IF(ROUND(AU23*$J23,6)&lt;ROUND($M23,6),AU23,0)))</f>
        <v/>
      </c>
      <c r="EU23" s="68">
        <f>IF(OR($U23=0,$F23&lt;&gt;2),0,IF(ET23&gt;0,ET23,IF(ROUND(AV23*$J23,6)&lt;ROUND($M23,6),AV23,0)))</f>
        <v/>
      </c>
      <c r="EV23" s="68">
        <f>IF(OR($U23=0,$F23&lt;&gt;2),0,IF(EU23&gt;0,EU23,IF(ROUND(AW23*$J23,6)&lt;ROUND($M23,6),AW23,0)))</f>
        <v/>
      </c>
      <c r="EW23" s="68">
        <f>IF(OR($U23=0,$F23&lt;&gt;2),0,IF(EV23&gt;0,EV23,IF(ROUND(AX23*$J23,6)&lt;ROUND($M23,6),AX23,0)))</f>
        <v/>
      </c>
      <c r="EX23" s="68">
        <f>IF(OR($U23=0,$F23&lt;&gt;2),0,IF(EW23&gt;0,EW23,IF(ROUND(AY23*$J23,6)&lt;ROUND($M23,6),AY23,0)))</f>
        <v/>
      </c>
      <c r="EY23" s="68">
        <f>IF(OR($U23=0,$F23&lt;&gt;2),0,IF(EX23&gt;0,EX23,IF(ROUND(AZ23*$J23,6)&lt;ROUND($M23,6),AZ23,0)))</f>
        <v/>
      </c>
      <c r="EZ23" s="68">
        <f>IF(OR($U23=0,$F23&lt;&gt;2),0,IF(EY23&gt;0,EY23,IF(ROUND(BA23*$J23,6)&lt;ROUND($M23,6),BA23,0)))</f>
        <v/>
      </c>
      <c r="FA23" s="68">
        <f>IF(OR($U23=0,$F23&lt;&gt;2),0,IF(EZ23&gt;0,EZ23,IF(ROUND(BB23*$J23,6)&lt;ROUND($M23,6),BB23,0)))</f>
        <v/>
      </c>
      <c r="FB23" s="68">
        <f>IF(OR($U23=0,$F23&lt;&gt;2),0,IF(FA23&gt;0,FA23,IF(ROUND(BC23*$J23,6)&lt;ROUND($M23,6),BC23,0)))</f>
        <v/>
      </c>
      <c r="FC23" s="68">
        <f>IF(OR($U23=0,$F23&lt;&gt;2),0,IF(FB23&gt;0,FB23,IF(ROUND(BD23*$J23,6)&lt;ROUND($M23,6),BD23,0)))</f>
        <v/>
      </c>
      <c r="FD23" s="68">
        <f>IF(OR($U23=0,$F23&lt;&gt;2),0,IF(FC23&gt;0,FC23,IF(ROUND(BE23*$J23,6)&lt;ROUND($M23,6),BE23,0)))</f>
        <v/>
      </c>
      <c r="FE23" s="68">
        <f>IF(OR($U23=0,$F23&lt;&gt;2),0,IF(FD23&gt;0,FD23,IF(ROUND(BF23*$J23,6)&lt;ROUND($M23,6),BF23,0)))</f>
        <v/>
      </c>
      <c r="FF23" s="68">
        <f>IF(OR($U23=0,$F23&lt;&gt;2),0,IF(FE23&gt;0,FE23,IF(ROUND(BG23*$J23,6)&lt;ROUND($M23,6),BG23,0)))</f>
        <v/>
      </c>
      <c r="FG23" s="68">
        <f>IF(OR($U23=0,$F23&lt;&gt;2),0,IF(FF23&gt;0,FF23,IF(ROUND(BH23*$J23,6)&lt;ROUND($M23,6),BH23,0)))</f>
        <v/>
      </c>
      <c r="FH23" s="68">
        <f>IF(OR($U23=0,$F23&lt;&gt;2),0,IF(FG23&gt;0,FG23,IF(ROUND(BI23*$J23,6)&lt;ROUND($M23,6),BI23,0)))</f>
        <v/>
      </c>
      <c r="FI23" s="68">
        <f>IF(OR($U23=0,$F23&lt;&gt;2),0,IF(FH23&gt;0,FH23,IF(ROUND(BJ23*$J23,6)&lt;ROUND($M23,6),BJ23,0)))</f>
        <v/>
      </c>
      <c r="FJ23" s="68">
        <f>IF(OR($U23=0,$F23&lt;&gt;2),0,IF(FI23&gt;0,FI23,IF(ROUND(BK23*$J23,6)&lt;ROUND($M23,6),BK23,0)))</f>
        <v/>
      </c>
      <c r="FK23" s="68">
        <f>IF(OR($U23=0,$F23&lt;&gt;2),0,IF(FJ23&gt;0,FJ23,IF(ROUND(BL23*$J23,6)&lt;ROUND($M23,6),BL23,0)))</f>
        <v/>
      </c>
      <c r="FL23" s="68">
        <f>IF(OR($U23=0,$F23&lt;&gt;2),0,IF(FK23&gt;0,FK23,IF(ROUND(BM23*$J23,6)&lt;ROUND($M23,6),BM23,0)))</f>
        <v/>
      </c>
      <c r="FM23" s="68">
        <f>IF(OR($U23=0,$F23&lt;&gt;2),0,IF(FL23&gt;0,FL23,IF(ROUND(BN23*$J23,6)&lt;ROUND($M23,6),BN23,0)))</f>
        <v/>
      </c>
      <c r="FN23" s="68">
        <f>IF(OR($U23=0,$F23&lt;&gt;2),0,IF(FM23&gt;0,FM23,IF(ROUND(BO23*$J23,6)&lt;ROUND($M23,6),BO23,0)))</f>
        <v/>
      </c>
      <c r="FO23" s="68">
        <f>IF(OR($U23=0,$F23&lt;&gt;2),0,IF(FN23&gt;0,FN23,IF(ROUND(BP23*$J23,6)&lt;ROUND($M23,6),BP23,0)))</f>
        <v/>
      </c>
      <c r="FP23" s="68">
        <f>IF(OR($U23=0,$F23&lt;&gt;2),0,IF(FO23&gt;0,FO23,IF(ROUND(BQ23*$J23,6)&lt;ROUND($M23,6),BQ23,0)))</f>
        <v/>
      </c>
      <c r="FQ23" s="68">
        <f>IF(OR($U23=0,$F23&lt;&gt;2),0,IF(FP23&gt;0,FP23,IF(ROUND(BR23*$J23,6)&lt;ROUND($M23,6),BR23,0)))</f>
        <v/>
      </c>
      <c r="FR23" s="68">
        <f>IF(OR($U23=0,$F23&lt;&gt;2),0,IF(FQ23&gt;0,FQ23,IF(ROUND(BS23*$J23,6)&lt;ROUND($M23,6),BS23,0)))</f>
        <v/>
      </c>
      <c r="FS23" s="68">
        <f>IF(OR($U23=0,$F23&lt;&gt;2),0,IF(FR23&gt;0,FR23,IF(ROUND(BT23*$J23,6)&lt;ROUND($M23,6),BT23,0)))</f>
        <v/>
      </c>
      <c r="FT23" s="68">
        <f>IF(OR($U23=0,$F23&lt;&gt;2),0,IF(FS23&gt;0,FS23,IF(ROUND(BU23*$J23,6)&lt;ROUND($M23,6),BU23,0)))</f>
        <v/>
      </c>
      <c r="FU23" s="68">
        <f>IF(OR($U23=0,$F23&lt;&gt;2),0,IF(FT23&gt;0,FT23,IF(ROUND(BV23*$J23,6)&lt;ROUND($M23,6),BV23,0)))</f>
        <v/>
      </c>
      <c r="FV23" s="68">
        <f>IF(OR($U23=0,$F23&lt;&gt;2),0,IF(FU23&gt;0,FU23,IF(ROUND(BW23*$J23,6)&lt;ROUND($M23,6),BW23,0)))</f>
        <v/>
      </c>
      <c r="FW23" s="68">
        <f>IF(OR($U23=0,$F23&lt;&gt;2),0,IF(FV23&gt;0,FV23,IF(ROUND(BX23*$J23,6)&lt;ROUND($M23,6),BX23,0)))</f>
        <v/>
      </c>
      <c r="FX23" s="68">
        <f>IF(OR($U23=0,$F23&lt;&gt;2),0,IF(FW23&gt;0,FW23,IF(ROUND(BY23*$J23,6)&lt;ROUND($M23,6),BY23,0)))</f>
        <v/>
      </c>
      <c r="FY23" s="68">
        <f>IF(OR($U23=0,$F23&lt;&gt;2),0,IF(FX23&gt;0,FX23,IF(ROUND(BZ23*$J23,6)&lt;ROUND($M23,6),BZ23,0)))</f>
        <v/>
      </c>
      <c r="FZ23" s="68">
        <f>IF(OR($U23=0,$F23&lt;&gt;2),0,IF(FY23&gt;0,FY23,IF(ROUND(CA23*$J23,6)&lt;ROUND($M23,6),CA23,0)))</f>
        <v/>
      </c>
      <c r="GA23" s="68">
        <f>IF(OR($U23=0,$F23&lt;&gt;2),0,IF(FZ23&gt;0,FZ23,IF(ROUND(CB23*$J23,6)&lt;ROUND($M23,6),CB23,0)))</f>
        <v/>
      </c>
      <c r="GB23" s="68">
        <f>IF(OR($U23=0,$F23&lt;&gt;2),0,IF(GA23&gt;0,GA23,IF(ROUND(CC23*$J23,6)&lt;ROUND($M23,6),CC23,0)))</f>
        <v/>
      </c>
      <c r="GC23" s="68">
        <f>IF(OR($U23=0,$F23&lt;&gt;2),0,IF(GB23&gt;0,GB23,IF(ROUND(CD23*$J23,6)&lt;ROUND($M23,6),CD23,0)))</f>
        <v/>
      </c>
      <c r="GD23" s="68">
        <f>IF(OR($U23=0,$F23&lt;&gt;2),0,IF(GC23&gt;0,GC23,IF(ROUND(CE23*$J23,6)&lt;ROUND($M23,6),CE23,0)))</f>
        <v/>
      </c>
      <c r="GE23" s="68">
        <f>IF(OR($U23=0,$F23&lt;&gt;2),0,IF(GD23&gt;0,GD23,IF(ROUND(CF23*$J23,6)&lt;ROUND($M23,6),CF23,0)))</f>
        <v/>
      </c>
      <c r="GF23" s="68">
        <f>IF(OR($U23=0,$F23&lt;&gt;2),0,IF(GE23&gt;0,GE23,IF(ROUND(CG23*$J23,6)&lt;ROUND($M23,6),CG23,0)))</f>
        <v/>
      </c>
      <c r="GG23" s="68">
        <f>IF(OR($U23=0,$F23&lt;&gt;2),0,IF(GF23&gt;0,GF23,IF(ROUND(CH23*$J23,6)&lt;ROUND($M23,6),CH23,0)))</f>
        <v/>
      </c>
      <c r="GH23" s="68">
        <f>IF(OR($U23=0,$F23&lt;&gt;2),0,IF(GG23&gt;0,GG23,IF(ROUND(CI23*$J23,6)&lt;ROUND($M23,6),CI23,0)))</f>
        <v/>
      </c>
      <c r="GI23" s="68">
        <f>IF(OR($U23=0,$F23&lt;&gt;2),0,IF(GH23&gt;0,GH23,IF(ROUND(CJ23*$J23,6)&lt;ROUND($M23,6),CJ23,0)))</f>
        <v/>
      </c>
      <c r="GJ23" s="68">
        <f>IF(OR($U23=0,$F23&lt;&gt;2),0,IF(GI23&gt;0,GI23,IF(ROUND(CK23*$J23,6)&lt;ROUND($M23,6),CK23,0)))</f>
        <v/>
      </c>
      <c r="GK23" s="68">
        <f>IF(OR($U23=0,$F23&lt;&gt;2),0,IF(GJ23&gt;0,GJ23,IF(ROUND(CL23*$J23,6)&lt;ROUND($M23,6),CL23,0)))</f>
        <v/>
      </c>
      <c r="GL23" s="68">
        <f>IF(OR($U23=0,$F23&lt;&gt;2),0,IF(GK23&gt;0,GK23,IF(ROUND(CM23*$J23,6)&lt;ROUND($M23,6),CM23,0)))</f>
        <v/>
      </c>
      <c r="GM23" s="68">
        <f>IF(OR($U23=0,$F23&lt;&gt;2),0,IF(GL23&gt;0,GL23,IF(ROUND(CN23*$J23,6)&lt;ROUND($M23,6),CN23,0)))</f>
        <v/>
      </c>
      <c r="GN23" s="68">
        <f>IF(OR($U23=0,$F23&lt;&gt;2),0,IF(GM23&gt;0,GM23,IF(ROUND(CO23*$J23,6)&lt;ROUND($M23,6),CO23,0)))</f>
        <v/>
      </c>
      <c r="GO23" s="68">
        <f>IF(OR($U23=0,$F23&lt;&gt;2),0,IF(GN23&gt;0,GN23,IF(ROUND(CP23*$J23,6)&lt;ROUND($M23,6),CP23,0)))</f>
        <v/>
      </c>
      <c r="GP23" s="68">
        <f>IF(OR($U23=0,$F23&lt;&gt;2),0,IF(GO23&gt;0,GO23,IF(ROUND(CQ23*$J23,6)&lt;ROUND($M23,6),CQ23,0)))</f>
        <v/>
      </c>
      <c r="GQ23" s="68">
        <f>IF(OR($U23=0,$F23&lt;&gt;2),0,IF(GP23&gt;0,GP23,IF(ROUND(CR23*$J23,6)&lt;ROUND($M23,6),CR23,0)))</f>
        <v/>
      </c>
      <c r="GR23" s="68">
        <f>IF(OR($U23=0,$F23&lt;&gt;2),0,IF(GQ23&gt;0,GQ23,IF(ROUND(CS23*$J23,6)&lt;ROUND($M23,6),CS23,0)))</f>
        <v/>
      </c>
      <c r="GS23" s="68">
        <f>IF(OR($U23=0,$F23&lt;&gt;2),0,IF(GR23&gt;0,GR23,IF(ROUND(CT23*$J23,6)&lt;ROUND($M23,6),CT23,0)))</f>
        <v/>
      </c>
      <c r="GT23" s="68">
        <f>IF(OR($U23=0,$F23&lt;&gt;2),0,IF(GS23&gt;0,GS23,IF(ROUND(CU23*$J23,6)&lt;ROUND($M23,6),CU23,0)))</f>
        <v/>
      </c>
      <c r="GU23" s="68">
        <f>IF(OR($U23=0,$F23&lt;&gt;2),0,IF(GT23&gt;0,GT23,IF(ROUND(CV23*$J23,6)&lt;ROUND($M23,6),CV23,0)))</f>
        <v/>
      </c>
      <c r="GV23" s="68">
        <f>IF(OR($U23=0,$F23&lt;&gt;2),0,IF(GU23&gt;0,GU23,IF(ROUND(CW23*$J23,6)&lt;ROUND($M23,6),CW23,0)))</f>
        <v/>
      </c>
      <c r="GW23" s="68">
        <f>IF(OR($U23=0,$F23&lt;&gt;2),0,IF(GV23&gt;0,GV23,IF(ROUND(CX23*$J23,6)&lt;ROUND($M23,6),CX23,0)))</f>
        <v/>
      </c>
      <c r="GX23" s="68">
        <f>IF(OR($U23=0,$F23&lt;&gt;2),0,IF(GW23&gt;0,GW23,IF(ROUND(CY23*$J23,6)&lt;ROUND($M23,6),CY23,0)))</f>
        <v/>
      </c>
      <c r="GY23" s="68">
        <f>IF(OR($U23=0,$F23&lt;&gt;2),0,IF(GX23&gt;0,GX23,IF(ROUND(CZ23*$J23,6)&lt;ROUND($M23,6),CZ23,0)))</f>
        <v/>
      </c>
      <c r="GZ23" s="68">
        <f>IF(OR($U23=0,$F23&lt;&gt;2),0,IF(GY23&gt;0,GY23,IF(ROUND(DA23*$J23,6)&lt;ROUND($M23,6),DA23,0)))</f>
        <v/>
      </c>
      <c r="HA23" s="68">
        <f>IF(OR($U23=0,$F23&lt;&gt;2),0,IF(GZ23&gt;0,GZ23,IF(ROUND(DB23*$J23,6)&lt;ROUND($M23,6),DB23,0)))</f>
        <v/>
      </c>
      <c r="HB23" s="68">
        <f>IF(OR($U23=0,$F23&lt;&gt;2),0,IF(HA23&gt;0,HA23,IF(ROUND(DC23*$J23,6)&lt;ROUND($M23,6),DC23,0)))</f>
        <v/>
      </c>
      <c r="HC23" s="68">
        <f>IF(OR($U23=0,$F23&lt;&gt;2),0,IF(HB23&gt;0,HB23,IF(ROUND(DD23*$J23,6)&lt;ROUND($M23,6),DD23,0)))</f>
        <v/>
      </c>
      <c r="HD23" s="68">
        <f>IF(OR($U23=0,$F23&lt;&gt;2),0,IF(HC23&gt;0,HC23,IF(ROUND(DE23*$J23,6)&lt;ROUND($M23,6),DE23,0)))</f>
        <v/>
      </c>
      <c r="HE23" s="68">
        <f>IF(OR($U23=0,$F23&lt;&gt;2),0,IF(HD23&gt;0,HD23,IF(ROUND(DF23*$J23,6)&lt;ROUND($M23,6),DF23,0)))</f>
        <v/>
      </c>
      <c r="HF23" s="68">
        <f>IF(OR($U23=0,$F23&lt;&gt;2),0,IF(HE23&gt;0,HE23,IF(ROUND(DG23*$J23,6)&lt;ROUND($M23,6),DG23,0)))</f>
        <v/>
      </c>
      <c r="HG23" s="68">
        <f>IF(OR($U23=0,$F23&lt;&gt;2),0,IF(HF23&gt;0,HF23,IF(ROUND(DH23*$J23,6)&lt;ROUND($M23,6),DH23,0)))</f>
        <v/>
      </c>
      <c r="HH23" s="68">
        <f>IF(OR($U23=0,$F23&lt;&gt;2),0,IF(HG23&gt;0,HG23,IF(ROUND(DI23*$J23,6)&lt;ROUND($M23,6),DI23,0)))</f>
        <v/>
      </c>
      <c r="HI23" s="68">
        <f>IF(OR($U23=0,$F23&lt;&gt;2),0,IF(HH23&gt;0,HH23,IF(ROUND(DJ23*$J23,6)&lt;ROUND($M23,6),DJ23,0)))</f>
        <v/>
      </c>
      <c r="HJ23" s="68">
        <f>IF(OR($U23=0,$F23&lt;&gt;2),0,IF(HI23&gt;0,HI23,IF(ROUND(DK23*$J23,6)&lt;ROUND($M23,6),DK23,0)))</f>
        <v/>
      </c>
      <c r="HK23" s="68">
        <f>IF(OR($U23=0,$F23&lt;&gt;2),0,IF(HJ23&gt;0,HJ23,IF(ROUND(DL23*$J23,6)&lt;ROUND($M23,6),DL23,0)))</f>
        <v/>
      </c>
      <c r="HL23" s="68">
        <f>IF(OR($U23=0,$F23&lt;&gt;2),0,IF(HK23&gt;0,HK23,IF(ROUND(DM23*$J23,6)&lt;ROUND($M23,6),DM23,0)))</f>
        <v/>
      </c>
      <c r="HM23" s="68">
        <f>IF(OR($U23=0,$F23&lt;&gt;2),0,IF(HL23&gt;0,HL23,IF(ROUND(DN23*$J23,6)&lt;ROUND($M23,6),DN23,0)))</f>
        <v/>
      </c>
      <c r="HN23" s="68">
        <f>IF(OR($U23=0,$F23&lt;&gt;2),0,IF(HM23&gt;0,HM23,IF(ROUND(DO23*$J23,6)&lt;ROUND($M23,6),DO23,0)))</f>
        <v/>
      </c>
      <c r="HO23" s="68">
        <f>IF(OR($U23=0,$F23&lt;&gt;2),0,IF(HN23&gt;0,HN23,IF(ROUND(DP23*$J23,6)&lt;ROUND($M23,6),DP23,0)))</f>
        <v/>
      </c>
      <c r="HP23" s="68">
        <f>IF(OR($U23=0,$F23&lt;&gt;2),0,IF(HO23&gt;0,HO23,IF(ROUND(DQ23*$J23,6)&lt;ROUND($M23,6),DQ23,0)))</f>
        <v/>
      </c>
      <c r="HQ23" s="68">
        <f>IF(OR($U23=0,$F23&lt;&gt;2),0,IF(HP23&gt;0,HP23,IF(ROUND(DR23*$J23,6)&lt;ROUND($M23,6),DR23,0)))</f>
        <v/>
      </c>
      <c r="HR23" s="68">
        <f>IF(OR($U23=0,$F23&lt;&gt;2),0,IF(HQ23&gt;0,HQ23,IF(ROUND(DS23*$J23,6)&lt;ROUND($M23,6),DS23,0)))</f>
        <v/>
      </c>
      <c r="HS23" s="68">
        <f>IF(OR($U23=0,$F23&lt;&gt;2),0,IF(HR23&gt;0,HR23,IF(ROUND(DT23*$J23,6)&lt;ROUND($M23,6),DT23,0)))</f>
        <v/>
      </c>
      <c r="HT23" s="68">
        <f>IF(OR($U23=0,$F23&lt;&gt;2),0,IF(HS23&gt;0,HS23,IF(ROUND(DU23*$J23,6)&lt;ROUND($M23,6),DU23,0)))</f>
        <v/>
      </c>
      <c r="HU23" s="68">
        <f>IF(OR($U23=0,$F23&lt;&gt;2),0,IF(HT23&gt;0,HT23,IF(ROUND(DV23*$J23,6)&lt;ROUND($M23,6),DV23,0)))</f>
        <v/>
      </c>
      <c r="HV23" s="68">
        <f>IF(OR($U23=0,$F23&lt;&gt;2),0,IF(HU23&gt;0,HU23,IF(ROUND(DW23*$J23,6)&lt;ROUND($M23,6),DW23,0)))</f>
        <v/>
      </c>
      <c r="HW23" s="68">
        <f>IF(OR($U23=0,$F23&lt;&gt;2),0,IF(HV23&gt;0,HV23,IF(ROUND(DX23*$J23,6)&lt;ROUND($M23,6),DX23,0)))</f>
        <v/>
      </c>
      <c r="HX23" s="68">
        <f>IF(OR($U23=0,$F23&lt;&gt;2),0,IF(HW23&gt;0,HW23,IF(ROUND(DY23*$J23,6)&lt;ROUND($M23,6),DY23,0)))</f>
        <v/>
      </c>
      <c r="HY23" s="68">
        <f>IF(OR($U23=0,$F23&lt;&gt;2),0,IF(HX23&gt;0,HX23,IF(ROUND(DZ23*$J23,6)&lt;ROUND($M23,6),DZ23,0)))</f>
        <v/>
      </c>
      <c r="HZ23" s="68">
        <f>IF(OR($U23=0,$F23&lt;&gt;2),0,IF(HY23&gt;0,HY23,IF(ROUND(EA23*$J23,6)&lt;ROUND($M23,6),EA23,0)))</f>
        <v/>
      </c>
      <c r="IA23" s="68">
        <f>IF(OR($U23=0,$F23&lt;&gt;2),0,IF(HZ23&gt;0,HZ23,IF(ROUND(EB23*$J23,6)&lt;ROUND($M23,6),EB23,0)))</f>
        <v/>
      </c>
      <c r="IB23" s="68">
        <f>IF(OR($U23=0,$F23&lt;&gt;2),0,IF(IA23&gt;0,IA23,IF(ROUND(EC23*$J23,6)&lt;ROUND($M23,6),EC23,0)))</f>
        <v/>
      </c>
      <c r="IC23" s="68">
        <f>IF(OR($U23=0,$F23&lt;&gt;2),0,IF(IB23&gt;0,IB23,IF(ROUND(ED23*$J23,6)&lt;ROUND($M23,6),ED23,0)))</f>
        <v/>
      </c>
      <c r="ID23" s="68">
        <f>IF(OR($U23=0,$F23&lt;&gt;2),0,IF(IC23&gt;0,IC23,IF(ROUND(EE23*$J23,6)&lt;ROUND($M23,6),EE23,0)))</f>
        <v/>
      </c>
      <c r="IE23" s="68">
        <f>IF(OR($U23=0,$F23&lt;&gt;2),0,IF(ID23&gt;0,ID23,IF(ROUND(EF23*$J23,6)&lt;ROUND($M23,6),EF23,0)))</f>
        <v/>
      </c>
      <c r="IF23" s="68">
        <f>IF(OR($U23=0,$F23&lt;&gt;2),0,IF(IE23&gt;0,IE23,IF(ROUND(EG23*$J23,6)&lt;ROUND($M23,6),EG23,0)))</f>
        <v/>
      </c>
      <c r="IG23" s="68">
        <f>IF(OR($U23=0,$F23&lt;&gt;2),0,IF(IF23&gt;0,IF23,IF(ROUND(EH23*$J23,6)&lt;ROUND($M23,6),EH23,0)))</f>
        <v/>
      </c>
      <c r="IH23" s="68">
        <f>IF(OR($U23=0,$F23&lt;&gt;2),0,IF(IG23&gt;0,IG23,IF(ROUND(EI23*$J23,6)&lt;ROUND($M23,6),EI23,0)))</f>
        <v/>
      </c>
      <c r="II23" s="68">
        <f>IF(OR($U23=0,$F23&lt;&gt;2),0,IF(IH23&gt;0,IH23,IF(ROUND(EJ23*$J23,6)&lt;ROUND($M23,6),EJ23,0)))</f>
        <v/>
      </c>
      <c r="IJ23" s="68">
        <f>IF(OR($U23=0,$F23&lt;&gt;2),0,IF(II23&gt;0,II23,IF(ROUND(EK23*$J23,6)&lt;ROUND($M23,6),EK23,0)))</f>
        <v/>
      </c>
      <c r="IK23" s="68">
        <f>IF(OR($U23=0,$F23&lt;&gt;2),0,IF(IJ23&gt;0,IJ23,IF(ROUND(EL23*$J23,6)&lt;ROUND($M23,6),EL23,0)))</f>
        <v/>
      </c>
      <c r="IL23" s="68">
        <f>IF(OR($U23=0,$F23&lt;&gt;2),0,IF(IK23&gt;0,IK23,IF(ROUND(EM23*$J23,6)&lt;ROUND($M23,6),EM23,0)))</f>
        <v/>
      </c>
      <c r="IM23" s="68">
        <f>IF(OR($U23=0,$F23&lt;&gt;2),0,IF(IL23&gt;0,IL23,IF(ROUND(EN23*$J23,6)&lt;ROUND($M23,6),EN23,0)))</f>
        <v/>
      </c>
      <c r="IN23" s="68">
        <f>IF(OR($U23=0,$F23&lt;&gt;2),0,IF(IM23&gt;0,IM23,IF(ROUND(EO23*$J23,6)&lt;ROUND($M23,6),EO23,0)))</f>
        <v/>
      </c>
    </row>
    <row r="24">
      <c r="A24" s="68" t="n">
        <v>19</v>
      </c>
      <c r="B24" s="68">
        <f>IF(OR(TRIM('固定資産台帳'!$B24)&lt;&gt;"",'固定資産台帳'!$E24&lt;&gt;"",'固定資産台帳'!$G24&lt;&gt;"",'固定資産台帳'!$H24&lt;&gt;""),1,0)</f>
        <v/>
      </c>
      <c r="C24" s="68">
        <f>IF(ISNUMBER('固定資産台帳'!$G24),MAX(ROUND('固定資産台帳'!$G24,0),0),0)</f>
        <v/>
      </c>
      <c r="D24" s="84">
        <f>IF(ISNUMBER('固定資産台帳'!$E24),INT('固定資産台帳'!$E24),0)</f>
        <v/>
      </c>
      <c r="E24" s="84">
        <f>IF(ISNUMBER('固定資産台帳'!$F24),INT('固定資産台帳'!$F24),$D24)</f>
        <v/>
      </c>
      <c r="F24" s="68">
        <f>IF('固定資産台帳'!$H24="定額法",1,IF(OR('固定資産台帳'!$H24="定率法",'固定資産台帳'!$H24="定率法（200%）",'固定資産台帳'!$H24="定率法（250%）"),2,IF('固定資産台帳'!$H24="一括償却（3年）",3,IF('固定資産台帳'!$H24="少額特例",4,0))))</f>
        <v/>
      </c>
      <c r="G24" s="68">
        <f>IF('固定資産台帳'!$H24="定率法（250%）",250,IF('固定資産台帳'!$H24="定率法（200%）",200,IF($D24&gt;=DATE(2012,4,1),200,250)))</f>
        <v/>
      </c>
      <c r="H24" s="68">
        <f>IF(ISNUMBER('固定資産台帳'!$I24),IF(AND('固定資産台帳'!$I24&gt;=2,'固定資産台帳'!$I24&lt;=100,'固定資産台帳'!$I24=INT('固定資産台帳'!$I24)),'固定資産台帳'!$I24,0),0)</f>
        <v/>
      </c>
      <c r="I24" s="68">
        <f>IF('固定資産台帳'!$C24="無形固定資産",0,1)</f>
        <v/>
      </c>
      <c r="J24" s="68">
        <f>IF(OR($H24=0,$F24=0,$F24&gt;2),0,IF($F24=1,INDEX('償却率表'!$B$6:$B$104,$H24-1),IF($G24=200,INDEX('償却率表'!$C$6:$C$104,$H24-1),INDEX('償却率表'!$F$6:$F$104,$H24-1))))</f>
        <v/>
      </c>
      <c r="K24" s="68">
        <f>IF(AND($F24=2,$H24&gt;0),IF($G24=200,INDEX('償却率表'!$D$6:$D$104,$H24-1),INDEX('償却率表'!$G$6:$G$104,$H24-1)),0)</f>
        <v/>
      </c>
      <c r="L24" s="68">
        <f>IF(AND($F24=2,$H24&gt;0),IF($G24=200,INDEX('償却率表'!$E$6:$E$104,$H24-1),INDEX('償却率表'!$H$6:$H$104,$H24-1)),0)</f>
        <v/>
      </c>
      <c r="M24" s="68">
        <f>$C24*$L24</f>
        <v/>
      </c>
      <c r="N24" s="68">
        <f>IF($B$1=1,1,IF('固定資産台帳'!$J24="",1,IF(ISNUMBER('固定資産台帳'!$J24),IF(AND('固定資産台帳'!$J24&gt;0,'固定資産台帳'!$J24&lt;=1),'固定資産台帳'!$J24,0),0)))</f>
        <v/>
      </c>
      <c r="O24" s="68">
        <f>IF($E24=0,0,YEAR($E24)-IF(MONTH($E24)&lt;$B$2,1,0))</f>
        <v/>
      </c>
      <c r="P24" s="68">
        <f>IF($E24=0,0,12-MOD(MONTH($E24)-$B$2,12))</f>
        <v/>
      </c>
      <c r="Q24" s="84">
        <f>IF(ISNUMBER('固定資産台帳'!$K24),INT('固定資産台帳'!$K24),0)</f>
        <v/>
      </c>
      <c r="R24" s="68">
        <f>IF(OR($Q24=0,$E24=0),999,YEAR($Q24)-IF(MONTH($Q24)&lt;$B$2,1,0)-$O24)</f>
        <v/>
      </c>
      <c r="S24" s="68">
        <f>IF($R24=999,0,MOD(MONTH($Q24)-$B$2,12)+1-IF($R24=0,12-$P24,0))</f>
        <v/>
      </c>
      <c r="T24" s="68">
        <f>IF($B24=0,0,IF($C24&lt;=0,1,IF($D24=0,2,IF($F24=0,3,IF(AND($F24&lt;=2,$H24=0),4,IF(AND($F24&lt;=2,$D24&lt;DATE(2007,4,1)),5,IF($E24&lt;$D24,6,IF(AND($Q24&gt;0,$Q24&lt;$E24),7,IF($N24=0,8,IF($B$3=0,9,0))))))))))</f>
        <v/>
      </c>
      <c r="U24" s="68">
        <f>IF(AND($B24=1,$T24=0),1,0)</f>
        <v/>
      </c>
      <c r="V24" s="68">
        <f>$B$3-$O24</f>
        <v/>
      </c>
      <c r="W24" s="68">
        <f>IF(AND($U24=1,$V24&gt;=0),1,0)</f>
        <v/>
      </c>
      <c r="X24" s="68">
        <f>IF($W24=0,0,IF($V24=0,$C24,INDEX($AS24:$EP24,MIN($V24,102))))</f>
        <v/>
      </c>
      <c r="Y24" s="68">
        <f>IF($W24=0,0,INDEX($AS24:$EP24,MIN($V24,101)+1))</f>
        <v/>
      </c>
      <c r="Z24" s="68">
        <f>$X24-$Y24</f>
        <v/>
      </c>
      <c r="AA24" s="68">
        <f>IF(AND($W24=1,$F24=2,$V24&gt;=1),INDEX($ER24:$IN24,MIN($V24,101)),0)</f>
        <v/>
      </c>
      <c r="AB24" s="68">
        <f>IF(OR($W24=0,$F24&gt;2,$Z24=0),0,IF($V24=0,IF($R24=0,$S24,$P24),IF($V24=$R24,$S24,12)))</f>
        <v/>
      </c>
      <c r="AC24" s="68">
        <f>IF($W24=0,0,INT(ROUND($Z24*$N24,6)+$B$4))</f>
        <v/>
      </c>
      <c r="AD24" s="68">
        <f>IF(AND($W24=1,$F24&lt;=2,$V24=$R24),1,0)</f>
        <v/>
      </c>
      <c r="AE24" s="68">
        <f>IF(AND($W24=1,$F24&lt;=2,$V24&gt;$R24),1,0)</f>
        <v/>
      </c>
      <c r="AF24" s="68">
        <f>IF(AND($W24=1,$AE24=0,OR($Z24&gt;0,$AD24=1)),1,0)</f>
        <v/>
      </c>
      <c r="AG24" s="68">
        <f>IF($AF24=1,SUM($AF$6:$AF24),0)</f>
        <v/>
      </c>
      <c r="AH24" s="68">
        <f>IF($T24=0,"",CHOOSE($T24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24" s="68">
        <f>IF(AND($F24=2,OR('固定資産台帳'!$C24="建物",'固定資産台帳'!$C24="無形固定資産",AND(OR('固定資産台帳'!$C24="建物附属設備",'固定資産台帳'!$C24="構築物"),$D24&gt;=DATE(2016,4,1)))),"この資産は定額法だけです（定率法は使えません）。","")&amp;IF(AND($F24=3,$C24&gt;=200000),"一括償却は20万円未満の資産だけです。","")&amp;IF(AND($F24=3,$B$1=0,$C24&lt;100000),"10万円未満は一括償却にせず、全額をその年の経費にします。","")&amp;IF(AND($F24=4,$C24&lt;100000),"10万円未満は少額特例ではなく、全額をその年の経費にします。","")&amp;IF(AND($F24=4,$D24&lt;DATE(2026,4,1),$C24&gt;=300000),"2026年3月31日までの取得で少額特例が使えるのは30万円未満です。","")&amp;IF(AND($F24=4,$D24&gt;=DATE(2026,4,1),$C24&gt;=400000),"少額特例は40万円未満の資産だけです。","")&amp;IF(AND($F24=4,OR($D24&lt;DATE(2006,4,1),$D24&gt;DATE(2029,3,31))),"少額特例は2006年4月1日〜2029年3月31日に取得した資産だけです。","")&amp;IF(AND($F24=2,$G24=250,$D24&gt;DATE(2012,12,31)),"250%定率法は2012年12月31日までの取得だけです。","")</f>
        <v/>
      </c>
      <c r="AJ24" s="68">
        <f>IF(AND($F24=2,'固定資産台帳'!$H24="定率法（200%）",$D24&lt;DATE(2012,4,1)),"2012年3月31日までの取得に200%を使うのは、経過措置の届出をした場合です。","")&amp;IF(AND($F24=2,'固定資産台帳'!$H24="定率法（250%）",$D24&gt;=DATE(2012,4,1),$D24&lt;=DATE(2012,12,31)),"2012年4〜12月の取得に250%を使うのは、経過措置を選んだ場合です。","")</f>
        <v/>
      </c>
      <c r="AK24" s="68">
        <f>IF($U24=0,"",IF($V24&lt;0,"表示している年より後に使い始める資産です。",IF($AE24=1,"売却・除却済みです。",IF($AD24=1,"この年に売却・除却。期末の帳簿価額 "&amp;TEXT($Y24,"#,##0")&amp;"円を帳簿から外します。",IF($F24=4,IF($V24=0,"少額特例：この年に全額を経費にします。","少額特例で経費にした資産です。"),IF($F24=3,IF($V24&gt;2,"一括償却は終わっています。","一括償却 "&amp;($V24+1)&amp;"年目（3年のうち）。"),IF($Z24=0,"償却済み（帳簿価額 "&amp;TEXT($Y24,"#,##0")&amp;"円）。",IF($AA24&gt;0,"改定償却率で計算（改定取得価額 "&amp;TEXT($AA24,"#,##0")&amp;"円）。",IF($V24=0,"この年に使い始め（"&amp;$AB24&amp;"か月分）。","")))))))))</f>
        <v/>
      </c>
      <c r="AL24" s="68">
        <f>IF(AND($U24=1,$F24=4,$V24=0),$C24,0)</f>
        <v/>
      </c>
      <c r="AM24" s="68">
        <f>IF($F24=2,INT(ROUND($M24,6)+$B$4),0)</f>
        <v/>
      </c>
      <c r="AN24" s="68">
        <f>IF($W24=0,0,IF($F24=2,IF($AA24&gt;0,$AA24,$X24),$C24))</f>
        <v/>
      </c>
      <c r="AO24" s="68">
        <f>IF($W24=0,"",IF($F24=3,"1/3",IF($F24=4,"―",IF($AA24&gt;0,$K24,$J24))))</f>
        <v/>
      </c>
      <c r="AP24" s="68" t="n"/>
      <c r="AQ24" s="68" t="n"/>
      <c r="AR24" s="68" t="n"/>
      <c r="AS24" s="68">
        <f>IF($U24=0,0,IF($F24=4,0,IF($F24=3,MAX($C24-INT(ROUND($C24/3,6)+$B$4),0),$C24-MIN(INT(ROUND($C24*$J24*IF($R24=0,$S24,$P24)/12,6)+$B$4),MAX($C24-$I24,0)))))</f>
        <v/>
      </c>
      <c r="AT24" s="68">
        <f>IF($U24=0,0,IF($F24=4,0,IF($F24=3,AS24-MIN(INT(ROUND($C24/3,6)+$B$4),AS24),IF(OR(1&gt;$R24,AS24&lt;=$I24),AS24,AS24-MIN(INT(ROUND(IF($F24=1,$C24*$J24,IF(ER24&gt;0,ER24*$K24,AS24*$J24))*IF(1=$R24,$S24,12)/12,6)+$B$4),AS24-$I24)))))</f>
        <v/>
      </c>
      <c r="AU24" s="68">
        <f>IF($U24=0,0,IF($F24=4,0,IF($F24=3,0,IF(OR(2&gt;$R24,AT24&lt;=$I24),AT24,AT24-MIN(INT(ROUND(IF($F24=1,$C24*$J24,IF(ES24&gt;0,ES24*$K24,AT24*$J24))*IF(2=$R24,$S24,12)/12,6)+$B$4),AT24-$I24)))))</f>
        <v/>
      </c>
      <c r="AV24" s="68">
        <f>IF($U24=0,0,IF($F24=4,0,IF($F24=3,0,IF(OR(3&gt;$R24,AU24&lt;=$I24),AU24,AU24-MIN(INT(ROUND(IF($F24=1,$C24*$J24,IF(ET24&gt;0,ET24*$K24,AU24*$J24))*IF(3=$R24,$S24,12)/12,6)+$B$4),AU24-$I24)))))</f>
        <v/>
      </c>
      <c r="AW24" s="68">
        <f>IF($U24=0,0,IF($F24=4,0,IF($F24=3,0,IF(OR(4&gt;$R24,AV24&lt;=$I24),AV24,AV24-MIN(INT(ROUND(IF($F24=1,$C24*$J24,IF(EU24&gt;0,EU24*$K24,AV24*$J24))*IF(4=$R24,$S24,12)/12,6)+$B$4),AV24-$I24)))))</f>
        <v/>
      </c>
      <c r="AX24" s="68">
        <f>IF($U24=0,0,IF($F24=4,0,IF($F24=3,0,IF(OR(5&gt;$R24,AW24&lt;=$I24),AW24,AW24-MIN(INT(ROUND(IF($F24=1,$C24*$J24,IF(EV24&gt;0,EV24*$K24,AW24*$J24))*IF(5=$R24,$S24,12)/12,6)+$B$4),AW24-$I24)))))</f>
        <v/>
      </c>
      <c r="AY24" s="68">
        <f>IF($U24=0,0,IF($F24=4,0,IF($F24=3,0,IF(OR(6&gt;$R24,AX24&lt;=$I24),AX24,AX24-MIN(INT(ROUND(IF($F24=1,$C24*$J24,IF(EW24&gt;0,EW24*$K24,AX24*$J24))*IF(6=$R24,$S24,12)/12,6)+$B$4),AX24-$I24)))))</f>
        <v/>
      </c>
      <c r="AZ24" s="68">
        <f>IF($U24=0,0,IF($F24=4,0,IF($F24=3,0,IF(OR(7&gt;$R24,AY24&lt;=$I24),AY24,AY24-MIN(INT(ROUND(IF($F24=1,$C24*$J24,IF(EX24&gt;0,EX24*$K24,AY24*$J24))*IF(7=$R24,$S24,12)/12,6)+$B$4),AY24-$I24)))))</f>
        <v/>
      </c>
      <c r="BA24" s="68">
        <f>IF($U24=0,0,IF($F24=4,0,IF($F24=3,0,IF(OR(8&gt;$R24,AZ24&lt;=$I24),AZ24,AZ24-MIN(INT(ROUND(IF($F24=1,$C24*$J24,IF(EY24&gt;0,EY24*$K24,AZ24*$J24))*IF(8=$R24,$S24,12)/12,6)+$B$4),AZ24-$I24)))))</f>
        <v/>
      </c>
      <c r="BB24" s="68">
        <f>IF($U24=0,0,IF($F24=4,0,IF($F24=3,0,IF(OR(9&gt;$R24,BA24&lt;=$I24),BA24,BA24-MIN(INT(ROUND(IF($F24=1,$C24*$J24,IF(EZ24&gt;0,EZ24*$K24,BA24*$J24))*IF(9=$R24,$S24,12)/12,6)+$B$4),BA24-$I24)))))</f>
        <v/>
      </c>
      <c r="BC24" s="68">
        <f>IF($U24=0,0,IF($F24=4,0,IF($F24=3,0,IF(OR(10&gt;$R24,BB24&lt;=$I24),BB24,BB24-MIN(INT(ROUND(IF($F24=1,$C24*$J24,IF(FA24&gt;0,FA24*$K24,BB24*$J24))*IF(10=$R24,$S24,12)/12,6)+$B$4),BB24-$I24)))))</f>
        <v/>
      </c>
      <c r="BD24" s="68">
        <f>IF($U24=0,0,IF($F24=4,0,IF($F24=3,0,IF(OR(11&gt;$R24,BC24&lt;=$I24),BC24,BC24-MIN(INT(ROUND(IF($F24=1,$C24*$J24,IF(FB24&gt;0,FB24*$K24,BC24*$J24))*IF(11=$R24,$S24,12)/12,6)+$B$4),BC24-$I24)))))</f>
        <v/>
      </c>
      <c r="BE24" s="68">
        <f>IF($U24=0,0,IF($F24=4,0,IF($F24=3,0,IF(OR(12&gt;$R24,BD24&lt;=$I24),BD24,BD24-MIN(INT(ROUND(IF($F24=1,$C24*$J24,IF(FC24&gt;0,FC24*$K24,BD24*$J24))*IF(12=$R24,$S24,12)/12,6)+$B$4),BD24-$I24)))))</f>
        <v/>
      </c>
      <c r="BF24" s="68">
        <f>IF($U24=0,0,IF($F24=4,0,IF($F24=3,0,IF(OR(13&gt;$R24,BE24&lt;=$I24),BE24,BE24-MIN(INT(ROUND(IF($F24=1,$C24*$J24,IF(FD24&gt;0,FD24*$K24,BE24*$J24))*IF(13=$R24,$S24,12)/12,6)+$B$4),BE24-$I24)))))</f>
        <v/>
      </c>
      <c r="BG24" s="68">
        <f>IF($U24=0,0,IF($F24=4,0,IF($F24=3,0,IF(OR(14&gt;$R24,BF24&lt;=$I24),BF24,BF24-MIN(INT(ROUND(IF($F24=1,$C24*$J24,IF(FE24&gt;0,FE24*$K24,BF24*$J24))*IF(14=$R24,$S24,12)/12,6)+$B$4),BF24-$I24)))))</f>
        <v/>
      </c>
      <c r="BH24" s="68">
        <f>IF($U24=0,0,IF($F24=4,0,IF($F24=3,0,IF(OR(15&gt;$R24,BG24&lt;=$I24),BG24,BG24-MIN(INT(ROUND(IF($F24=1,$C24*$J24,IF(FF24&gt;0,FF24*$K24,BG24*$J24))*IF(15=$R24,$S24,12)/12,6)+$B$4),BG24-$I24)))))</f>
        <v/>
      </c>
      <c r="BI24" s="68">
        <f>IF($U24=0,0,IF($F24=4,0,IF($F24=3,0,IF(OR(16&gt;$R24,BH24&lt;=$I24),BH24,BH24-MIN(INT(ROUND(IF($F24=1,$C24*$J24,IF(FG24&gt;0,FG24*$K24,BH24*$J24))*IF(16=$R24,$S24,12)/12,6)+$B$4),BH24-$I24)))))</f>
        <v/>
      </c>
      <c r="BJ24" s="68">
        <f>IF($U24=0,0,IF($F24=4,0,IF($F24=3,0,IF(OR(17&gt;$R24,BI24&lt;=$I24),BI24,BI24-MIN(INT(ROUND(IF($F24=1,$C24*$J24,IF(FH24&gt;0,FH24*$K24,BI24*$J24))*IF(17=$R24,$S24,12)/12,6)+$B$4),BI24-$I24)))))</f>
        <v/>
      </c>
      <c r="BK24" s="68">
        <f>IF($U24=0,0,IF($F24=4,0,IF($F24=3,0,IF(OR(18&gt;$R24,BJ24&lt;=$I24),BJ24,BJ24-MIN(INT(ROUND(IF($F24=1,$C24*$J24,IF(FI24&gt;0,FI24*$K24,BJ24*$J24))*IF(18=$R24,$S24,12)/12,6)+$B$4),BJ24-$I24)))))</f>
        <v/>
      </c>
      <c r="BL24" s="68">
        <f>IF($U24=0,0,IF($F24=4,0,IF($F24=3,0,IF(OR(19&gt;$R24,BK24&lt;=$I24),BK24,BK24-MIN(INT(ROUND(IF($F24=1,$C24*$J24,IF(FJ24&gt;0,FJ24*$K24,BK24*$J24))*IF(19=$R24,$S24,12)/12,6)+$B$4),BK24-$I24)))))</f>
        <v/>
      </c>
      <c r="BM24" s="68">
        <f>IF($U24=0,0,IF($F24=4,0,IF($F24=3,0,IF(OR(20&gt;$R24,BL24&lt;=$I24),BL24,BL24-MIN(INT(ROUND(IF($F24=1,$C24*$J24,IF(FK24&gt;0,FK24*$K24,BL24*$J24))*IF(20=$R24,$S24,12)/12,6)+$B$4),BL24-$I24)))))</f>
        <v/>
      </c>
      <c r="BN24" s="68">
        <f>IF($U24=0,0,IF($F24=4,0,IF($F24=3,0,IF(OR(21&gt;$R24,BM24&lt;=$I24),BM24,BM24-MIN(INT(ROUND(IF($F24=1,$C24*$J24,IF(FL24&gt;0,FL24*$K24,BM24*$J24))*IF(21=$R24,$S24,12)/12,6)+$B$4),BM24-$I24)))))</f>
        <v/>
      </c>
      <c r="BO24" s="68">
        <f>IF($U24=0,0,IF($F24=4,0,IF($F24=3,0,IF(OR(22&gt;$R24,BN24&lt;=$I24),BN24,BN24-MIN(INT(ROUND(IF($F24=1,$C24*$J24,IF(FM24&gt;0,FM24*$K24,BN24*$J24))*IF(22=$R24,$S24,12)/12,6)+$B$4),BN24-$I24)))))</f>
        <v/>
      </c>
      <c r="BP24" s="68">
        <f>IF($U24=0,0,IF($F24=4,0,IF($F24=3,0,IF(OR(23&gt;$R24,BO24&lt;=$I24),BO24,BO24-MIN(INT(ROUND(IF($F24=1,$C24*$J24,IF(FN24&gt;0,FN24*$K24,BO24*$J24))*IF(23=$R24,$S24,12)/12,6)+$B$4),BO24-$I24)))))</f>
        <v/>
      </c>
      <c r="BQ24" s="68">
        <f>IF($U24=0,0,IF($F24=4,0,IF($F24=3,0,IF(OR(24&gt;$R24,BP24&lt;=$I24),BP24,BP24-MIN(INT(ROUND(IF($F24=1,$C24*$J24,IF(FO24&gt;0,FO24*$K24,BP24*$J24))*IF(24=$R24,$S24,12)/12,6)+$B$4),BP24-$I24)))))</f>
        <v/>
      </c>
      <c r="BR24" s="68">
        <f>IF($U24=0,0,IF($F24=4,0,IF($F24=3,0,IF(OR(25&gt;$R24,BQ24&lt;=$I24),BQ24,BQ24-MIN(INT(ROUND(IF($F24=1,$C24*$J24,IF(FP24&gt;0,FP24*$K24,BQ24*$J24))*IF(25=$R24,$S24,12)/12,6)+$B$4),BQ24-$I24)))))</f>
        <v/>
      </c>
      <c r="BS24" s="68">
        <f>IF($U24=0,0,IF($F24=4,0,IF($F24=3,0,IF(OR(26&gt;$R24,BR24&lt;=$I24),BR24,BR24-MIN(INT(ROUND(IF($F24=1,$C24*$J24,IF(FQ24&gt;0,FQ24*$K24,BR24*$J24))*IF(26=$R24,$S24,12)/12,6)+$B$4),BR24-$I24)))))</f>
        <v/>
      </c>
      <c r="BT24" s="68">
        <f>IF($U24=0,0,IF($F24=4,0,IF($F24=3,0,IF(OR(27&gt;$R24,BS24&lt;=$I24),BS24,BS24-MIN(INT(ROUND(IF($F24=1,$C24*$J24,IF(FR24&gt;0,FR24*$K24,BS24*$J24))*IF(27=$R24,$S24,12)/12,6)+$B$4),BS24-$I24)))))</f>
        <v/>
      </c>
      <c r="BU24" s="68">
        <f>IF($U24=0,0,IF($F24=4,0,IF($F24=3,0,IF(OR(28&gt;$R24,BT24&lt;=$I24),BT24,BT24-MIN(INT(ROUND(IF($F24=1,$C24*$J24,IF(FS24&gt;0,FS24*$K24,BT24*$J24))*IF(28=$R24,$S24,12)/12,6)+$B$4),BT24-$I24)))))</f>
        <v/>
      </c>
      <c r="BV24" s="68">
        <f>IF($U24=0,0,IF($F24=4,0,IF($F24=3,0,IF(OR(29&gt;$R24,BU24&lt;=$I24),BU24,BU24-MIN(INT(ROUND(IF($F24=1,$C24*$J24,IF(FT24&gt;0,FT24*$K24,BU24*$J24))*IF(29=$R24,$S24,12)/12,6)+$B$4),BU24-$I24)))))</f>
        <v/>
      </c>
      <c r="BW24" s="68">
        <f>IF($U24=0,0,IF($F24=4,0,IF($F24=3,0,IF(OR(30&gt;$R24,BV24&lt;=$I24),BV24,BV24-MIN(INT(ROUND(IF($F24=1,$C24*$J24,IF(FU24&gt;0,FU24*$K24,BV24*$J24))*IF(30=$R24,$S24,12)/12,6)+$B$4),BV24-$I24)))))</f>
        <v/>
      </c>
      <c r="BX24" s="68">
        <f>IF($U24=0,0,IF($F24=4,0,IF($F24=3,0,IF(OR(31&gt;$R24,BW24&lt;=$I24),BW24,BW24-MIN(INT(ROUND(IF($F24=1,$C24*$J24,IF(FV24&gt;0,FV24*$K24,BW24*$J24))*IF(31=$R24,$S24,12)/12,6)+$B$4),BW24-$I24)))))</f>
        <v/>
      </c>
      <c r="BY24" s="68">
        <f>IF($U24=0,0,IF($F24=4,0,IF($F24=3,0,IF(OR(32&gt;$R24,BX24&lt;=$I24),BX24,BX24-MIN(INT(ROUND(IF($F24=1,$C24*$J24,IF(FW24&gt;0,FW24*$K24,BX24*$J24))*IF(32=$R24,$S24,12)/12,6)+$B$4),BX24-$I24)))))</f>
        <v/>
      </c>
      <c r="BZ24" s="68">
        <f>IF($U24=0,0,IF($F24=4,0,IF($F24=3,0,IF(OR(33&gt;$R24,BY24&lt;=$I24),BY24,BY24-MIN(INT(ROUND(IF($F24=1,$C24*$J24,IF(FX24&gt;0,FX24*$K24,BY24*$J24))*IF(33=$R24,$S24,12)/12,6)+$B$4),BY24-$I24)))))</f>
        <v/>
      </c>
      <c r="CA24" s="68">
        <f>IF($U24=0,0,IF($F24=4,0,IF($F24=3,0,IF(OR(34&gt;$R24,BZ24&lt;=$I24),BZ24,BZ24-MIN(INT(ROUND(IF($F24=1,$C24*$J24,IF(FY24&gt;0,FY24*$K24,BZ24*$J24))*IF(34=$R24,$S24,12)/12,6)+$B$4),BZ24-$I24)))))</f>
        <v/>
      </c>
      <c r="CB24" s="68">
        <f>IF($U24=0,0,IF($F24=4,0,IF($F24=3,0,IF(OR(35&gt;$R24,CA24&lt;=$I24),CA24,CA24-MIN(INT(ROUND(IF($F24=1,$C24*$J24,IF(FZ24&gt;0,FZ24*$K24,CA24*$J24))*IF(35=$R24,$S24,12)/12,6)+$B$4),CA24-$I24)))))</f>
        <v/>
      </c>
      <c r="CC24" s="68">
        <f>IF($U24=0,0,IF($F24=4,0,IF($F24=3,0,IF(OR(36&gt;$R24,CB24&lt;=$I24),CB24,CB24-MIN(INT(ROUND(IF($F24=1,$C24*$J24,IF(GA24&gt;0,GA24*$K24,CB24*$J24))*IF(36=$R24,$S24,12)/12,6)+$B$4),CB24-$I24)))))</f>
        <v/>
      </c>
      <c r="CD24" s="68">
        <f>IF($U24=0,0,IF($F24=4,0,IF($F24=3,0,IF(OR(37&gt;$R24,CC24&lt;=$I24),CC24,CC24-MIN(INT(ROUND(IF($F24=1,$C24*$J24,IF(GB24&gt;0,GB24*$K24,CC24*$J24))*IF(37=$R24,$S24,12)/12,6)+$B$4),CC24-$I24)))))</f>
        <v/>
      </c>
      <c r="CE24" s="68">
        <f>IF($U24=0,0,IF($F24=4,0,IF($F24=3,0,IF(OR(38&gt;$R24,CD24&lt;=$I24),CD24,CD24-MIN(INT(ROUND(IF($F24=1,$C24*$J24,IF(GC24&gt;0,GC24*$K24,CD24*$J24))*IF(38=$R24,$S24,12)/12,6)+$B$4),CD24-$I24)))))</f>
        <v/>
      </c>
      <c r="CF24" s="68">
        <f>IF($U24=0,0,IF($F24=4,0,IF($F24=3,0,IF(OR(39&gt;$R24,CE24&lt;=$I24),CE24,CE24-MIN(INT(ROUND(IF($F24=1,$C24*$J24,IF(GD24&gt;0,GD24*$K24,CE24*$J24))*IF(39=$R24,$S24,12)/12,6)+$B$4),CE24-$I24)))))</f>
        <v/>
      </c>
      <c r="CG24" s="68">
        <f>IF($U24=0,0,IF($F24=4,0,IF($F24=3,0,IF(OR(40&gt;$R24,CF24&lt;=$I24),CF24,CF24-MIN(INT(ROUND(IF($F24=1,$C24*$J24,IF(GE24&gt;0,GE24*$K24,CF24*$J24))*IF(40=$R24,$S24,12)/12,6)+$B$4),CF24-$I24)))))</f>
        <v/>
      </c>
      <c r="CH24" s="68">
        <f>IF($U24=0,0,IF($F24=4,0,IF($F24=3,0,IF(OR(41&gt;$R24,CG24&lt;=$I24),CG24,CG24-MIN(INT(ROUND(IF($F24=1,$C24*$J24,IF(GF24&gt;0,GF24*$K24,CG24*$J24))*IF(41=$R24,$S24,12)/12,6)+$B$4),CG24-$I24)))))</f>
        <v/>
      </c>
      <c r="CI24" s="68">
        <f>IF($U24=0,0,IF($F24=4,0,IF($F24=3,0,IF(OR(42&gt;$R24,CH24&lt;=$I24),CH24,CH24-MIN(INT(ROUND(IF($F24=1,$C24*$J24,IF(GG24&gt;0,GG24*$K24,CH24*$J24))*IF(42=$R24,$S24,12)/12,6)+$B$4),CH24-$I24)))))</f>
        <v/>
      </c>
      <c r="CJ24" s="68">
        <f>IF($U24=0,0,IF($F24=4,0,IF($F24=3,0,IF(OR(43&gt;$R24,CI24&lt;=$I24),CI24,CI24-MIN(INT(ROUND(IF($F24=1,$C24*$J24,IF(GH24&gt;0,GH24*$K24,CI24*$J24))*IF(43=$R24,$S24,12)/12,6)+$B$4),CI24-$I24)))))</f>
        <v/>
      </c>
      <c r="CK24" s="68">
        <f>IF($U24=0,0,IF($F24=4,0,IF($F24=3,0,IF(OR(44&gt;$R24,CJ24&lt;=$I24),CJ24,CJ24-MIN(INT(ROUND(IF($F24=1,$C24*$J24,IF(GI24&gt;0,GI24*$K24,CJ24*$J24))*IF(44=$R24,$S24,12)/12,6)+$B$4),CJ24-$I24)))))</f>
        <v/>
      </c>
      <c r="CL24" s="68">
        <f>IF($U24=0,0,IF($F24=4,0,IF($F24=3,0,IF(OR(45&gt;$R24,CK24&lt;=$I24),CK24,CK24-MIN(INT(ROUND(IF($F24=1,$C24*$J24,IF(GJ24&gt;0,GJ24*$K24,CK24*$J24))*IF(45=$R24,$S24,12)/12,6)+$B$4),CK24-$I24)))))</f>
        <v/>
      </c>
      <c r="CM24" s="68">
        <f>IF($U24=0,0,IF($F24=4,0,IF($F24=3,0,IF(OR(46&gt;$R24,CL24&lt;=$I24),CL24,CL24-MIN(INT(ROUND(IF($F24=1,$C24*$J24,IF(GK24&gt;0,GK24*$K24,CL24*$J24))*IF(46=$R24,$S24,12)/12,6)+$B$4),CL24-$I24)))))</f>
        <v/>
      </c>
      <c r="CN24" s="68">
        <f>IF($U24=0,0,IF($F24=4,0,IF($F24=3,0,IF(OR(47&gt;$R24,CM24&lt;=$I24),CM24,CM24-MIN(INT(ROUND(IF($F24=1,$C24*$J24,IF(GL24&gt;0,GL24*$K24,CM24*$J24))*IF(47=$R24,$S24,12)/12,6)+$B$4),CM24-$I24)))))</f>
        <v/>
      </c>
      <c r="CO24" s="68">
        <f>IF($U24=0,0,IF($F24=4,0,IF($F24=3,0,IF(OR(48&gt;$R24,CN24&lt;=$I24),CN24,CN24-MIN(INT(ROUND(IF($F24=1,$C24*$J24,IF(GM24&gt;0,GM24*$K24,CN24*$J24))*IF(48=$R24,$S24,12)/12,6)+$B$4),CN24-$I24)))))</f>
        <v/>
      </c>
      <c r="CP24" s="68">
        <f>IF($U24=0,0,IF($F24=4,0,IF($F24=3,0,IF(OR(49&gt;$R24,CO24&lt;=$I24),CO24,CO24-MIN(INT(ROUND(IF($F24=1,$C24*$J24,IF(GN24&gt;0,GN24*$K24,CO24*$J24))*IF(49=$R24,$S24,12)/12,6)+$B$4),CO24-$I24)))))</f>
        <v/>
      </c>
      <c r="CQ24" s="68">
        <f>IF($U24=0,0,IF($F24=4,0,IF($F24=3,0,IF(OR(50&gt;$R24,CP24&lt;=$I24),CP24,CP24-MIN(INT(ROUND(IF($F24=1,$C24*$J24,IF(GO24&gt;0,GO24*$K24,CP24*$J24))*IF(50=$R24,$S24,12)/12,6)+$B$4),CP24-$I24)))))</f>
        <v/>
      </c>
      <c r="CR24" s="68">
        <f>IF($U24=0,0,IF($F24=4,0,IF($F24=3,0,IF(OR(51&gt;$R24,CQ24&lt;=$I24),CQ24,CQ24-MIN(INT(ROUND(IF($F24=1,$C24*$J24,IF(GP24&gt;0,GP24*$K24,CQ24*$J24))*IF(51=$R24,$S24,12)/12,6)+$B$4),CQ24-$I24)))))</f>
        <v/>
      </c>
      <c r="CS24" s="68">
        <f>IF($U24=0,0,IF($F24=4,0,IF($F24=3,0,IF(OR(52&gt;$R24,CR24&lt;=$I24),CR24,CR24-MIN(INT(ROUND(IF($F24=1,$C24*$J24,IF(GQ24&gt;0,GQ24*$K24,CR24*$J24))*IF(52=$R24,$S24,12)/12,6)+$B$4),CR24-$I24)))))</f>
        <v/>
      </c>
      <c r="CT24" s="68">
        <f>IF($U24=0,0,IF($F24=4,0,IF($F24=3,0,IF(OR(53&gt;$R24,CS24&lt;=$I24),CS24,CS24-MIN(INT(ROUND(IF($F24=1,$C24*$J24,IF(GR24&gt;0,GR24*$K24,CS24*$J24))*IF(53=$R24,$S24,12)/12,6)+$B$4),CS24-$I24)))))</f>
        <v/>
      </c>
      <c r="CU24" s="68">
        <f>IF($U24=0,0,IF($F24=4,0,IF($F24=3,0,IF(OR(54&gt;$R24,CT24&lt;=$I24),CT24,CT24-MIN(INT(ROUND(IF($F24=1,$C24*$J24,IF(GS24&gt;0,GS24*$K24,CT24*$J24))*IF(54=$R24,$S24,12)/12,6)+$B$4),CT24-$I24)))))</f>
        <v/>
      </c>
      <c r="CV24" s="68">
        <f>IF($U24=0,0,IF($F24=4,0,IF($F24=3,0,IF(OR(55&gt;$R24,CU24&lt;=$I24),CU24,CU24-MIN(INT(ROUND(IF($F24=1,$C24*$J24,IF(GT24&gt;0,GT24*$K24,CU24*$J24))*IF(55=$R24,$S24,12)/12,6)+$B$4),CU24-$I24)))))</f>
        <v/>
      </c>
      <c r="CW24" s="68">
        <f>IF($U24=0,0,IF($F24=4,0,IF($F24=3,0,IF(OR(56&gt;$R24,CV24&lt;=$I24),CV24,CV24-MIN(INT(ROUND(IF($F24=1,$C24*$J24,IF(GU24&gt;0,GU24*$K24,CV24*$J24))*IF(56=$R24,$S24,12)/12,6)+$B$4),CV24-$I24)))))</f>
        <v/>
      </c>
      <c r="CX24" s="68">
        <f>IF($U24=0,0,IF($F24=4,0,IF($F24=3,0,IF(OR(57&gt;$R24,CW24&lt;=$I24),CW24,CW24-MIN(INT(ROUND(IF($F24=1,$C24*$J24,IF(GV24&gt;0,GV24*$K24,CW24*$J24))*IF(57=$R24,$S24,12)/12,6)+$B$4),CW24-$I24)))))</f>
        <v/>
      </c>
      <c r="CY24" s="68">
        <f>IF($U24=0,0,IF($F24=4,0,IF($F24=3,0,IF(OR(58&gt;$R24,CX24&lt;=$I24),CX24,CX24-MIN(INT(ROUND(IF($F24=1,$C24*$J24,IF(GW24&gt;0,GW24*$K24,CX24*$J24))*IF(58=$R24,$S24,12)/12,6)+$B$4),CX24-$I24)))))</f>
        <v/>
      </c>
      <c r="CZ24" s="68">
        <f>IF($U24=0,0,IF($F24=4,0,IF($F24=3,0,IF(OR(59&gt;$R24,CY24&lt;=$I24),CY24,CY24-MIN(INT(ROUND(IF($F24=1,$C24*$J24,IF(GX24&gt;0,GX24*$K24,CY24*$J24))*IF(59=$R24,$S24,12)/12,6)+$B$4),CY24-$I24)))))</f>
        <v/>
      </c>
      <c r="DA24" s="68">
        <f>IF($U24=0,0,IF($F24=4,0,IF($F24=3,0,IF(OR(60&gt;$R24,CZ24&lt;=$I24),CZ24,CZ24-MIN(INT(ROUND(IF($F24=1,$C24*$J24,IF(GY24&gt;0,GY24*$K24,CZ24*$J24))*IF(60=$R24,$S24,12)/12,6)+$B$4),CZ24-$I24)))))</f>
        <v/>
      </c>
      <c r="DB24" s="68">
        <f>IF($U24=0,0,IF($F24=4,0,IF($F24=3,0,IF(OR(61&gt;$R24,DA24&lt;=$I24),DA24,DA24-MIN(INT(ROUND(IF($F24=1,$C24*$J24,IF(GZ24&gt;0,GZ24*$K24,DA24*$J24))*IF(61=$R24,$S24,12)/12,6)+$B$4),DA24-$I24)))))</f>
        <v/>
      </c>
      <c r="DC24" s="68">
        <f>IF($U24=0,0,IF($F24=4,0,IF($F24=3,0,IF(OR(62&gt;$R24,DB24&lt;=$I24),DB24,DB24-MIN(INT(ROUND(IF($F24=1,$C24*$J24,IF(HA24&gt;0,HA24*$K24,DB24*$J24))*IF(62=$R24,$S24,12)/12,6)+$B$4),DB24-$I24)))))</f>
        <v/>
      </c>
      <c r="DD24" s="68">
        <f>IF($U24=0,0,IF($F24=4,0,IF($F24=3,0,IF(OR(63&gt;$R24,DC24&lt;=$I24),DC24,DC24-MIN(INT(ROUND(IF($F24=1,$C24*$J24,IF(HB24&gt;0,HB24*$K24,DC24*$J24))*IF(63=$R24,$S24,12)/12,6)+$B$4),DC24-$I24)))))</f>
        <v/>
      </c>
      <c r="DE24" s="68">
        <f>IF($U24=0,0,IF($F24=4,0,IF($F24=3,0,IF(OR(64&gt;$R24,DD24&lt;=$I24),DD24,DD24-MIN(INT(ROUND(IF($F24=1,$C24*$J24,IF(HC24&gt;0,HC24*$K24,DD24*$J24))*IF(64=$R24,$S24,12)/12,6)+$B$4),DD24-$I24)))))</f>
        <v/>
      </c>
      <c r="DF24" s="68">
        <f>IF($U24=0,0,IF($F24=4,0,IF($F24=3,0,IF(OR(65&gt;$R24,DE24&lt;=$I24),DE24,DE24-MIN(INT(ROUND(IF($F24=1,$C24*$J24,IF(HD24&gt;0,HD24*$K24,DE24*$J24))*IF(65=$R24,$S24,12)/12,6)+$B$4),DE24-$I24)))))</f>
        <v/>
      </c>
      <c r="DG24" s="68">
        <f>IF($U24=0,0,IF($F24=4,0,IF($F24=3,0,IF(OR(66&gt;$R24,DF24&lt;=$I24),DF24,DF24-MIN(INT(ROUND(IF($F24=1,$C24*$J24,IF(HE24&gt;0,HE24*$K24,DF24*$J24))*IF(66=$R24,$S24,12)/12,6)+$B$4),DF24-$I24)))))</f>
        <v/>
      </c>
      <c r="DH24" s="68">
        <f>IF($U24=0,0,IF($F24=4,0,IF($F24=3,0,IF(OR(67&gt;$R24,DG24&lt;=$I24),DG24,DG24-MIN(INT(ROUND(IF($F24=1,$C24*$J24,IF(HF24&gt;0,HF24*$K24,DG24*$J24))*IF(67=$R24,$S24,12)/12,6)+$B$4),DG24-$I24)))))</f>
        <v/>
      </c>
      <c r="DI24" s="68">
        <f>IF($U24=0,0,IF($F24=4,0,IF($F24=3,0,IF(OR(68&gt;$R24,DH24&lt;=$I24),DH24,DH24-MIN(INT(ROUND(IF($F24=1,$C24*$J24,IF(HG24&gt;0,HG24*$K24,DH24*$J24))*IF(68=$R24,$S24,12)/12,6)+$B$4),DH24-$I24)))))</f>
        <v/>
      </c>
      <c r="DJ24" s="68">
        <f>IF($U24=0,0,IF($F24=4,0,IF($F24=3,0,IF(OR(69&gt;$R24,DI24&lt;=$I24),DI24,DI24-MIN(INT(ROUND(IF($F24=1,$C24*$J24,IF(HH24&gt;0,HH24*$K24,DI24*$J24))*IF(69=$R24,$S24,12)/12,6)+$B$4),DI24-$I24)))))</f>
        <v/>
      </c>
      <c r="DK24" s="68">
        <f>IF($U24=0,0,IF($F24=4,0,IF($F24=3,0,IF(OR(70&gt;$R24,DJ24&lt;=$I24),DJ24,DJ24-MIN(INT(ROUND(IF($F24=1,$C24*$J24,IF(HI24&gt;0,HI24*$K24,DJ24*$J24))*IF(70=$R24,$S24,12)/12,6)+$B$4),DJ24-$I24)))))</f>
        <v/>
      </c>
      <c r="DL24" s="68">
        <f>IF($U24=0,0,IF($F24=4,0,IF($F24=3,0,IF(OR(71&gt;$R24,DK24&lt;=$I24),DK24,DK24-MIN(INT(ROUND(IF($F24=1,$C24*$J24,IF(HJ24&gt;0,HJ24*$K24,DK24*$J24))*IF(71=$R24,$S24,12)/12,6)+$B$4),DK24-$I24)))))</f>
        <v/>
      </c>
      <c r="DM24" s="68">
        <f>IF($U24=0,0,IF($F24=4,0,IF($F24=3,0,IF(OR(72&gt;$R24,DL24&lt;=$I24),DL24,DL24-MIN(INT(ROUND(IF($F24=1,$C24*$J24,IF(HK24&gt;0,HK24*$K24,DL24*$J24))*IF(72=$R24,$S24,12)/12,6)+$B$4),DL24-$I24)))))</f>
        <v/>
      </c>
      <c r="DN24" s="68">
        <f>IF($U24=0,0,IF($F24=4,0,IF($F24=3,0,IF(OR(73&gt;$R24,DM24&lt;=$I24),DM24,DM24-MIN(INT(ROUND(IF($F24=1,$C24*$J24,IF(HL24&gt;0,HL24*$K24,DM24*$J24))*IF(73=$R24,$S24,12)/12,6)+$B$4),DM24-$I24)))))</f>
        <v/>
      </c>
      <c r="DO24" s="68">
        <f>IF($U24=0,0,IF($F24=4,0,IF($F24=3,0,IF(OR(74&gt;$R24,DN24&lt;=$I24),DN24,DN24-MIN(INT(ROUND(IF($F24=1,$C24*$J24,IF(HM24&gt;0,HM24*$K24,DN24*$J24))*IF(74=$R24,$S24,12)/12,6)+$B$4),DN24-$I24)))))</f>
        <v/>
      </c>
      <c r="DP24" s="68">
        <f>IF($U24=0,0,IF($F24=4,0,IF($F24=3,0,IF(OR(75&gt;$R24,DO24&lt;=$I24),DO24,DO24-MIN(INT(ROUND(IF($F24=1,$C24*$J24,IF(HN24&gt;0,HN24*$K24,DO24*$J24))*IF(75=$R24,$S24,12)/12,6)+$B$4),DO24-$I24)))))</f>
        <v/>
      </c>
      <c r="DQ24" s="68">
        <f>IF($U24=0,0,IF($F24=4,0,IF($F24=3,0,IF(OR(76&gt;$R24,DP24&lt;=$I24),DP24,DP24-MIN(INT(ROUND(IF($F24=1,$C24*$J24,IF(HO24&gt;0,HO24*$K24,DP24*$J24))*IF(76=$R24,$S24,12)/12,6)+$B$4),DP24-$I24)))))</f>
        <v/>
      </c>
      <c r="DR24" s="68">
        <f>IF($U24=0,0,IF($F24=4,0,IF($F24=3,0,IF(OR(77&gt;$R24,DQ24&lt;=$I24),DQ24,DQ24-MIN(INT(ROUND(IF($F24=1,$C24*$J24,IF(HP24&gt;0,HP24*$K24,DQ24*$J24))*IF(77=$R24,$S24,12)/12,6)+$B$4),DQ24-$I24)))))</f>
        <v/>
      </c>
      <c r="DS24" s="68">
        <f>IF($U24=0,0,IF($F24=4,0,IF($F24=3,0,IF(OR(78&gt;$R24,DR24&lt;=$I24),DR24,DR24-MIN(INT(ROUND(IF($F24=1,$C24*$J24,IF(HQ24&gt;0,HQ24*$K24,DR24*$J24))*IF(78=$R24,$S24,12)/12,6)+$B$4),DR24-$I24)))))</f>
        <v/>
      </c>
      <c r="DT24" s="68">
        <f>IF($U24=0,0,IF($F24=4,0,IF($F24=3,0,IF(OR(79&gt;$R24,DS24&lt;=$I24),DS24,DS24-MIN(INT(ROUND(IF($F24=1,$C24*$J24,IF(HR24&gt;0,HR24*$K24,DS24*$J24))*IF(79=$R24,$S24,12)/12,6)+$B$4),DS24-$I24)))))</f>
        <v/>
      </c>
      <c r="DU24" s="68">
        <f>IF($U24=0,0,IF($F24=4,0,IF($F24=3,0,IF(OR(80&gt;$R24,DT24&lt;=$I24),DT24,DT24-MIN(INT(ROUND(IF($F24=1,$C24*$J24,IF(HS24&gt;0,HS24*$K24,DT24*$J24))*IF(80=$R24,$S24,12)/12,6)+$B$4),DT24-$I24)))))</f>
        <v/>
      </c>
      <c r="DV24" s="68">
        <f>IF($U24=0,0,IF($F24=4,0,IF($F24=3,0,IF(OR(81&gt;$R24,DU24&lt;=$I24),DU24,DU24-MIN(INT(ROUND(IF($F24=1,$C24*$J24,IF(HT24&gt;0,HT24*$K24,DU24*$J24))*IF(81=$R24,$S24,12)/12,6)+$B$4),DU24-$I24)))))</f>
        <v/>
      </c>
      <c r="DW24" s="68">
        <f>IF($U24=0,0,IF($F24=4,0,IF($F24=3,0,IF(OR(82&gt;$R24,DV24&lt;=$I24),DV24,DV24-MIN(INT(ROUND(IF($F24=1,$C24*$J24,IF(HU24&gt;0,HU24*$K24,DV24*$J24))*IF(82=$R24,$S24,12)/12,6)+$B$4),DV24-$I24)))))</f>
        <v/>
      </c>
      <c r="DX24" s="68">
        <f>IF($U24=0,0,IF($F24=4,0,IF($F24=3,0,IF(OR(83&gt;$R24,DW24&lt;=$I24),DW24,DW24-MIN(INT(ROUND(IF($F24=1,$C24*$J24,IF(HV24&gt;0,HV24*$K24,DW24*$J24))*IF(83=$R24,$S24,12)/12,6)+$B$4),DW24-$I24)))))</f>
        <v/>
      </c>
      <c r="DY24" s="68">
        <f>IF($U24=0,0,IF($F24=4,0,IF($F24=3,0,IF(OR(84&gt;$R24,DX24&lt;=$I24),DX24,DX24-MIN(INT(ROUND(IF($F24=1,$C24*$J24,IF(HW24&gt;0,HW24*$K24,DX24*$J24))*IF(84=$R24,$S24,12)/12,6)+$B$4),DX24-$I24)))))</f>
        <v/>
      </c>
      <c r="DZ24" s="68">
        <f>IF($U24=0,0,IF($F24=4,0,IF($F24=3,0,IF(OR(85&gt;$R24,DY24&lt;=$I24),DY24,DY24-MIN(INT(ROUND(IF($F24=1,$C24*$J24,IF(HX24&gt;0,HX24*$K24,DY24*$J24))*IF(85=$R24,$S24,12)/12,6)+$B$4),DY24-$I24)))))</f>
        <v/>
      </c>
      <c r="EA24" s="68">
        <f>IF($U24=0,0,IF($F24=4,0,IF($F24=3,0,IF(OR(86&gt;$R24,DZ24&lt;=$I24),DZ24,DZ24-MIN(INT(ROUND(IF($F24=1,$C24*$J24,IF(HY24&gt;0,HY24*$K24,DZ24*$J24))*IF(86=$R24,$S24,12)/12,6)+$B$4),DZ24-$I24)))))</f>
        <v/>
      </c>
      <c r="EB24" s="68">
        <f>IF($U24=0,0,IF($F24=4,0,IF($F24=3,0,IF(OR(87&gt;$R24,EA24&lt;=$I24),EA24,EA24-MIN(INT(ROUND(IF($F24=1,$C24*$J24,IF(HZ24&gt;0,HZ24*$K24,EA24*$J24))*IF(87=$R24,$S24,12)/12,6)+$B$4),EA24-$I24)))))</f>
        <v/>
      </c>
      <c r="EC24" s="68">
        <f>IF($U24=0,0,IF($F24=4,0,IF($F24=3,0,IF(OR(88&gt;$R24,EB24&lt;=$I24),EB24,EB24-MIN(INT(ROUND(IF($F24=1,$C24*$J24,IF(IA24&gt;0,IA24*$K24,EB24*$J24))*IF(88=$R24,$S24,12)/12,6)+$B$4),EB24-$I24)))))</f>
        <v/>
      </c>
      <c r="ED24" s="68">
        <f>IF($U24=0,0,IF($F24=4,0,IF($F24=3,0,IF(OR(89&gt;$R24,EC24&lt;=$I24),EC24,EC24-MIN(INT(ROUND(IF($F24=1,$C24*$J24,IF(IB24&gt;0,IB24*$K24,EC24*$J24))*IF(89=$R24,$S24,12)/12,6)+$B$4),EC24-$I24)))))</f>
        <v/>
      </c>
      <c r="EE24" s="68">
        <f>IF($U24=0,0,IF($F24=4,0,IF($F24=3,0,IF(OR(90&gt;$R24,ED24&lt;=$I24),ED24,ED24-MIN(INT(ROUND(IF($F24=1,$C24*$J24,IF(IC24&gt;0,IC24*$K24,ED24*$J24))*IF(90=$R24,$S24,12)/12,6)+$B$4),ED24-$I24)))))</f>
        <v/>
      </c>
      <c r="EF24" s="68">
        <f>IF($U24=0,0,IF($F24=4,0,IF($F24=3,0,IF(OR(91&gt;$R24,EE24&lt;=$I24),EE24,EE24-MIN(INT(ROUND(IF($F24=1,$C24*$J24,IF(ID24&gt;0,ID24*$K24,EE24*$J24))*IF(91=$R24,$S24,12)/12,6)+$B$4),EE24-$I24)))))</f>
        <v/>
      </c>
      <c r="EG24" s="68">
        <f>IF($U24=0,0,IF($F24=4,0,IF($F24=3,0,IF(OR(92&gt;$R24,EF24&lt;=$I24),EF24,EF24-MIN(INT(ROUND(IF($F24=1,$C24*$J24,IF(IE24&gt;0,IE24*$K24,EF24*$J24))*IF(92=$R24,$S24,12)/12,6)+$B$4),EF24-$I24)))))</f>
        <v/>
      </c>
      <c r="EH24" s="68">
        <f>IF($U24=0,0,IF($F24=4,0,IF($F24=3,0,IF(OR(93&gt;$R24,EG24&lt;=$I24),EG24,EG24-MIN(INT(ROUND(IF($F24=1,$C24*$J24,IF(IF24&gt;0,IF24*$K24,EG24*$J24))*IF(93=$R24,$S24,12)/12,6)+$B$4),EG24-$I24)))))</f>
        <v/>
      </c>
      <c r="EI24" s="68">
        <f>IF($U24=0,0,IF($F24=4,0,IF($F24=3,0,IF(OR(94&gt;$R24,EH24&lt;=$I24),EH24,EH24-MIN(INT(ROUND(IF($F24=1,$C24*$J24,IF(IG24&gt;0,IG24*$K24,EH24*$J24))*IF(94=$R24,$S24,12)/12,6)+$B$4),EH24-$I24)))))</f>
        <v/>
      </c>
      <c r="EJ24" s="68">
        <f>IF($U24=0,0,IF($F24=4,0,IF($F24=3,0,IF(OR(95&gt;$R24,EI24&lt;=$I24),EI24,EI24-MIN(INT(ROUND(IF($F24=1,$C24*$J24,IF(IH24&gt;0,IH24*$K24,EI24*$J24))*IF(95=$R24,$S24,12)/12,6)+$B$4),EI24-$I24)))))</f>
        <v/>
      </c>
      <c r="EK24" s="68">
        <f>IF($U24=0,0,IF($F24=4,0,IF($F24=3,0,IF(OR(96&gt;$R24,EJ24&lt;=$I24),EJ24,EJ24-MIN(INT(ROUND(IF($F24=1,$C24*$J24,IF(II24&gt;0,II24*$K24,EJ24*$J24))*IF(96=$R24,$S24,12)/12,6)+$B$4),EJ24-$I24)))))</f>
        <v/>
      </c>
      <c r="EL24" s="68">
        <f>IF($U24=0,0,IF($F24=4,0,IF($F24=3,0,IF(OR(97&gt;$R24,EK24&lt;=$I24),EK24,EK24-MIN(INT(ROUND(IF($F24=1,$C24*$J24,IF(IJ24&gt;0,IJ24*$K24,EK24*$J24))*IF(97=$R24,$S24,12)/12,6)+$B$4),EK24-$I24)))))</f>
        <v/>
      </c>
      <c r="EM24" s="68">
        <f>IF($U24=0,0,IF($F24=4,0,IF($F24=3,0,IF(OR(98&gt;$R24,EL24&lt;=$I24),EL24,EL24-MIN(INT(ROUND(IF($F24=1,$C24*$J24,IF(IK24&gt;0,IK24*$K24,EL24*$J24))*IF(98=$R24,$S24,12)/12,6)+$B$4),EL24-$I24)))))</f>
        <v/>
      </c>
      <c r="EN24" s="68">
        <f>IF($U24=0,0,IF($F24=4,0,IF($F24=3,0,IF(OR(99&gt;$R24,EM24&lt;=$I24),EM24,EM24-MIN(INT(ROUND(IF($F24=1,$C24*$J24,IF(IL24&gt;0,IL24*$K24,EM24*$J24))*IF(99=$R24,$S24,12)/12,6)+$B$4),EM24-$I24)))))</f>
        <v/>
      </c>
      <c r="EO24" s="68">
        <f>IF($U24=0,0,IF($F24=4,0,IF($F24=3,0,IF(OR(100&gt;$R24,EN24&lt;=$I24),EN24,EN24-MIN(INT(ROUND(IF($F24=1,$C24*$J24,IF(IM24&gt;0,IM24*$K24,EN24*$J24))*IF(100=$R24,$S24,12)/12,6)+$B$4),EN24-$I24)))))</f>
        <v/>
      </c>
      <c r="EP24" s="68">
        <f>IF($U24=0,0,IF($F24=4,0,IF($F24=3,0,IF(OR(101&gt;$R24,EO24&lt;=$I24),EO24,EO24-MIN(INT(ROUND(IF($F24=1,$C24*$J24,IF(IN24&gt;0,IN24*$K24,EO24*$J24))*IF(101=$R24,$S24,12)/12,6)+$B$4),EO24-$I24)))))</f>
        <v/>
      </c>
      <c r="EQ24" s="68" t="n"/>
      <c r="ER24" s="68">
        <f>IF(OR($U24=0,$F24&lt;&gt;2),0,IF(ROUND(AS24*$J24,6)&lt;ROUND($M24,6),AS24,0))</f>
        <v/>
      </c>
      <c r="ES24" s="68">
        <f>IF(OR($U24=0,$F24&lt;&gt;2),0,IF(ER24&gt;0,ER24,IF(ROUND(AT24*$J24,6)&lt;ROUND($M24,6),AT24,0)))</f>
        <v/>
      </c>
      <c r="ET24" s="68">
        <f>IF(OR($U24=0,$F24&lt;&gt;2),0,IF(ES24&gt;0,ES24,IF(ROUND(AU24*$J24,6)&lt;ROUND($M24,6),AU24,0)))</f>
        <v/>
      </c>
      <c r="EU24" s="68">
        <f>IF(OR($U24=0,$F24&lt;&gt;2),0,IF(ET24&gt;0,ET24,IF(ROUND(AV24*$J24,6)&lt;ROUND($M24,6),AV24,0)))</f>
        <v/>
      </c>
      <c r="EV24" s="68">
        <f>IF(OR($U24=0,$F24&lt;&gt;2),0,IF(EU24&gt;0,EU24,IF(ROUND(AW24*$J24,6)&lt;ROUND($M24,6),AW24,0)))</f>
        <v/>
      </c>
      <c r="EW24" s="68">
        <f>IF(OR($U24=0,$F24&lt;&gt;2),0,IF(EV24&gt;0,EV24,IF(ROUND(AX24*$J24,6)&lt;ROUND($M24,6),AX24,0)))</f>
        <v/>
      </c>
      <c r="EX24" s="68">
        <f>IF(OR($U24=0,$F24&lt;&gt;2),0,IF(EW24&gt;0,EW24,IF(ROUND(AY24*$J24,6)&lt;ROUND($M24,6),AY24,0)))</f>
        <v/>
      </c>
      <c r="EY24" s="68">
        <f>IF(OR($U24=0,$F24&lt;&gt;2),0,IF(EX24&gt;0,EX24,IF(ROUND(AZ24*$J24,6)&lt;ROUND($M24,6),AZ24,0)))</f>
        <v/>
      </c>
      <c r="EZ24" s="68">
        <f>IF(OR($U24=0,$F24&lt;&gt;2),0,IF(EY24&gt;0,EY24,IF(ROUND(BA24*$J24,6)&lt;ROUND($M24,6),BA24,0)))</f>
        <v/>
      </c>
      <c r="FA24" s="68">
        <f>IF(OR($U24=0,$F24&lt;&gt;2),0,IF(EZ24&gt;0,EZ24,IF(ROUND(BB24*$J24,6)&lt;ROUND($M24,6),BB24,0)))</f>
        <v/>
      </c>
      <c r="FB24" s="68">
        <f>IF(OR($U24=0,$F24&lt;&gt;2),0,IF(FA24&gt;0,FA24,IF(ROUND(BC24*$J24,6)&lt;ROUND($M24,6),BC24,0)))</f>
        <v/>
      </c>
      <c r="FC24" s="68">
        <f>IF(OR($U24=0,$F24&lt;&gt;2),0,IF(FB24&gt;0,FB24,IF(ROUND(BD24*$J24,6)&lt;ROUND($M24,6),BD24,0)))</f>
        <v/>
      </c>
      <c r="FD24" s="68">
        <f>IF(OR($U24=0,$F24&lt;&gt;2),0,IF(FC24&gt;0,FC24,IF(ROUND(BE24*$J24,6)&lt;ROUND($M24,6),BE24,0)))</f>
        <v/>
      </c>
      <c r="FE24" s="68">
        <f>IF(OR($U24=0,$F24&lt;&gt;2),0,IF(FD24&gt;0,FD24,IF(ROUND(BF24*$J24,6)&lt;ROUND($M24,6),BF24,0)))</f>
        <v/>
      </c>
      <c r="FF24" s="68">
        <f>IF(OR($U24=0,$F24&lt;&gt;2),0,IF(FE24&gt;0,FE24,IF(ROUND(BG24*$J24,6)&lt;ROUND($M24,6),BG24,0)))</f>
        <v/>
      </c>
      <c r="FG24" s="68">
        <f>IF(OR($U24=0,$F24&lt;&gt;2),0,IF(FF24&gt;0,FF24,IF(ROUND(BH24*$J24,6)&lt;ROUND($M24,6),BH24,0)))</f>
        <v/>
      </c>
      <c r="FH24" s="68">
        <f>IF(OR($U24=0,$F24&lt;&gt;2),0,IF(FG24&gt;0,FG24,IF(ROUND(BI24*$J24,6)&lt;ROUND($M24,6),BI24,0)))</f>
        <v/>
      </c>
      <c r="FI24" s="68">
        <f>IF(OR($U24=0,$F24&lt;&gt;2),0,IF(FH24&gt;0,FH24,IF(ROUND(BJ24*$J24,6)&lt;ROUND($M24,6),BJ24,0)))</f>
        <v/>
      </c>
      <c r="FJ24" s="68">
        <f>IF(OR($U24=0,$F24&lt;&gt;2),0,IF(FI24&gt;0,FI24,IF(ROUND(BK24*$J24,6)&lt;ROUND($M24,6),BK24,0)))</f>
        <v/>
      </c>
      <c r="FK24" s="68">
        <f>IF(OR($U24=0,$F24&lt;&gt;2),0,IF(FJ24&gt;0,FJ24,IF(ROUND(BL24*$J24,6)&lt;ROUND($M24,6),BL24,0)))</f>
        <v/>
      </c>
      <c r="FL24" s="68">
        <f>IF(OR($U24=0,$F24&lt;&gt;2),0,IF(FK24&gt;0,FK24,IF(ROUND(BM24*$J24,6)&lt;ROUND($M24,6),BM24,0)))</f>
        <v/>
      </c>
      <c r="FM24" s="68">
        <f>IF(OR($U24=0,$F24&lt;&gt;2),0,IF(FL24&gt;0,FL24,IF(ROUND(BN24*$J24,6)&lt;ROUND($M24,6),BN24,0)))</f>
        <v/>
      </c>
      <c r="FN24" s="68">
        <f>IF(OR($U24=0,$F24&lt;&gt;2),0,IF(FM24&gt;0,FM24,IF(ROUND(BO24*$J24,6)&lt;ROUND($M24,6),BO24,0)))</f>
        <v/>
      </c>
      <c r="FO24" s="68">
        <f>IF(OR($U24=0,$F24&lt;&gt;2),0,IF(FN24&gt;0,FN24,IF(ROUND(BP24*$J24,6)&lt;ROUND($M24,6),BP24,0)))</f>
        <v/>
      </c>
      <c r="FP24" s="68">
        <f>IF(OR($U24=0,$F24&lt;&gt;2),0,IF(FO24&gt;0,FO24,IF(ROUND(BQ24*$J24,6)&lt;ROUND($M24,6),BQ24,0)))</f>
        <v/>
      </c>
      <c r="FQ24" s="68">
        <f>IF(OR($U24=0,$F24&lt;&gt;2),0,IF(FP24&gt;0,FP24,IF(ROUND(BR24*$J24,6)&lt;ROUND($M24,6),BR24,0)))</f>
        <v/>
      </c>
      <c r="FR24" s="68">
        <f>IF(OR($U24=0,$F24&lt;&gt;2),0,IF(FQ24&gt;0,FQ24,IF(ROUND(BS24*$J24,6)&lt;ROUND($M24,6),BS24,0)))</f>
        <v/>
      </c>
      <c r="FS24" s="68">
        <f>IF(OR($U24=0,$F24&lt;&gt;2),0,IF(FR24&gt;0,FR24,IF(ROUND(BT24*$J24,6)&lt;ROUND($M24,6),BT24,0)))</f>
        <v/>
      </c>
      <c r="FT24" s="68">
        <f>IF(OR($U24=0,$F24&lt;&gt;2),0,IF(FS24&gt;0,FS24,IF(ROUND(BU24*$J24,6)&lt;ROUND($M24,6),BU24,0)))</f>
        <v/>
      </c>
      <c r="FU24" s="68">
        <f>IF(OR($U24=0,$F24&lt;&gt;2),0,IF(FT24&gt;0,FT24,IF(ROUND(BV24*$J24,6)&lt;ROUND($M24,6),BV24,0)))</f>
        <v/>
      </c>
      <c r="FV24" s="68">
        <f>IF(OR($U24=0,$F24&lt;&gt;2),0,IF(FU24&gt;0,FU24,IF(ROUND(BW24*$J24,6)&lt;ROUND($M24,6),BW24,0)))</f>
        <v/>
      </c>
      <c r="FW24" s="68">
        <f>IF(OR($U24=0,$F24&lt;&gt;2),0,IF(FV24&gt;0,FV24,IF(ROUND(BX24*$J24,6)&lt;ROUND($M24,6),BX24,0)))</f>
        <v/>
      </c>
      <c r="FX24" s="68">
        <f>IF(OR($U24=0,$F24&lt;&gt;2),0,IF(FW24&gt;0,FW24,IF(ROUND(BY24*$J24,6)&lt;ROUND($M24,6),BY24,0)))</f>
        <v/>
      </c>
      <c r="FY24" s="68">
        <f>IF(OR($U24=0,$F24&lt;&gt;2),0,IF(FX24&gt;0,FX24,IF(ROUND(BZ24*$J24,6)&lt;ROUND($M24,6),BZ24,0)))</f>
        <v/>
      </c>
      <c r="FZ24" s="68">
        <f>IF(OR($U24=0,$F24&lt;&gt;2),0,IF(FY24&gt;0,FY24,IF(ROUND(CA24*$J24,6)&lt;ROUND($M24,6),CA24,0)))</f>
        <v/>
      </c>
      <c r="GA24" s="68">
        <f>IF(OR($U24=0,$F24&lt;&gt;2),0,IF(FZ24&gt;0,FZ24,IF(ROUND(CB24*$J24,6)&lt;ROUND($M24,6),CB24,0)))</f>
        <v/>
      </c>
      <c r="GB24" s="68">
        <f>IF(OR($U24=0,$F24&lt;&gt;2),0,IF(GA24&gt;0,GA24,IF(ROUND(CC24*$J24,6)&lt;ROUND($M24,6),CC24,0)))</f>
        <v/>
      </c>
      <c r="GC24" s="68">
        <f>IF(OR($U24=0,$F24&lt;&gt;2),0,IF(GB24&gt;0,GB24,IF(ROUND(CD24*$J24,6)&lt;ROUND($M24,6),CD24,0)))</f>
        <v/>
      </c>
      <c r="GD24" s="68">
        <f>IF(OR($U24=0,$F24&lt;&gt;2),0,IF(GC24&gt;0,GC24,IF(ROUND(CE24*$J24,6)&lt;ROUND($M24,6),CE24,0)))</f>
        <v/>
      </c>
      <c r="GE24" s="68">
        <f>IF(OR($U24=0,$F24&lt;&gt;2),0,IF(GD24&gt;0,GD24,IF(ROUND(CF24*$J24,6)&lt;ROUND($M24,6),CF24,0)))</f>
        <v/>
      </c>
      <c r="GF24" s="68">
        <f>IF(OR($U24=0,$F24&lt;&gt;2),0,IF(GE24&gt;0,GE24,IF(ROUND(CG24*$J24,6)&lt;ROUND($M24,6),CG24,0)))</f>
        <v/>
      </c>
      <c r="GG24" s="68">
        <f>IF(OR($U24=0,$F24&lt;&gt;2),0,IF(GF24&gt;0,GF24,IF(ROUND(CH24*$J24,6)&lt;ROUND($M24,6),CH24,0)))</f>
        <v/>
      </c>
      <c r="GH24" s="68">
        <f>IF(OR($U24=0,$F24&lt;&gt;2),0,IF(GG24&gt;0,GG24,IF(ROUND(CI24*$J24,6)&lt;ROUND($M24,6),CI24,0)))</f>
        <v/>
      </c>
      <c r="GI24" s="68">
        <f>IF(OR($U24=0,$F24&lt;&gt;2),0,IF(GH24&gt;0,GH24,IF(ROUND(CJ24*$J24,6)&lt;ROUND($M24,6),CJ24,0)))</f>
        <v/>
      </c>
      <c r="GJ24" s="68">
        <f>IF(OR($U24=0,$F24&lt;&gt;2),0,IF(GI24&gt;0,GI24,IF(ROUND(CK24*$J24,6)&lt;ROUND($M24,6),CK24,0)))</f>
        <v/>
      </c>
      <c r="GK24" s="68">
        <f>IF(OR($U24=0,$F24&lt;&gt;2),0,IF(GJ24&gt;0,GJ24,IF(ROUND(CL24*$J24,6)&lt;ROUND($M24,6),CL24,0)))</f>
        <v/>
      </c>
      <c r="GL24" s="68">
        <f>IF(OR($U24=0,$F24&lt;&gt;2),0,IF(GK24&gt;0,GK24,IF(ROUND(CM24*$J24,6)&lt;ROUND($M24,6),CM24,0)))</f>
        <v/>
      </c>
      <c r="GM24" s="68">
        <f>IF(OR($U24=0,$F24&lt;&gt;2),0,IF(GL24&gt;0,GL24,IF(ROUND(CN24*$J24,6)&lt;ROUND($M24,6),CN24,0)))</f>
        <v/>
      </c>
      <c r="GN24" s="68">
        <f>IF(OR($U24=0,$F24&lt;&gt;2),0,IF(GM24&gt;0,GM24,IF(ROUND(CO24*$J24,6)&lt;ROUND($M24,6),CO24,0)))</f>
        <v/>
      </c>
      <c r="GO24" s="68">
        <f>IF(OR($U24=0,$F24&lt;&gt;2),0,IF(GN24&gt;0,GN24,IF(ROUND(CP24*$J24,6)&lt;ROUND($M24,6),CP24,0)))</f>
        <v/>
      </c>
      <c r="GP24" s="68">
        <f>IF(OR($U24=0,$F24&lt;&gt;2),0,IF(GO24&gt;0,GO24,IF(ROUND(CQ24*$J24,6)&lt;ROUND($M24,6),CQ24,0)))</f>
        <v/>
      </c>
      <c r="GQ24" s="68">
        <f>IF(OR($U24=0,$F24&lt;&gt;2),0,IF(GP24&gt;0,GP24,IF(ROUND(CR24*$J24,6)&lt;ROUND($M24,6),CR24,0)))</f>
        <v/>
      </c>
      <c r="GR24" s="68">
        <f>IF(OR($U24=0,$F24&lt;&gt;2),0,IF(GQ24&gt;0,GQ24,IF(ROUND(CS24*$J24,6)&lt;ROUND($M24,6),CS24,0)))</f>
        <v/>
      </c>
      <c r="GS24" s="68">
        <f>IF(OR($U24=0,$F24&lt;&gt;2),0,IF(GR24&gt;0,GR24,IF(ROUND(CT24*$J24,6)&lt;ROUND($M24,6),CT24,0)))</f>
        <v/>
      </c>
      <c r="GT24" s="68">
        <f>IF(OR($U24=0,$F24&lt;&gt;2),0,IF(GS24&gt;0,GS24,IF(ROUND(CU24*$J24,6)&lt;ROUND($M24,6),CU24,0)))</f>
        <v/>
      </c>
      <c r="GU24" s="68">
        <f>IF(OR($U24=0,$F24&lt;&gt;2),0,IF(GT24&gt;0,GT24,IF(ROUND(CV24*$J24,6)&lt;ROUND($M24,6),CV24,0)))</f>
        <v/>
      </c>
      <c r="GV24" s="68">
        <f>IF(OR($U24=0,$F24&lt;&gt;2),0,IF(GU24&gt;0,GU24,IF(ROUND(CW24*$J24,6)&lt;ROUND($M24,6),CW24,0)))</f>
        <v/>
      </c>
      <c r="GW24" s="68">
        <f>IF(OR($U24=0,$F24&lt;&gt;2),0,IF(GV24&gt;0,GV24,IF(ROUND(CX24*$J24,6)&lt;ROUND($M24,6),CX24,0)))</f>
        <v/>
      </c>
      <c r="GX24" s="68">
        <f>IF(OR($U24=0,$F24&lt;&gt;2),0,IF(GW24&gt;0,GW24,IF(ROUND(CY24*$J24,6)&lt;ROUND($M24,6),CY24,0)))</f>
        <v/>
      </c>
      <c r="GY24" s="68">
        <f>IF(OR($U24=0,$F24&lt;&gt;2),0,IF(GX24&gt;0,GX24,IF(ROUND(CZ24*$J24,6)&lt;ROUND($M24,6),CZ24,0)))</f>
        <v/>
      </c>
      <c r="GZ24" s="68">
        <f>IF(OR($U24=0,$F24&lt;&gt;2),0,IF(GY24&gt;0,GY24,IF(ROUND(DA24*$J24,6)&lt;ROUND($M24,6),DA24,0)))</f>
        <v/>
      </c>
      <c r="HA24" s="68">
        <f>IF(OR($U24=0,$F24&lt;&gt;2),0,IF(GZ24&gt;0,GZ24,IF(ROUND(DB24*$J24,6)&lt;ROUND($M24,6),DB24,0)))</f>
        <v/>
      </c>
      <c r="HB24" s="68">
        <f>IF(OR($U24=0,$F24&lt;&gt;2),0,IF(HA24&gt;0,HA24,IF(ROUND(DC24*$J24,6)&lt;ROUND($M24,6),DC24,0)))</f>
        <v/>
      </c>
      <c r="HC24" s="68">
        <f>IF(OR($U24=0,$F24&lt;&gt;2),0,IF(HB24&gt;0,HB24,IF(ROUND(DD24*$J24,6)&lt;ROUND($M24,6),DD24,0)))</f>
        <v/>
      </c>
      <c r="HD24" s="68">
        <f>IF(OR($U24=0,$F24&lt;&gt;2),0,IF(HC24&gt;0,HC24,IF(ROUND(DE24*$J24,6)&lt;ROUND($M24,6),DE24,0)))</f>
        <v/>
      </c>
      <c r="HE24" s="68">
        <f>IF(OR($U24=0,$F24&lt;&gt;2),0,IF(HD24&gt;0,HD24,IF(ROUND(DF24*$J24,6)&lt;ROUND($M24,6),DF24,0)))</f>
        <v/>
      </c>
      <c r="HF24" s="68">
        <f>IF(OR($U24=0,$F24&lt;&gt;2),0,IF(HE24&gt;0,HE24,IF(ROUND(DG24*$J24,6)&lt;ROUND($M24,6),DG24,0)))</f>
        <v/>
      </c>
      <c r="HG24" s="68">
        <f>IF(OR($U24=0,$F24&lt;&gt;2),0,IF(HF24&gt;0,HF24,IF(ROUND(DH24*$J24,6)&lt;ROUND($M24,6),DH24,0)))</f>
        <v/>
      </c>
      <c r="HH24" s="68">
        <f>IF(OR($U24=0,$F24&lt;&gt;2),0,IF(HG24&gt;0,HG24,IF(ROUND(DI24*$J24,6)&lt;ROUND($M24,6),DI24,0)))</f>
        <v/>
      </c>
      <c r="HI24" s="68">
        <f>IF(OR($U24=0,$F24&lt;&gt;2),0,IF(HH24&gt;0,HH24,IF(ROUND(DJ24*$J24,6)&lt;ROUND($M24,6),DJ24,0)))</f>
        <v/>
      </c>
      <c r="HJ24" s="68">
        <f>IF(OR($U24=0,$F24&lt;&gt;2),0,IF(HI24&gt;0,HI24,IF(ROUND(DK24*$J24,6)&lt;ROUND($M24,6),DK24,0)))</f>
        <v/>
      </c>
      <c r="HK24" s="68">
        <f>IF(OR($U24=0,$F24&lt;&gt;2),0,IF(HJ24&gt;0,HJ24,IF(ROUND(DL24*$J24,6)&lt;ROUND($M24,6),DL24,0)))</f>
        <v/>
      </c>
      <c r="HL24" s="68">
        <f>IF(OR($U24=0,$F24&lt;&gt;2),0,IF(HK24&gt;0,HK24,IF(ROUND(DM24*$J24,6)&lt;ROUND($M24,6),DM24,0)))</f>
        <v/>
      </c>
      <c r="HM24" s="68">
        <f>IF(OR($U24=0,$F24&lt;&gt;2),0,IF(HL24&gt;0,HL24,IF(ROUND(DN24*$J24,6)&lt;ROUND($M24,6),DN24,0)))</f>
        <v/>
      </c>
      <c r="HN24" s="68">
        <f>IF(OR($U24=0,$F24&lt;&gt;2),0,IF(HM24&gt;0,HM24,IF(ROUND(DO24*$J24,6)&lt;ROUND($M24,6),DO24,0)))</f>
        <v/>
      </c>
      <c r="HO24" s="68">
        <f>IF(OR($U24=0,$F24&lt;&gt;2),0,IF(HN24&gt;0,HN24,IF(ROUND(DP24*$J24,6)&lt;ROUND($M24,6),DP24,0)))</f>
        <v/>
      </c>
      <c r="HP24" s="68">
        <f>IF(OR($U24=0,$F24&lt;&gt;2),0,IF(HO24&gt;0,HO24,IF(ROUND(DQ24*$J24,6)&lt;ROUND($M24,6),DQ24,0)))</f>
        <v/>
      </c>
      <c r="HQ24" s="68">
        <f>IF(OR($U24=0,$F24&lt;&gt;2),0,IF(HP24&gt;0,HP24,IF(ROUND(DR24*$J24,6)&lt;ROUND($M24,6),DR24,0)))</f>
        <v/>
      </c>
      <c r="HR24" s="68">
        <f>IF(OR($U24=0,$F24&lt;&gt;2),0,IF(HQ24&gt;0,HQ24,IF(ROUND(DS24*$J24,6)&lt;ROUND($M24,6),DS24,0)))</f>
        <v/>
      </c>
      <c r="HS24" s="68">
        <f>IF(OR($U24=0,$F24&lt;&gt;2),0,IF(HR24&gt;0,HR24,IF(ROUND(DT24*$J24,6)&lt;ROUND($M24,6),DT24,0)))</f>
        <v/>
      </c>
      <c r="HT24" s="68">
        <f>IF(OR($U24=0,$F24&lt;&gt;2),0,IF(HS24&gt;0,HS24,IF(ROUND(DU24*$J24,6)&lt;ROUND($M24,6),DU24,0)))</f>
        <v/>
      </c>
      <c r="HU24" s="68">
        <f>IF(OR($U24=0,$F24&lt;&gt;2),0,IF(HT24&gt;0,HT24,IF(ROUND(DV24*$J24,6)&lt;ROUND($M24,6),DV24,0)))</f>
        <v/>
      </c>
      <c r="HV24" s="68">
        <f>IF(OR($U24=0,$F24&lt;&gt;2),0,IF(HU24&gt;0,HU24,IF(ROUND(DW24*$J24,6)&lt;ROUND($M24,6),DW24,0)))</f>
        <v/>
      </c>
      <c r="HW24" s="68">
        <f>IF(OR($U24=0,$F24&lt;&gt;2),0,IF(HV24&gt;0,HV24,IF(ROUND(DX24*$J24,6)&lt;ROUND($M24,6),DX24,0)))</f>
        <v/>
      </c>
      <c r="HX24" s="68">
        <f>IF(OR($U24=0,$F24&lt;&gt;2),0,IF(HW24&gt;0,HW24,IF(ROUND(DY24*$J24,6)&lt;ROUND($M24,6),DY24,0)))</f>
        <v/>
      </c>
      <c r="HY24" s="68">
        <f>IF(OR($U24=0,$F24&lt;&gt;2),0,IF(HX24&gt;0,HX24,IF(ROUND(DZ24*$J24,6)&lt;ROUND($M24,6),DZ24,0)))</f>
        <v/>
      </c>
      <c r="HZ24" s="68">
        <f>IF(OR($U24=0,$F24&lt;&gt;2),0,IF(HY24&gt;0,HY24,IF(ROUND(EA24*$J24,6)&lt;ROUND($M24,6),EA24,0)))</f>
        <v/>
      </c>
      <c r="IA24" s="68">
        <f>IF(OR($U24=0,$F24&lt;&gt;2),0,IF(HZ24&gt;0,HZ24,IF(ROUND(EB24*$J24,6)&lt;ROUND($M24,6),EB24,0)))</f>
        <v/>
      </c>
      <c r="IB24" s="68">
        <f>IF(OR($U24=0,$F24&lt;&gt;2),0,IF(IA24&gt;0,IA24,IF(ROUND(EC24*$J24,6)&lt;ROUND($M24,6),EC24,0)))</f>
        <v/>
      </c>
      <c r="IC24" s="68">
        <f>IF(OR($U24=0,$F24&lt;&gt;2),0,IF(IB24&gt;0,IB24,IF(ROUND(ED24*$J24,6)&lt;ROUND($M24,6),ED24,0)))</f>
        <v/>
      </c>
      <c r="ID24" s="68">
        <f>IF(OR($U24=0,$F24&lt;&gt;2),0,IF(IC24&gt;0,IC24,IF(ROUND(EE24*$J24,6)&lt;ROUND($M24,6),EE24,0)))</f>
        <v/>
      </c>
      <c r="IE24" s="68">
        <f>IF(OR($U24=0,$F24&lt;&gt;2),0,IF(ID24&gt;0,ID24,IF(ROUND(EF24*$J24,6)&lt;ROUND($M24,6),EF24,0)))</f>
        <v/>
      </c>
      <c r="IF24" s="68">
        <f>IF(OR($U24=0,$F24&lt;&gt;2),0,IF(IE24&gt;0,IE24,IF(ROUND(EG24*$J24,6)&lt;ROUND($M24,6),EG24,0)))</f>
        <v/>
      </c>
      <c r="IG24" s="68">
        <f>IF(OR($U24=0,$F24&lt;&gt;2),0,IF(IF24&gt;0,IF24,IF(ROUND(EH24*$J24,6)&lt;ROUND($M24,6),EH24,0)))</f>
        <v/>
      </c>
      <c r="IH24" s="68">
        <f>IF(OR($U24=0,$F24&lt;&gt;2),0,IF(IG24&gt;0,IG24,IF(ROUND(EI24*$J24,6)&lt;ROUND($M24,6),EI24,0)))</f>
        <v/>
      </c>
      <c r="II24" s="68">
        <f>IF(OR($U24=0,$F24&lt;&gt;2),0,IF(IH24&gt;0,IH24,IF(ROUND(EJ24*$J24,6)&lt;ROUND($M24,6),EJ24,0)))</f>
        <v/>
      </c>
      <c r="IJ24" s="68">
        <f>IF(OR($U24=0,$F24&lt;&gt;2),0,IF(II24&gt;0,II24,IF(ROUND(EK24*$J24,6)&lt;ROUND($M24,6),EK24,0)))</f>
        <v/>
      </c>
      <c r="IK24" s="68">
        <f>IF(OR($U24=0,$F24&lt;&gt;2),0,IF(IJ24&gt;0,IJ24,IF(ROUND(EL24*$J24,6)&lt;ROUND($M24,6),EL24,0)))</f>
        <v/>
      </c>
      <c r="IL24" s="68">
        <f>IF(OR($U24=0,$F24&lt;&gt;2),0,IF(IK24&gt;0,IK24,IF(ROUND(EM24*$J24,6)&lt;ROUND($M24,6),EM24,0)))</f>
        <v/>
      </c>
      <c r="IM24" s="68">
        <f>IF(OR($U24=0,$F24&lt;&gt;2),0,IF(IL24&gt;0,IL24,IF(ROUND(EN24*$J24,6)&lt;ROUND($M24,6),EN24,0)))</f>
        <v/>
      </c>
      <c r="IN24" s="68">
        <f>IF(OR($U24=0,$F24&lt;&gt;2),0,IF(IM24&gt;0,IM24,IF(ROUND(EO24*$J24,6)&lt;ROUND($M24,6),EO24,0)))</f>
        <v/>
      </c>
    </row>
    <row r="25">
      <c r="A25" s="68" t="n">
        <v>20</v>
      </c>
      <c r="B25" s="68">
        <f>IF(OR(TRIM('固定資産台帳'!$B25)&lt;&gt;"",'固定資産台帳'!$E25&lt;&gt;"",'固定資産台帳'!$G25&lt;&gt;"",'固定資産台帳'!$H25&lt;&gt;""),1,0)</f>
        <v/>
      </c>
      <c r="C25" s="68">
        <f>IF(ISNUMBER('固定資産台帳'!$G25),MAX(ROUND('固定資産台帳'!$G25,0),0),0)</f>
        <v/>
      </c>
      <c r="D25" s="84">
        <f>IF(ISNUMBER('固定資産台帳'!$E25),INT('固定資産台帳'!$E25),0)</f>
        <v/>
      </c>
      <c r="E25" s="84">
        <f>IF(ISNUMBER('固定資産台帳'!$F25),INT('固定資産台帳'!$F25),$D25)</f>
        <v/>
      </c>
      <c r="F25" s="68">
        <f>IF('固定資産台帳'!$H25="定額法",1,IF(OR('固定資産台帳'!$H25="定率法",'固定資産台帳'!$H25="定率法（200%）",'固定資産台帳'!$H25="定率法（250%）"),2,IF('固定資産台帳'!$H25="一括償却（3年）",3,IF('固定資産台帳'!$H25="少額特例",4,0))))</f>
        <v/>
      </c>
      <c r="G25" s="68">
        <f>IF('固定資産台帳'!$H25="定率法（250%）",250,IF('固定資産台帳'!$H25="定率法（200%）",200,IF($D25&gt;=DATE(2012,4,1),200,250)))</f>
        <v/>
      </c>
      <c r="H25" s="68">
        <f>IF(ISNUMBER('固定資産台帳'!$I25),IF(AND('固定資産台帳'!$I25&gt;=2,'固定資産台帳'!$I25&lt;=100,'固定資産台帳'!$I25=INT('固定資産台帳'!$I25)),'固定資産台帳'!$I25,0),0)</f>
        <v/>
      </c>
      <c r="I25" s="68">
        <f>IF('固定資産台帳'!$C25="無形固定資産",0,1)</f>
        <v/>
      </c>
      <c r="J25" s="68">
        <f>IF(OR($H25=0,$F25=0,$F25&gt;2),0,IF($F25=1,INDEX('償却率表'!$B$6:$B$104,$H25-1),IF($G25=200,INDEX('償却率表'!$C$6:$C$104,$H25-1),INDEX('償却率表'!$F$6:$F$104,$H25-1))))</f>
        <v/>
      </c>
      <c r="K25" s="68">
        <f>IF(AND($F25=2,$H25&gt;0),IF($G25=200,INDEX('償却率表'!$D$6:$D$104,$H25-1),INDEX('償却率表'!$G$6:$G$104,$H25-1)),0)</f>
        <v/>
      </c>
      <c r="L25" s="68">
        <f>IF(AND($F25=2,$H25&gt;0),IF($G25=200,INDEX('償却率表'!$E$6:$E$104,$H25-1),INDEX('償却率表'!$H$6:$H$104,$H25-1)),0)</f>
        <v/>
      </c>
      <c r="M25" s="68">
        <f>$C25*$L25</f>
        <v/>
      </c>
      <c r="N25" s="68">
        <f>IF($B$1=1,1,IF('固定資産台帳'!$J25="",1,IF(ISNUMBER('固定資産台帳'!$J25),IF(AND('固定資産台帳'!$J25&gt;0,'固定資産台帳'!$J25&lt;=1),'固定資産台帳'!$J25,0),0)))</f>
        <v/>
      </c>
      <c r="O25" s="68">
        <f>IF($E25=0,0,YEAR($E25)-IF(MONTH($E25)&lt;$B$2,1,0))</f>
        <v/>
      </c>
      <c r="P25" s="68">
        <f>IF($E25=0,0,12-MOD(MONTH($E25)-$B$2,12))</f>
        <v/>
      </c>
      <c r="Q25" s="84">
        <f>IF(ISNUMBER('固定資産台帳'!$K25),INT('固定資産台帳'!$K25),0)</f>
        <v/>
      </c>
      <c r="R25" s="68">
        <f>IF(OR($Q25=0,$E25=0),999,YEAR($Q25)-IF(MONTH($Q25)&lt;$B$2,1,0)-$O25)</f>
        <v/>
      </c>
      <c r="S25" s="68">
        <f>IF($R25=999,0,MOD(MONTH($Q25)-$B$2,12)+1-IF($R25=0,12-$P25,0))</f>
        <v/>
      </c>
      <c r="T25" s="68">
        <f>IF($B25=0,0,IF($C25&lt;=0,1,IF($D25=0,2,IF($F25=0,3,IF(AND($F25&lt;=2,$H25=0),4,IF(AND($F25&lt;=2,$D25&lt;DATE(2007,4,1)),5,IF($E25&lt;$D25,6,IF(AND($Q25&gt;0,$Q25&lt;$E25),7,IF($N25=0,8,IF($B$3=0,9,0))))))))))</f>
        <v/>
      </c>
      <c r="U25" s="68">
        <f>IF(AND($B25=1,$T25=0),1,0)</f>
        <v/>
      </c>
      <c r="V25" s="68">
        <f>$B$3-$O25</f>
        <v/>
      </c>
      <c r="W25" s="68">
        <f>IF(AND($U25=1,$V25&gt;=0),1,0)</f>
        <v/>
      </c>
      <c r="X25" s="68">
        <f>IF($W25=0,0,IF($V25=0,$C25,INDEX($AS25:$EP25,MIN($V25,102))))</f>
        <v/>
      </c>
      <c r="Y25" s="68">
        <f>IF($W25=0,0,INDEX($AS25:$EP25,MIN($V25,101)+1))</f>
        <v/>
      </c>
      <c r="Z25" s="68">
        <f>$X25-$Y25</f>
        <v/>
      </c>
      <c r="AA25" s="68">
        <f>IF(AND($W25=1,$F25=2,$V25&gt;=1),INDEX($ER25:$IN25,MIN($V25,101)),0)</f>
        <v/>
      </c>
      <c r="AB25" s="68">
        <f>IF(OR($W25=0,$F25&gt;2,$Z25=0),0,IF($V25=0,IF($R25=0,$S25,$P25),IF($V25=$R25,$S25,12)))</f>
        <v/>
      </c>
      <c r="AC25" s="68">
        <f>IF($W25=0,0,INT(ROUND($Z25*$N25,6)+$B$4))</f>
        <v/>
      </c>
      <c r="AD25" s="68">
        <f>IF(AND($W25=1,$F25&lt;=2,$V25=$R25),1,0)</f>
        <v/>
      </c>
      <c r="AE25" s="68">
        <f>IF(AND($W25=1,$F25&lt;=2,$V25&gt;$R25),1,0)</f>
        <v/>
      </c>
      <c r="AF25" s="68">
        <f>IF(AND($W25=1,$AE25=0,OR($Z25&gt;0,$AD25=1)),1,0)</f>
        <v/>
      </c>
      <c r="AG25" s="68">
        <f>IF($AF25=1,SUM($AF$6:$AF25),0)</f>
        <v/>
      </c>
      <c r="AH25" s="68">
        <f>IF($T25=0,"",CHOOSE($T25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25" s="68">
        <f>IF(AND($F25=2,OR('固定資産台帳'!$C25="建物",'固定資産台帳'!$C25="無形固定資産",AND(OR('固定資産台帳'!$C25="建物附属設備",'固定資産台帳'!$C25="構築物"),$D25&gt;=DATE(2016,4,1)))),"この資産は定額法だけです（定率法は使えません）。","")&amp;IF(AND($F25=3,$C25&gt;=200000),"一括償却は20万円未満の資産だけです。","")&amp;IF(AND($F25=3,$B$1=0,$C25&lt;100000),"10万円未満は一括償却にせず、全額をその年の経費にします。","")&amp;IF(AND($F25=4,$C25&lt;100000),"10万円未満は少額特例ではなく、全額をその年の経費にします。","")&amp;IF(AND($F25=4,$D25&lt;DATE(2026,4,1),$C25&gt;=300000),"2026年3月31日までの取得で少額特例が使えるのは30万円未満です。","")&amp;IF(AND($F25=4,$D25&gt;=DATE(2026,4,1),$C25&gt;=400000),"少額特例は40万円未満の資産だけです。","")&amp;IF(AND($F25=4,OR($D25&lt;DATE(2006,4,1),$D25&gt;DATE(2029,3,31))),"少額特例は2006年4月1日〜2029年3月31日に取得した資産だけです。","")&amp;IF(AND($F25=2,$G25=250,$D25&gt;DATE(2012,12,31)),"250%定率法は2012年12月31日までの取得だけです。","")</f>
        <v/>
      </c>
      <c r="AJ25" s="68">
        <f>IF(AND($F25=2,'固定資産台帳'!$H25="定率法（200%）",$D25&lt;DATE(2012,4,1)),"2012年3月31日までの取得に200%を使うのは、経過措置の届出をした場合です。","")&amp;IF(AND($F25=2,'固定資産台帳'!$H25="定率法（250%）",$D25&gt;=DATE(2012,4,1),$D25&lt;=DATE(2012,12,31)),"2012年4〜12月の取得に250%を使うのは、経過措置を選んだ場合です。","")</f>
        <v/>
      </c>
      <c r="AK25" s="68">
        <f>IF($U25=0,"",IF($V25&lt;0,"表示している年より後に使い始める資産です。",IF($AE25=1,"売却・除却済みです。",IF($AD25=1,"この年に売却・除却。期末の帳簿価額 "&amp;TEXT($Y25,"#,##0")&amp;"円を帳簿から外します。",IF($F25=4,IF($V25=0,"少額特例：この年に全額を経費にします。","少額特例で経費にした資産です。"),IF($F25=3,IF($V25&gt;2,"一括償却は終わっています。","一括償却 "&amp;($V25+1)&amp;"年目（3年のうち）。"),IF($Z25=0,"償却済み（帳簿価額 "&amp;TEXT($Y25,"#,##0")&amp;"円）。",IF($AA25&gt;0,"改定償却率で計算（改定取得価額 "&amp;TEXT($AA25,"#,##0")&amp;"円）。",IF($V25=0,"この年に使い始め（"&amp;$AB25&amp;"か月分）。","")))))))))</f>
        <v/>
      </c>
      <c r="AL25" s="68">
        <f>IF(AND($U25=1,$F25=4,$V25=0),$C25,0)</f>
        <v/>
      </c>
      <c r="AM25" s="68">
        <f>IF($F25=2,INT(ROUND($M25,6)+$B$4),0)</f>
        <v/>
      </c>
      <c r="AN25" s="68">
        <f>IF($W25=0,0,IF($F25=2,IF($AA25&gt;0,$AA25,$X25),$C25))</f>
        <v/>
      </c>
      <c r="AO25" s="68">
        <f>IF($W25=0,"",IF($F25=3,"1/3",IF($F25=4,"―",IF($AA25&gt;0,$K25,$J25))))</f>
        <v/>
      </c>
      <c r="AP25" s="68" t="n"/>
      <c r="AQ25" s="68" t="n"/>
      <c r="AR25" s="68" t="n"/>
      <c r="AS25" s="68">
        <f>IF($U25=0,0,IF($F25=4,0,IF($F25=3,MAX($C25-INT(ROUND($C25/3,6)+$B$4),0),$C25-MIN(INT(ROUND($C25*$J25*IF($R25=0,$S25,$P25)/12,6)+$B$4),MAX($C25-$I25,0)))))</f>
        <v/>
      </c>
      <c r="AT25" s="68">
        <f>IF($U25=0,0,IF($F25=4,0,IF($F25=3,AS25-MIN(INT(ROUND($C25/3,6)+$B$4),AS25),IF(OR(1&gt;$R25,AS25&lt;=$I25),AS25,AS25-MIN(INT(ROUND(IF($F25=1,$C25*$J25,IF(ER25&gt;0,ER25*$K25,AS25*$J25))*IF(1=$R25,$S25,12)/12,6)+$B$4),AS25-$I25)))))</f>
        <v/>
      </c>
      <c r="AU25" s="68">
        <f>IF($U25=0,0,IF($F25=4,0,IF($F25=3,0,IF(OR(2&gt;$R25,AT25&lt;=$I25),AT25,AT25-MIN(INT(ROUND(IF($F25=1,$C25*$J25,IF(ES25&gt;0,ES25*$K25,AT25*$J25))*IF(2=$R25,$S25,12)/12,6)+$B$4),AT25-$I25)))))</f>
        <v/>
      </c>
      <c r="AV25" s="68">
        <f>IF($U25=0,0,IF($F25=4,0,IF($F25=3,0,IF(OR(3&gt;$R25,AU25&lt;=$I25),AU25,AU25-MIN(INT(ROUND(IF($F25=1,$C25*$J25,IF(ET25&gt;0,ET25*$K25,AU25*$J25))*IF(3=$R25,$S25,12)/12,6)+$B$4),AU25-$I25)))))</f>
        <v/>
      </c>
      <c r="AW25" s="68">
        <f>IF($U25=0,0,IF($F25=4,0,IF($F25=3,0,IF(OR(4&gt;$R25,AV25&lt;=$I25),AV25,AV25-MIN(INT(ROUND(IF($F25=1,$C25*$J25,IF(EU25&gt;0,EU25*$K25,AV25*$J25))*IF(4=$R25,$S25,12)/12,6)+$B$4),AV25-$I25)))))</f>
        <v/>
      </c>
      <c r="AX25" s="68">
        <f>IF($U25=0,0,IF($F25=4,0,IF($F25=3,0,IF(OR(5&gt;$R25,AW25&lt;=$I25),AW25,AW25-MIN(INT(ROUND(IF($F25=1,$C25*$J25,IF(EV25&gt;0,EV25*$K25,AW25*$J25))*IF(5=$R25,$S25,12)/12,6)+$B$4),AW25-$I25)))))</f>
        <v/>
      </c>
      <c r="AY25" s="68">
        <f>IF($U25=0,0,IF($F25=4,0,IF($F25=3,0,IF(OR(6&gt;$R25,AX25&lt;=$I25),AX25,AX25-MIN(INT(ROUND(IF($F25=1,$C25*$J25,IF(EW25&gt;0,EW25*$K25,AX25*$J25))*IF(6=$R25,$S25,12)/12,6)+$B$4),AX25-$I25)))))</f>
        <v/>
      </c>
      <c r="AZ25" s="68">
        <f>IF($U25=0,0,IF($F25=4,0,IF($F25=3,0,IF(OR(7&gt;$R25,AY25&lt;=$I25),AY25,AY25-MIN(INT(ROUND(IF($F25=1,$C25*$J25,IF(EX25&gt;0,EX25*$K25,AY25*$J25))*IF(7=$R25,$S25,12)/12,6)+$B$4),AY25-$I25)))))</f>
        <v/>
      </c>
      <c r="BA25" s="68">
        <f>IF($U25=0,0,IF($F25=4,0,IF($F25=3,0,IF(OR(8&gt;$R25,AZ25&lt;=$I25),AZ25,AZ25-MIN(INT(ROUND(IF($F25=1,$C25*$J25,IF(EY25&gt;0,EY25*$K25,AZ25*$J25))*IF(8=$R25,$S25,12)/12,6)+$B$4),AZ25-$I25)))))</f>
        <v/>
      </c>
      <c r="BB25" s="68">
        <f>IF($U25=0,0,IF($F25=4,0,IF($F25=3,0,IF(OR(9&gt;$R25,BA25&lt;=$I25),BA25,BA25-MIN(INT(ROUND(IF($F25=1,$C25*$J25,IF(EZ25&gt;0,EZ25*$K25,BA25*$J25))*IF(9=$R25,$S25,12)/12,6)+$B$4),BA25-$I25)))))</f>
        <v/>
      </c>
      <c r="BC25" s="68">
        <f>IF($U25=0,0,IF($F25=4,0,IF($F25=3,0,IF(OR(10&gt;$R25,BB25&lt;=$I25),BB25,BB25-MIN(INT(ROUND(IF($F25=1,$C25*$J25,IF(FA25&gt;0,FA25*$K25,BB25*$J25))*IF(10=$R25,$S25,12)/12,6)+$B$4),BB25-$I25)))))</f>
        <v/>
      </c>
      <c r="BD25" s="68">
        <f>IF($U25=0,0,IF($F25=4,0,IF($F25=3,0,IF(OR(11&gt;$R25,BC25&lt;=$I25),BC25,BC25-MIN(INT(ROUND(IF($F25=1,$C25*$J25,IF(FB25&gt;0,FB25*$K25,BC25*$J25))*IF(11=$R25,$S25,12)/12,6)+$B$4),BC25-$I25)))))</f>
        <v/>
      </c>
      <c r="BE25" s="68">
        <f>IF($U25=0,0,IF($F25=4,0,IF($F25=3,0,IF(OR(12&gt;$R25,BD25&lt;=$I25),BD25,BD25-MIN(INT(ROUND(IF($F25=1,$C25*$J25,IF(FC25&gt;0,FC25*$K25,BD25*$J25))*IF(12=$R25,$S25,12)/12,6)+$B$4),BD25-$I25)))))</f>
        <v/>
      </c>
      <c r="BF25" s="68">
        <f>IF($U25=0,0,IF($F25=4,0,IF($F25=3,0,IF(OR(13&gt;$R25,BE25&lt;=$I25),BE25,BE25-MIN(INT(ROUND(IF($F25=1,$C25*$J25,IF(FD25&gt;0,FD25*$K25,BE25*$J25))*IF(13=$R25,$S25,12)/12,6)+$B$4),BE25-$I25)))))</f>
        <v/>
      </c>
      <c r="BG25" s="68">
        <f>IF($U25=0,0,IF($F25=4,0,IF($F25=3,0,IF(OR(14&gt;$R25,BF25&lt;=$I25),BF25,BF25-MIN(INT(ROUND(IF($F25=1,$C25*$J25,IF(FE25&gt;0,FE25*$K25,BF25*$J25))*IF(14=$R25,$S25,12)/12,6)+$B$4),BF25-$I25)))))</f>
        <v/>
      </c>
      <c r="BH25" s="68">
        <f>IF($U25=0,0,IF($F25=4,0,IF($F25=3,0,IF(OR(15&gt;$R25,BG25&lt;=$I25),BG25,BG25-MIN(INT(ROUND(IF($F25=1,$C25*$J25,IF(FF25&gt;0,FF25*$K25,BG25*$J25))*IF(15=$R25,$S25,12)/12,6)+$B$4),BG25-$I25)))))</f>
        <v/>
      </c>
      <c r="BI25" s="68">
        <f>IF($U25=0,0,IF($F25=4,0,IF($F25=3,0,IF(OR(16&gt;$R25,BH25&lt;=$I25),BH25,BH25-MIN(INT(ROUND(IF($F25=1,$C25*$J25,IF(FG25&gt;0,FG25*$K25,BH25*$J25))*IF(16=$R25,$S25,12)/12,6)+$B$4),BH25-$I25)))))</f>
        <v/>
      </c>
      <c r="BJ25" s="68">
        <f>IF($U25=0,0,IF($F25=4,0,IF($F25=3,0,IF(OR(17&gt;$R25,BI25&lt;=$I25),BI25,BI25-MIN(INT(ROUND(IF($F25=1,$C25*$J25,IF(FH25&gt;0,FH25*$K25,BI25*$J25))*IF(17=$R25,$S25,12)/12,6)+$B$4),BI25-$I25)))))</f>
        <v/>
      </c>
      <c r="BK25" s="68">
        <f>IF($U25=0,0,IF($F25=4,0,IF($F25=3,0,IF(OR(18&gt;$R25,BJ25&lt;=$I25),BJ25,BJ25-MIN(INT(ROUND(IF($F25=1,$C25*$J25,IF(FI25&gt;0,FI25*$K25,BJ25*$J25))*IF(18=$R25,$S25,12)/12,6)+$B$4),BJ25-$I25)))))</f>
        <v/>
      </c>
      <c r="BL25" s="68">
        <f>IF($U25=0,0,IF($F25=4,0,IF($F25=3,0,IF(OR(19&gt;$R25,BK25&lt;=$I25),BK25,BK25-MIN(INT(ROUND(IF($F25=1,$C25*$J25,IF(FJ25&gt;0,FJ25*$K25,BK25*$J25))*IF(19=$R25,$S25,12)/12,6)+$B$4),BK25-$I25)))))</f>
        <v/>
      </c>
      <c r="BM25" s="68">
        <f>IF($U25=0,0,IF($F25=4,0,IF($F25=3,0,IF(OR(20&gt;$R25,BL25&lt;=$I25),BL25,BL25-MIN(INT(ROUND(IF($F25=1,$C25*$J25,IF(FK25&gt;0,FK25*$K25,BL25*$J25))*IF(20=$R25,$S25,12)/12,6)+$B$4),BL25-$I25)))))</f>
        <v/>
      </c>
      <c r="BN25" s="68">
        <f>IF($U25=0,0,IF($F25=4,0,IF($F25=3,0,IF(OR(21&gt;$R25,BM25&lt;=$I25),BM25,BM25-MIN(INT(ROUND(IF($F25=1,$C25*$J25,IF(FL25&gt;0,FL25*$K25,BM25*$J25))*IF(21=$R25,$S25,12)/12,6)+$B$4),BM25-$I25)))))</f>
        <v/>
      </c>
      <c r="BO25" s="68">
        <f>IF($U25=0,0,IF($F25=4,0,IF($F25=3,0,IF(OR(22&gt;$R25,BN25&lt;=$I25),BN25,BN25-MIN(INT(ROUND(IF($F25=1,$C25*$J25,IF(FM25&gt;0,FM25*$K25,BN25*$J25))*IF(22=$R25,$S25,12)/12,6)+$B$4),BN25-$I25)))))</f>
        <v/>
      </c>
      <c r="BP25" s="68">
        <f>IF($U25=0,0,IF($F25=4,0,IF($F25=3,0,IF(OR(23&gt;$R25,BO25&lt;=$I25),BO25,BO25-MIN(INT(ROUND(IF($F25=1,$C25*$J25,IF(FN25&gt;0,FN25*$K25,BO25*$J25))*IF(23=$R25,$S25,12)/12,6)+$B$4),BO25-$I25)))))</f>
        <v/>
      </c>
      <c r="BQ25" s="68">
        <f>IF($U25=0,0,IF($F25=4,0,IF($F25=3,0,IF(OR(24&gt;$R25,BP25&lt;=$I25),BP25,BP25-MIN(INT(ROUND(IF($F25=1,$C25*$J25,IF(FO25&gt;0,FO25*$K25,BP25*$J25))*IF(24=$R25,$S25,12)/12,6)+$B$4),BP25-$I25)))))</f>
        <v/>
      </c>
      <c r="BR25" s="68">
        <f>IF($U25=0,0,IF($F25=4,0,IF($F25=3,0,IF(OR(25&gt;$R25,BQ25&lt;=$I25),BQ25,BQ25-MIN(INT(ROUND(IF($F25=1,$C25*$J25,IF(FP25&gt;0,FP25*$K25,BQ25*$J25))*IF(25=$R25,$S25,12)/12,6)+$B$4),BQ25-$I25)))))</f>
        <v/>
      </c>
      <c r="BS25" s="68">
        <f>IF($U25=0,0,IF($F25=4,0,IF($F25=3,0,IF(OR(26&gt;$R25,BR25&lt;=$I25),BR25,BR25-MIN(INT(ROUND(IF($F25=1,$C25*$J25,IF(FQ25&gt;0,FQ25*$K25,BR25*$J25))*IF(26=$R25,$S25,12)/12,6)+$B$4),BR25-$I25)))))</f>
        <v/>
      </c>
      <c r="BT25" s="68">
        <f>IF($U25=0,0,IF($F25=4,0,IF($F25=3,0,IF(OR(27&gt;$R25,BS25&lt;=$I25),BS25,BS25-MIN(INT(ROUND(IF($F25=1,$C25*$J25,IF(FR25&gt;0,FR25*$K25,BS25*$J25))*IF(27=$R25,$S25,12)/12,6)+$B$4),BS25-$I25)))))</f>
        <v/>
      </c>
      <c r="BU25" s="68">
        <f>IF($U25=0,0,IF($F25=4,0,IF($F25=3,0,IF(OR(28&gt;$R25,BT25&lt;=$I25),BT25,BT25-MIN(INT(ROUND(IF($F25=1,$C25*$J25,IF(FS25&gt;0,FS25*$K25,BT25*$J25))*IF(28=$R25,$S25,12)/12,6)+$B$4),BT25-$I25)))))</f>
        <v/>
      </c>
      <c r="BV25" s="68">
        <f>IF($U25=0,0,IF($F25=4,0,IF($F25=3,0,IF(OR(29&gt;$R25,BU25&lt;=$I25),BU25,BU25-MIN(INT(ROUND(IF($F25=1,$C25*$J25,IF(FT25&gt;0,FT25*$K25,BU25*$J25))*IF(29=$R25,$S25,12)/12,6)+$B$4),BU25-$I25)))))</f>
        <v/>
      </c>
      <c r="BW25" s="68">
        <f>IF($U25=0,0,IF($F25=4,0,IF($F25=3,0,IF(OR(30&gt;$R25,BV25&lt;=$I25),BV25,BV25-MIN(INT(ROUND(IF($F25=1,$C25*$J25,IF(FU25&gt;0,FU25*$K25,BV25*$J25))*IF(30=$R25,$S25,12)/12,6)+$B$4),BV25-$I25)))))</f>
        <v/>
      </c>
      <c r="BX25" s="68">
        <f>IF($U25=0,0,IF($F25=4,0,IF($F25=3,0,IF(OR(31&gt;$R25,BW25&lt;=$I25),BW25,BW25-MIN(INT(ROUND(IF($F25=1,$C25*$J25,IF(FV25&gt;0,FV25*$K25,BW25*$J25))*IF(31=$R25,$S25,12)/12,6)+$B$4),BW25-$I25)))))</f>
        <v/>
      </c>
      <c r="BY25" s="68">
        <f>IF($U25=0,0,IF($F25=4,0,IF($F25=3,0,IF(OR(32&gt;$R25,BX25&lt;=$I25),BX25,BX25-MIN(INT(ROUND(IF($F25=1,$C25*$J25,IF(FW25&gt;0,FW25*$K25,BX25*$J25))*IF(32=$R25,$S25,12)/12,6)+$B$4),BX25-$I25)))))</f>
        <v/>
      </c>
      <c r="BZ25" s="68">
        <f>IF($U25=0,0,IF($F25=4,0,IF($F25=3,0,IF(OR(33&gt;$R25,BY25&lt;=$I25),BY25,BY25-MIN(INT(ROUND(IF($F25=1,$C25*$J25,IF(FX25&gt;0,FX25*$K25,BY25*$J25))*IF(33=$R25,$S25,12)/12,6)+$B$4),BY25-$I25)))))</f>
        <v/>
      </c>
      <c r="CA25" s="68">
        <f>IF($U25=0,0,IF($F25=4,0,IF($F25=3,0,IF(OR(34&gt;$R25,BZ25&lt;=$I25),BZ25,BZ25-MIN(INT(ROUND(IF($F25=1,$C25*$J25,IF(FY25&gt;0,FY25*$K25,BZ25*$J25))*IF(34=$R25,$S25,12)/12,6)+$B$4),BZ25-$I25)))))</f>
        <v/>
      </c>
      <c r="CB25" s="68">
        <f>IF($U25=0,0,IF($F25=4,0,IF($F25=3,0,IF(OR(35&gt;$R25,CA25&lt;=$I25),CA25,CA25-MIN(INT(ROUND(IF($F25=1,$C25*$J25,IF(FZ25&gt;0,FZ25*$K25,CA25*$J25))*IF(35=$R25,$S25,12)/12,6)+$B$4),CA25-$I25)))))</f>
        <v/>
      </c>
      <c r="CC25" s="68">
        <f>IF($U25=0,0,IF($F25=4,0,IF($F25=3,0,IF(OR(36&gt;$R25,CB25&lt;=$I25),CB25,CB25-MIN(INT(ROUND(IF($F25=1,$C25*$J25,IF(GA25&gt;0,GA25*$K25,CB25*$J25))*IF(36=$R25,$S25,12)/12,6)+$B$4),CB25-$I25)))))</f>
        <v/>
      </c>
      <c r="CD25" s="68">
        <f>IF($U25=0,0,IF($F25=4,0,IF($F25=3,0,IF(OR(37&gt;$R25,CC25&lt;=$I25),CC25,CC25-MIN(INT(ROUND(IF($F25=1,$C25*$J25,IF(GB25&gt;0,GB25*$K25,CC25*$J25))*IF(37=$R25,$S25,12)/12,6)+$B$4),CC25-$I25)))))</f>
        <v/>
      </c>
      <c r="CE25" s="68">
        <f>IF($U25=0,0,IF($F25=4,0,IF($F25=3,0,IF(OR(38&gt;$R25,CD25&lt;=$I25),CD25,CD25-MIN(INT(ROUND(IF($F25=1,$C25*$J25,IF(GC25&gt;0,GC25*$K25,CD25*$J25))*IF(38=$R25,$S25,12)/12,6)+$B$4),CD25-$I25)))))</f>
        <v/>
      </c>
      <c r="CF25" s="68">
        <f>IF($U25=0,0,IF($F25=4,0,IF($F25=3,0,IF(OR(39&gt;$R25,CE25&lt;=$I25),CE25,CE25-MIN(INT(ROUND(IF($F25=1,$C25*$J25,IF(GD25&gt;0,GD25*$K25,CE25*$J25))*IF(39=$R25,$S25,12)/12,6)+$B$4),CE25-$I25)))))</f>
        <v/>
      </c>
      <c r="CG25" s="68">
        <f>IF($U25=0,0,IF($F25=4,0,IF($F25=3,0,IF(OR(40&gt;$R25,CF25&lt;=$I25),CF25,CF25-MIN(INT(ROUND(IF($F25=1,$C25*$J25,IF(GE25&gt;0,GE25*$K25,CF25*$J25))*IF(40=$R25,$S25,12)/12,6)+$B$4),CF25-$I25)))))</f>
        <v/>
      </c>
      <c r="CH25" s="68">
        <f>IF($U25=0,0,IF($F25=4,0,IF($F25=3,0,IF(OR(41&gt;$R25,CG25&lt;=$I25),CG25,CG25-MIN(INT(ROUND(IF($F25=1,$C25*$J25,IF(GF25&gt;0,GF25*$K25,CG25*$J25))*IF(41=$R25,$S25,12)/12,6)+$B$4),CG25-$I25)))))</f>
        <v/>
      </c>
      <c r="CI25" s="68">
        <f>IF($U25=0,0,IF($F25=4,0,IF($F25=3,0,IF(OR(42&gt;$R25,CH25&lt;=$I25),CH25,CH25-MIN(INT(ROUND(IF($F25=1,$C25*$J25,IF(GG25&gt;0,GG25*$K25,CH25*$J25))*IF(42=$R25,$S25,12)/12,6)+$B$4),CH25-$I25)))))</f>
        <v/>
      </c>
      <c r="CJ25" s="68">
        <f>IF($U25=0,0,IF($F25=4,0,IF($F25=3,0,IF(OR(43&gt;$R25,CI25&lt;=$I25),CI25,CI25-MIN(INT(ROUND(IF($F25=1,$C25*$J25,IF(GH25&gt;0,GH25*$K25,CI25*$J25))*IF(43=$R25,$S25,12)/12,6)+$B$4),CI25-$I25)))))</f>
        <v/>
      </c>
      <c r="CK25" s="68">
        <f>IF($U25=0,0,IF($F25=4,0,IF($F25=3,0,IF(OR(44&gt;$R25,CJ25&lt;=$I25),CJ25,CJ25-MIN(INT(ROUND(IF($F25=1,$C25*$J25,IF(GI25&gt;0,GI25*$K25,CJ25*$J25))*IF(44=$R25,$S25,12)/12,6)+$B$4),CJ25-$I25)))))</f>
        <v/>
      </c>
      <c r="CL25" s="68">
        <f>IF($U25=0,0,IF($F25=4,0,IF($F25=3,0,IF(OR(45&gt;$R25,CK25&lt;=$I25),CK25,CK25-MIN(INT(ROUND(IF($F25=1,$C25*$J25,IF(GJ25&gt;0,GJ25*$K25,CK25*$J25))*IF(45=$R25,$S25,12)/12,6)+$B$4),CK25-$I25)))))</f>
        <v/>
      </c>
      <c r="CM25" s="68">
        <f>IF($U25=0,0,IF($F25=4,0,IF($F25=3,0,IF(OR(46&gt;$R25,CL25&lt;=$I25),CL25,CL25-MIN(INT(ROUND(IF($F25=1,$C25*$J25,IF(GK25&gt;0,GK25*$K25,CL25*$J25))*IF(46=$R25,$S25,12)/12,6)+$B$4),CL25-$I25)))))</f>
        <v/>
      </c>
      <c r="CN25" s="68">
        <f>IF($U25=0,0,IF($F25=4,0,IF($F25=3,0,IF(OR(47&gt;$R25,CM25&lt;=$I25),CM25,CM25-MIN(INT(ROUND(IF($F25=1,$C25*$J25,IF(GL25&gt;0,GL25*$K25,CM25*$J25))*IF(47=$R25,$S25,12)/12,6)+$B$4),CM25-$I25)))))</f>
        <v/>
      </c>
      <c r="CO25" s="68">
        <f>IF($U25=0,0,IF($F25=4,0,IF($F25=3,0,IF(OR(48&gt;$R25,CN25&lt;=$I25),CN25,CN25-MIN(INT(ROUND(IF($F25=1,$C25*$J25,IF(GM25&gt;0,GM25*$K25,CN25*$J25))*IF(48=$R25,$S25,12)/12,6)+$B$4),CN25-$I25)))))</f>
        <v/>
      </c>
      <c r="CP25" s="68">
        <f>IF($U25=0,0,IF($F25=4,0,IF($F25=3,0,IF(OR(49&gt;$R25,CO25&lt;=$I25),CO25,CO25-MIN(INT(ROUND(IF($F25=1,$C25*$J25,IF(GN25&gt;0,GN25*$K25,CO25*$J25))*IF(49=$R25,$S25,12)/12,6)+$B$4),CO25-$I25)))))</f>
        <v/>
      </c>
      <c r="CQ25" s="68">
        <f>IF($U25=0,0,IF($F25=4,0,IF($F25=3,0,IF(OR(50&gt;$R25,CP25&lt;=$I25),CP25,CP25-MIN(INT(ROUND(IF($F25=1,$C25*$J25,IF(GO25&gt;0,GO25*$K25,CP25*$J25))*IF(50=$R25,$S25,12)/12,6)+$B$4),CP25-$I25)))))</f>
        <v/>
      </c>
      <c r="CR25" s="68">
        <f>IF($U25=0,0,IF($F25=4,0,IF($F25=3,0,IF(OR(51&gt;$R25,CQ25&lt;=$I25),CQ25,CQ25-MIN(INT(ROUND(IF($F25=1,$C25*$J25,IF(GP25&gt;0,GP25*$K25,CQ25*$J25))*IF(51=$R25,$S25,12)/12,6)+$B$4),CQ25-$I25)))))</f>
        <v/>
      </c>
      <c r="CS25" s="68">
        <f>IF($U25=0,0,IF($F25=4,0,IF($F25=3,0,IF(OR(52&gt;$R25,CR25&lt;=$I25),CR25,CR25-MIN(INT(ROUND(IF($F25=1,$C25*$J25,IF(GQ25&gt;0,GQ25*$K25,CR25*$J25))*IF(52=$R25,$S25,12)/12,6)+$B$4),CR25-$I25)))))</f>
        <v/>
      </c>
      <c r="CT25" s="68">
        <f>IF($U25=0,0,IF($F25=4,0,IF($F25=3,0,IF(OR(53&gt;$R25,CS25&lt;=$I25),CS25,CS25-MIN(INT(ROUND(IF($F25=1,$C25*$J25,IF(GR25&gt;0,GR25*$K25,CS25*$J25))*IF(53=$R25,$S25,12)/12,6)+$B$4),CS25-$I25)))))</f>
        <v/>
      </c>
      <c r="CU25" s="68">
        <f>IF($U25=0,0,IF($F25=4,0,IF($F25=3,0,IF(OR(54&gt;$R25,CT25&lt;=$I25),CT25,CT25-MIN(INT(ROUND(IF($F25=1,$C25*$J25,IF(GS25&gt;0,GS25*$K25,CT25*$J25))*IF(54=$R25,$S25,12)/12,6)+$B$4),CT25-$I25)))))</f>
        <v/>
      </c>
      <c r="CV25" s="68">
        <f>IF($U25=0,0,IF($F25=4,0,IF($F25=3,0,IF(OR(55&gt;$R25,CU25&lt;=$I25),CU25,CU25-MIN(INT(ROUND(IF($F25=1,$C25*$J25,IF(GT25&gt;0,GT25*$K25,CU25*$J25))*IF(55=$R25,$S25,12)/12,6)+$B$4),CU25-$I25)))))</f>
        <v/>
      </c>
      <c r="CW25" s="68">
        <f>IF($U25=0,0,IF($F25=4,0,IF($F25=3,0,IF(OR(56&gt;$R25,CV25&lt;=$I25),CV25,CV25-MIN(INT(ROUND(IF($F25=1,$C25*$J25,IF(GU25&gt;0,GU25*$K25,CV25*$J25))*IF(56=$R25,$S25,12)/12,6)+$B$4),CV25-$I25)))))</f>
        <v/>
      </c>
      <c r="CX25" s="68">
        <f>IF($U25=0,0,IF($F25=4,0,IF($F25=3,0,IF(OR(57&gt;$R25,CW25&lt;=$I25),CW25,CW25-MIN(INT(ROUND(IF($F25=1,$C25*$J25,IF(GV25&gt;0,GV25*$K25,CW25*$J25))*IF(57=$R25,$S25,12)/12,6)+$B$4),CW25-$I25)))))</f>
        <v/>
      </c>
      <c r="CY25" s="68">
        <f>IF($U25=0,0,IF($F25=4,0,IF($F25=3,0,IF(OR(58&gt;$R25,CX25&lt;=$I25),CX25,CX25-MIN(INT(ROUND(IF($F25=1,$C25*$J25,IF(GW25&gt;0,GW25*$K25,CX25*$J25))*IF(58=$R25,$S25,12)/12,6)+$B$4),CX25-$I25)))))</f>
        <v/>
      </c>
      <c r="CZ25" s="68">
        <f>IF($U25=0,0,IF($F25=4,0,IF($F25=3,0,IF(OR(59&gt;$R25,CY25&lt;=$I25),CY25,CY25-MIN(INT(ROUND(IF($F25=1,$C25*$J25,IF(GX25&gt;0,GX25*$K25,CY25*$J25))*IF(59=$R25,$S25,12)/12,6)+$B$4),CY25-$I25)))))</f>
        <v/>
      </c>
      <c r="DA25" s="68">
        <f>IF($U25=0,0,IF($F25=4,0,IF($F25=3,0,IF(OR(60&gt;$R25,CZ25&lt;=$I25),CZ25,CZ25-MIN(INT(ROUND(IF($F25=1,$C25*$J25,IF(GY25&gt;0,GY25*$K25,CZ25*$J25))*IF(60=$R25,$S25,12)/12,6)+$B$4),CZ25-$I25)))))</f>
        <v/>
      </c>
      <c r="DB25" s="68">
        <f>IF($U25=0,0,IF($F25=4,0,IF($F25=3,0,IF(OR(61&gt;$R25,DA25&lt;=$I25),DA25,DA25-MIN(INT(ROUND(IF($F25=1,$C25*$J25,IF(GZ25&gt;0,GZ25*$K25,DA25*$J25))*IF(61=$R25,$S25,12)/12,6)+$B$4),DA25-$I25)))))</f>
        <v/>
      </c>
      <c r="DC25" s="68">
        <f>IF($U25=0,0,IF($F25=4,0,IF($F25=3,0,IF(OR(62&gt;$R25,DB25&lt;=$I25),DB25,DB25-MIN(INT(ROUND(IF($F25=1,$C25*$J25,IF(HA25&gt;0,HA25*$K25,DB25*$J25))*IF(62=$R25,$S25,12)/12,6)+$B$4),DB25-$I25)))))</f>
        <v/>
      </c>
      <c r="DD25" s="68">
        <f>IF($U25=0,0,IF($F25=4,0,IF($F25=3,0,IF(OR(63&gt;$R25,DC25&lt;=$I25),DC25,DC25-MIN(INT(ROUND(IF($F25=1,$C25*$J25,IF(HB25&gt;0,HB25*$K25,DC25*$J25))*IF(63=$R25,$S25,12)/12,6)+$B$4),DC25-$I25)))))</f>
        <v/>
      </c>
      <c r="DE25" s="68">
        <f>IF($U25=0,0,IF($F25=4,0,IF($F25=3,0,IF(OR(64&gt;$R25,DD25&lt;=$I25),DD25,DD25-MIN(INT(ROUND(IF($F25=1,$C25*$J25,IF(HC25&gt;0,HC25*$K25,DD25*$J25))*IF(64=$R25,$S25,12)/12,6)+$B$4),DD25-$I25)))))</f>
        <v/>
      </c>
      <c r="DF25" s="68">
        <f>IF($U25=0,0,IF($F25=4,0,IF($F25=3,0,IF(OR(65&gt;$R25,DE25&lt;=$I25),DE25,DE25-MIN(INT(ROUND(IF($F25=1,$C25*$J25,IF(HD25&gt;0,HD25*$K25,DE25*$J25))*IF(65=$R25,$S25,12)/12,6)+$B$4),DE25-$I25)))))</f>
        <v/>
      </c>
      <c r="DG25" s="68">
        <f>IF($U25=0,0,IF($F25=4,0,IF($F25=3,0,IF(OR(66&gt;$R25,DF25&lt;=$I25),DF25,DF25-MIN(INT(ROUND(IF($F25=1,$C25*$J25,IF(HE25&gt;0,HE25*$K25,DF25*$J25))*IF(66=$R25,$S25,12)/12,6)+$B$4),DF25-$I25)))))</f>
        <v/>
      </c>
      <c r="DH25" s="68">
        <f>IF($U25=0,0,IF($F25=4,0,IF($F25=3,0,IF(OR(67&gt;$R25,DG25&lt;=$I25),DG25,DG25-MIN(INT(ROUND(IF($F25=1,$C25*$J25,IF(HF25&gt;0,HF25*$K25,DG25*$J25))*IF(67=$R25,$S25,12)/12,6)+$B$4),DG25-$I25)))))</f>
        <v/>
      </c>
      <c r="DI25" s="68">
        <f>IF($U25=0,0,IF($F25=4,0,IF($F25=3,0,IF(OR(68&gt;$R25,DH25&lt;=$I25),DH25,DH25-MIN(INT(ROUND(IF($F25=1,$C25*$J25,IF(HG25&gt;0,HG25*$K25,DH25*$J25))*IF(68=$R25,$S25,12)/12,6)+$B$4),DH25-$I25)))))</f>
        <v/>
      </c>
      <c r="DJ25" s="68">
        <f>IF($U25=0,0,IF($F25=4,0,IF($F25=3,0,IF(OR(69&gt;$R25,DI25&lt;=$I25),DI25,DI25-MIN(INT(ROUND(IF($F25=1,$C25*$J25,IF(HH25&gt;0,HH25*$K25,DI25*$J25))*IF(69=$R25,$S25,12)/12,6)+$B$4),DI25-$I25)))))</f>
        <v/>
      </c>
      <c r="DK25" s="68">
        <f>IF($U25=0,0,IF($F25=4,0,IF($F25=3,0,IF(OR(70&gt;$R25,DJ25&lt;=$I25),DJ25,DJ25-MIN(INT(ROUND(IF($F25=1,$C25*$J25,IF(HI25&gt;0,HI25*$K25,DJ25*$J25))*IF(70=$R25,$S25,12)/12,6)+$B$4),DJ25-$I25)))))</f>
        <v/>
      </c>
      <c r="DL25" s="68">
        <f>IF($U25=0,0,IF($F25=4,0,IF($F25=3,0,IF(OR(71&gt;$R25,DK25&lt;=$I25),DK25,DK25-MIN(INT(ROUND(IF($F25=1,$C25*$J25,IF(HJ25&gt;0,HJ25*$K25,DK25*$J25))*IF(71=$R25,$S25,12)/12,6)+$B$4),DK25-$I25)))))</f>
        <v/>
      </c>
      <c r="DM25" s="68">
        <f>IF($U25=0,0,IF($F25=4,0,IF($F25=3,0,IF(OR(72&gt;$R25,DL25&lt;=$I25),DL25,DL25-MIN(INT(ROUND(IF($F25=1,$C25*$J25,IF(HK25&gt;0,HK25*$K25,DL25*$J25))*IF(72=$R25,$S25,12)/12,6)+$B$4),DL25-$I25)))))</f>
        <v/>
      </c>
      <c r="DN25" s="68">
        <f>IF($U25=0,0,IF($F25=4,0,IF($F25=3,0,IF(OR(73&gt;$R25,DM25&lt;=$I25),DM25,DM25-MIN(INT(ROUND(IF($F25=1,$C25*$J25,IF(HL25&gt;0,HL25*$K25,DM25*$J25))*IF(73=$R25,$S25,12)/12,6)+$B$4),DM25-$I25)))))</f>
        <v/>
      </c>
      <c r="DO25" s="68">
        <f>IF($U25=0,0,IF($F25=4,0,IF($F25=3,0,IF(OR(74&gt;$R25,DN25&lt;=$I25),DN25,DN25-MIN(INT(ROUND(IF($F25=1,$C25*$J25,IF(HM25&gt;0,HM25*$K25,DN25*$J25))*IF(74=$R25,$S25,12)/12,6)+$B$4),DN25-$I25)))))</f>
        <v/>
      </c>
      <c r="DP25" s="68">
        <f>IF($U25=0,0,IF($F25=4,0,IF($F25=3,0,IF(OR(75&gt;$R25,DO25&lt;=$I25),DO25,DO25-MIN(INT(ROUND(IF($F25=1,$C25*$J25,IF(HN25&gt;0,HN25*$K25,DO25*$J25))*IF(75=$R25,$S25,12)/12,6)+$B$4),DO25-$I25)))))</f>
        <v/>
      </c>
      <c r="DQ25" s="68">
        <f>IF($U25=0,0,IF($F25=4,0,IF($F25=3,0,IF(OR(76&gt;$R25,DP25&lt;=$I25),DP25,DP25-MIN(INT(ROUND(IF($F25=1,$C25*$J25,IF(HO25&gt;0,HO25*$K25,DP25*$J25))*IF(76=$R25,$S25,12)/12,6)+$B$4),DP25-$I25)))))</f>
        <v/>
      </c>
      <c r="DR25" s="68">
        <f>IF($U25=0,0,IF($F25=4,0,IF($F25=3,0,IF(OR(77&gt;$R25,DQ25&lt;=$I25),DQ25,DQ25-MIN(INT(ROUND(IF($F25=1,$C25*$J25,IF(HP25&gt;0,HP25*$K25,DQ25*$J25))*IF(77=$R25,$S25,12)/12,6)+$B$4),DQ25-$I25)))))</f>
        <v/>
      </c>
      <c r="DS25" s="68">
        <f>IF($U25=0,0,IF($F25=4,0,IF($F25=3,0,IF(OR(78&gt;$R25,DR25&lt;=$I25),DR25,DR25-MIN(INT(ROUND(IF($F25=1,$C25*$J25,IF(HQ25&gt;0,HQ25*$K25,DR25*$J25))*IF(78=$R25,$S25,12)/12,6)+$B$4),DR25-$I25)))))</f>
        <v/>
      </c>
      <c r="DT25" s="68">
        <f>IF($U25=0,0,IF($F25=4,0,IF($F25=3,0,IF(OR(79&gt;$R25,DS25&lt;=$I25),DS25,DS25-MIN(INT(ROUND(IF($F25=1,$C25*$J25,IF(HR25&gt;0,HR25*$K25,DS25*$J25))*IF(79=$R25,$S25,12)/12,6)+$B$4),DS25-$I25)))))</f>
        <v/>
      </c>
      <c r="DU25" s="68">
        <f>IF($U25=0,0,IF($F25=4,0,IF($F25=3,0,IF(OR(80&gt;$R25,DT25&lt;=$I25),DT25,DT25-MIN(INT(ROUND(IF($F25=1,$C25*$J25,IF(HS25&gt;0,HS25*$K25,DT25*$J25))*IF(80=$R25,$S25,12)/12,6)+$B$4),DT25-$I25)))))</f>
        <v/>
      </c>
      <c r="DV25" s="68">
        <f>IF($U25=0,0,IF($F25=4,0,IF($F25=3,0,IF(OR(81&gt;$R25,DU25&lt;=$I25),DU25,DU25-MIN(INT(ROUND(IF($F25=1,$C25*$J25,IF(HT25&gt;0,HT25*$K25,DU25*$J25))*IF(81=$R25,$S25,12)/12,6)+$B$4),DU25-$I25)))))</f>
        <v/>
      </c>
      <c r="DW25" s="68">
        <f>IF($U25=0,0,IF($F25=4,0,IF($F25=3,0,IF(OR(82&gt;$R25,DV25&lt;=$I25),DV25,DV25-MIN(INT(ROUND(IF($F25=1,$C25*$J25,IF(HU25&gt;0,HU25*$K25,DV25*$J25))*IF(82=$R25,$S25,12)/12,6)+$B$4),DV25-$I25)))))</f>
        <v/>
      </c>
      <c r="DX25" s="68">
        <f>IF($U25=0,0,IF($F25=4,0,IF($F25=3,0,IF(OR(83&gt;$R25,DW25&lt;=$I25),DW25,DW25-MIN(INT(ROUND(IF($F25=1,$C25*$J25,IF(HV25&gt;0,HV25*$K25,DW25*$J25))*IF(83=$R25,$S25,12)/12,6)+$B$4),DW25-$I25)))))</f>
        <v/>
      </c>
      <c r="DY25" s="68">
        <f>IF($U25=0,0,IF($F25=4,0,IF($F25=3,0,IF(OR(84&gt;$R25,DX25&lt;=$I25),DX25,DX25-MIN(INT(ROUND(IF($F25=1,$C25*$J25,IF(HW25&gt;0,HW25*$K25,DX25*$J25))*IF(84=$R25,$S25,12)/12,6)+$B$4),DX25-$I25)))))</f>
        <v/>
      </c>
      <c r="DZ25" s="68">
        <f>IF($U25=0,0,IF($F25=4,0,IF($F25=3,0,IF(OR(85&gt;$R25,DY25&lt;=$I25),DY25,DY25-MIN(INT(ROUND(IF($F25=1,$C25*$J25,IF(HX25&gt;0,HX25*$K25,DY25*$J25))*IF(85=$R25,$S25,12)/12,6)+$B$4),DY25-$I25)))))</f>
        <v/>
      </c>
      <c r="EA25" s="68">
        <f>IF($U25=0,0,IF($F25=4,0,IF($F25=3,0,IF(OR(86&gt;$R25,DZ25&lt;=$I25),DZ25,DZ25-MIN(INT(ROUND(IF($F25=1,$C25*$J25,IF(HY25&gt;0,HY25*$K25,DZ25*$J25))*IF(86=$R25,$S25,12)/12,6)+$B$4),DZ25-$I25)))))</f>
        <v/>
      </c>
      <c r="EB25" s="68">
        <f>IF($U25=0,0,IF($F25=4,0,IF($F25=3,0,IF(OR(87&gt;$R25,EA25&lt;=$I25),EA25,EA25-MIN(INT(ROUND(IF($F25=1,$C25*$J25,IF(HZ25&gt;0,HZ25*$K25,EA25*$J25))*IF(87=$R25,$S25,12)/12,6)+$B$4),EA25-$I25)))))</f>
        <v/>
      </c>
      <c r="EC25" s="68">
        <f>IF($U25=0,0,IF($F25=4,0,IF($F25=3,0,IF(OR(88&gt;$R25,EB25&lt;=$I25),EB25,EB25-MIN(INT(ROUND(IF($F25=1,$C25*$J25,IF(IA25&gt;0,IA25*$K25,EB25*$J25))*IF(88=$R25,$S25,12)/12,6)+$B$4),EB25-$I25)))))</f>
        <v/>
      </c>
      <c r="ED25" s="68">
        <f>IF($U25=0,0,IF($F25=4,0,IF($F25=3,0,IF(OR(89&gt;$R25,EC25&lt;=$I25),EC25,EC25-MIN(INT(ROUND(IF($F25=1,$C25*$J25,IF(IB25&gt;0,IB25*$K25,EC25*$J25))*IF(89=$R25,$S25,12)/12,6)+$B$4),EC25-$I25)))))</f>
        <v/>
      </c>
      <c r="EE25" s="68">
        <f>IF($U25=0,0,IF($F25=4,0,IF($F25=3,0,IF(OR(90&gt;$R25,ED25&lt;=$I25),ED25,ED25-MIN(INT(ROUND(IF($F25=1,$C25*$J25,IF(IC25&gt;0,IC25*$K25,ED25*$J25))*IF(90=$R25,$S25,12)/12,6)+$B$4),ED25-$I25)))))</f>
        <v/>
      </c>
      <c r="EF25" s="68">
        <f>IF($U25=0,0,IF($F25=4,0,IF($F25=3,0,IF(OR(91&gt;$R25,EE25&lt;=$I25),EE25,EE25-MIN(INT(ROUND(IF($F25=1,$C25*$J25,IF(ID25&gt;0,ID25*$K25,EE25*$J25))*IF(91=$R25,$S25,12)/12,6)+$B$4),EE25-$I25)))))</f>
        <v/>
      </c>
      <c r="EG25" s="68">
        <f>IF($U25=0,0,IF($F25=4,0,IF($F25=3,0,IF(OR(92&gt;$R25,EF25&lt;=$I25),EF25,EF25-MIN(INT(ROUND(IF($F25=1,$C25*$J25,IF(IE25&gt;0,IE25*$K25,EF25*$J25))*IF(92=$R25,$S25,12)/12,6)+$B$4),EF25-$I25)))))</f>
        <v/>
      </c>
      <c r="EH25" s="68">
        <f>IF($U25=0,0,IF($F25=4,0,IF($F25=3,0,IF(OR(93&gt;$R25,EG25&lt;=$I25),EG25,EG25-MIN(INT(ROUND(IF($F25=1,$C25*$J25,IF(IF25&gt;0,IF25*$K25,EG25*$J25))*IF(93=$R25,$S25,12)/12,6)+$B$4),EG25-$I25)))))</f>
        <v/>
      </c>
      <c r="EI25" s="68">
        <f>IF($U25=0,0,IF($F25=4,0,IF($F25=3,0,IF(OR(94&gt;$R25,EH25&lt;=$I25),EH25,EH25-MIN(INT(ROUND(IF($F25=1,$C25*$J25,IF(IG25&gt;0,IG25*$K25,EH25*$J25))*IF(94=$R25,$S25,12)/12,6)+$B$4),EH25-$I25)))))</f>
        <v/>
      </c>
      <c r="EJ25" s="68">
        <f>IF($U25=0,0,IF($F25=4,0,IF($F25=3,0,IF(OR(95&gt;$R25,EI25&lt;=$I25),EI25,EI25-MIN(INT(ROUND(IF($F25=1,$C25*$J25,IF(IH25&gt;0,IH25*$K25,EI25*$J25))*IF(95=$R25,$S25,12)/12,6)+$B$4),EI25-$I25)))))</f>
        <v/>
      </c>
      <c r="EK25" s="68">
        <f>IF($U25=0,0,IF($F25=4,0,IF($F25=3,0,IF(OR(96&gt;$R25,EJ25&lt;=$I25),EJ25,EJ25-MIN(INT(ROUND(IF($F25=1,$C25*$J25,IF(II25&gt;0,II25*$K25,EJ25*$J25))*IF(96=$R25,$S25,12)/12,6)+$B$4),EJ25-$I25)))))</f>
        <v/>
      </c>
      <c r="EL25" s="68">
        <f>IF($U25=0,0,IF($F25=4,0,IF($F25=3,0,IF(OR(97&gt;$R25,EK25&lt;=$I25),EK25,EK25-MIN(INT(ROUND(IF($F25=1,$C25*$J25,IF(IJ25&gt;0,IJ25*$K25,EK25*$J25))*IF(97=$R25,$S25,12)/12,6)+$B$4),EK25-$I25)))))</f>
        <v/>
      </c>
      <c r="EM25" s="68">
        <f>IF($U25=0,0,IF($F25=4,0,IF($F25=3,0,IF(OR(98&gt;$R25,EL25&lt;=$I25),EL25,EL25-MIN(INT(ROUND(IF($F25=1,$C25*$J25,IF(IK25&gt;0,IK25*$K25,EL25*$J25))*IF(98=$R25,$S25,12)/12,6)+$B$4),EL25-$I25)))))</f>
        <v/>
      </c>
      <c r="EN25" s="68">
        <f>IF($U25=0,0,IF($F25=4,0,IF($F25=3,0,IF(OR(99&gt;$R25,EM25&lt;=$I25),EM25,EM25-MIN(INT(ROUND(IF($F25=1,$C25*$J25,IF(IL25&gt;0,IL25*$K25,EM25*$J25))*IF(99=$R25,$S25,12)/12,6)+$B$4),EM25-$I25)))))</f>
        <v/>
      </c>
      <c r="EO25" s="68">
        <f>IF($U25=0,0,IF($F25=4,0,IF($F25=3,0,IF(OR(100&gt;$R25,EN25&lt;=$I25),EN25,EN25-MIN(INT(ROUND(IF($F25=1,$C25*$J25,IF(IM25&gt;0,IM25*$K25,EN25*$J25))*IF(100=$R25,$S25,12)/12,6)+$B$4),EN25-$I25)))))</f>
        <v/>
      </c>
      <c r="EP25" s="68">
        <f>IF($U25=0,0,IF($F25=4,0,IF($F25=3,0,IF(OR(101&gt;$R25,EO25&lt;=$I25),EO25,EO25-MIN(INT(ROUND(IF($F25=1,$C25*$J25,IF(IN25&gt;0,IN25*$K25,EO25*$J25))*IF(101=$R25,$S25,12)/12,6)+$B$4),EO25-$I25)))))</f>
        <v/>
      </c>
      <c r="EQ25" s="68" t="n"/>
      <c r="ER25" s="68">
        <f>IF(OR($U25=0,$F25&lt;&gt;2),0,IF(ROUND(AS25*$J25,6)&lt;ROUND($M25,6),AS25,0))</f>
        <v/>
      </c>
      <c r="ES25" s="68">
        <f>IF(OR($U25=0,$F25&lt;&gt;2),0,IF(ER25&gt;0,ER25,IF(ROUND(AT25*$J25,6)&lt;ROUND($M25,6),AT25,0)))</f>
        <v/>
      </c>
      <c r="ET25" s="68">
        <f>IF(OR($U25=0,$F25&lt;&gt;2),0,IF(ES25&gt;0,ES25,IF(ROUND(AU25*$J25,6)&lt;ROUND($M25,6),AU25,0)))</f>
        <v/>
      </c>
      <c r="EU25" s="68">
        <f>IF(OR($U25=0,$F25&lt;&gt;2),0,IF(ET25&gt;0,ET25,IF(ROUND(AV25*$J25,6)&lt;ROUND($M25,6),AV25,0)))</f>
        <v/>
      </c>
      <c r="EV25" s="68">
        <f>IF(OR($U25=0,$F25&lt;&gt;2),0,IF(EU25&gt;0,EU25,IF(ROUND(AW25*$J25,6)&lt;ROUND($M25,6),AW25,0)))</f>
        <v/>
      </c>
      <c r="EW25" s="68">
        <f>IF(OR($U25=0,$F25&lt;&gt;2),0,IF(EV25&gt;0,EV25,IF(ROUND(AX25*$J25,6)&lt;ROUND($M25,6),AX25,0)))</f>
        <v/>
      </c>
      <c r="EX25" s="68">
        <f>IF(OR($U25=0,$F25&lt;&gt;2),0,IF(EW25&gt;0,EW25,IF(ROUND(AY25*$J25,6)&lt;ROUND($M25,6),AY25,0)))</f>
        <v/>
      </c>
      <c r="EY25" s="68">
        <f>IF(OR($U25=0,$F25&lt;&gt;2),0,IF(EX25&gt;0,EX25,IF(ROUND(AZ25*$J25,6)&lt;ROUND($M25,6),AZ25,0)))</f>
        <v/>
      </c>
      <c r="EZ25" s="68">
        <f>IF(OR($U25=0,$F25&lt;&gt;2),0,IF(EY25&gt;0,EY25,IF(ROUND(BA25*$J25,6)&lt;ROUND($M25,6),BA25,0)))</f>
        <v/>
      </c>
      <c r="FA25" s="68">
        <f>IF(OR($U25=0,$F25&lt;&gt;2),0,IF(EZ25&gt;0,EZ25,IF(ROUND(BB25*$J25,6)&lt;ROUND($M25,6),BB25,0)))</f>
        <v/>
      </c>
      <c r="FB25" s="68">
        <f>IF(OR($U25=0,$F25&lt;&gt;2),0,IF(FA25&gt;0,FA25,IF(ROUND(BC25*$J25,6)&lt;ROUND($M25,6),BC25,0)))</f>
        <v/>
      </c>
      <c r="FC25" s="68">
        <f>IF(OR($U25=0,$F25&lt;&gt;2),0,IF(FB25&gt;0,FB25,IF(ROUND(BD25*$J25,6)&lt;ROUND($M25,6),BD25,0)))</f>
        <v/>
      </c>
      <c r="FD25" s="68">
        <f>IF(OR($U25=0,$F25&lt;&gt;2),0,IF(FC25&gt;0,FC25,IF(ROUND(BE25*$J25,6)&lt;ROUND($M25,6),BE25,0)))</f>
        <v/>
      </c>
      <c r="FE25" s="68">
        <f>IF(OR($U25=0,$F25&lt;&gt;2),0,IF(FD25&gt;0,FD25,IF(ROUND(BF25*$J25,6)&lt;ROUND($M25,6),BF25,0)))</f>
        <v/>
      </c>
      <c r="FF25" s="68">
        <f>IF(OR($U25=0,$F25&lt;&gt;2),0,IF(FE25&gt;0,FE25,IF(ROUND(BG25*$J25,6)&lt;ROUND($M25,6),BG25,0)))</f>
        <v/>
      </c>
      <c r="FG25" s="68">
        <f>IF(OR($U25=0,$F25&lt;&gt;2),0,IF(FF25&gt;0,FF25,IF(ROUND(BH25*$J25,6)&lt;ROUND($M25,6),BH25,0)))</f>
        <v/>
      </c>
      <c r="FH25" s="68">
        <f>IF(OR($U25=0,$F25&lt;&gt;2),0,IF(FG25&gt;0,FG25,IF(ROUND(BI25*$J25,6)&lt;ROUND($M25,6),BI25,0)))</f>
        <v/>
      </c>
      <c r="FI25" s="68">
        <f>IF(OR($U25=0,$F25&lt;&gt;2),0,IF(FH25&gt;0,FH25,IF(ROUND(BJ25*$J25,6)&lt;ROUND($M25,6),BJ25,0)))</f>
        <v/>
      </c>
      <c r="FJ25" s="68">
        <f>IF(OR($U25=0,$F25&lt;&gt;2),0,IF(FI25&gt;0,FI25,IF(ROUND(BK25*$J25,6)&lt;ROUND($M25,6),BK25,0)))</f>
        <v/>
      </c>
      <c r="FK25" s="68">
        <f>IF(OR($U25=0,$F25&lt;&gt;2),0,IF(FJ25&gt;0,FJ25,IF(ROUND(BL25*$J25,6)&lt;ROUND($M25,6),BL25,0)))</f>
        <v/>
      </c>
      <c r="FL25" s="68">
        <f>IF(OR($U25=0,$F25&lt;&gt;2),0,IF(FK25&gt;0,FK25,IF(ROUND(BM25*$J25,6)&lt;ROUND($M25,6),BM25,0)))</f>
        <v/>
      </c>
      <c r="FM25" s="68">
        <f>IF(OR($U25=0,$F25&lt;&gt;2),0,IF(FL25&gt;0,FL25,IF(ROUND(BN25*$J25,6)&lt;ROUND($M25,6),BN25,0)))</f>
        <v/>
      </c>
      <c r="FN25" s="68">
        <f>IF(OR($U25=0,$F25&lt;&gt;2),0,IF(FM25&gt;0,FM25,IF(ROUND(BO25*$J25,6)&lt;ROUND($M25,6),BO25,0)))</f>
        <v/>
      </c>
      <c r="FO25" s="68">
        <f>IF(OR($U25=0,$F25&lt;&gt;2),0,IF(FN25&gt;0,FN25,IF(ROUND(BP25*$J25,6)&lt;ROUND($M25,6),BP25,0)))</f>
        <v/>
      </c>
      <c r="FP25" s="68">
        <f>IF(OR($U25=0,$F25&lt;&gt;2),0,IF(FO25&gt;0,FO25,IF(ROUND(BQ25*$J25,6)&lt;ROUND($M25,6),BQ25,0)))</f>
        <v/>
      </c>
      <c r="FQ25" s="68">
        <f>IF(OR($U25=0,$F25&lt;&gt;2),0,IF(FP25&gt;0,FP25,IF(ROUND(BR25*$J25,6)&lt;ROUND($M25,6),BR25,0)))</f>
        <v/>
      </c>
      <c r="FR25" s="68">
        <f>IF(OR($U25=0,$F25&lt;&gt;2),0,IF(FQ25&gt;0,FQ25,IF(ROUND(BS25*$J25,6)&lt;ROUND($M25,6),BS25,0)))</f>
        <v/>
      </c>
      <c r="FS25" s="68">
        <f>IF(OR($U25=0,$F25&lt;&gt;2),0,IF(FR25&gt;0,FR25,IF(ROUND(BT25*$J25,6)&lt;ROUND($M25,6),BT25,0)))</f>
        <v/>
      </c>
      <c r="FT25" s="68">
        <f>IF(OR($U25=0,$F25&lt;&gt;2),0,IF(FS25&gt;0,FS25,IF(ROUND(BU25*$J25,6)&lt;ROUND($M25,6),BU25,0)))</f>
        <v/>
      </c>
      <c r="FU25" s="68">
        <f>IF(OR($U25=0,$F25&lt;&gt;2),0,IF(FT25&gt;0,FT25,IF(ROUND(BV25*$J25,6)&lt;ROUND($M25,6),BV25,0)))</f>
        <v/>
      </c>
      <c r="FV25" s="68">
        <f>IF(OR($U25=0,$F25&lt;&gt;2),0,IF(FU25&gt;0,FU25,IF(ROUND(BW25*$J25,6)&lt;ROUND($M25,6),BW25,0)))</f>
        <v/>
      </c>
      <c r="FW25" s="68">
        <f>IF(OR($U25=0,$F25&lt;&gt;2),0,IF(FV25&gt;0,FV25,IF(ROUND(BX25*$J25,6)&lt;ROUND($M25,6),BX25,0)))</f>
        <v/>
      </c>
      <c r="FX25" s="68">
        <f>IF(OR($U25=0,$F25&lt;&gt;2),0,IF(FW25&gt;0,FW25,IF(ROUND(BY25*$J25,6)&lt;ROUND($M25,6),BY25,0)))</f>
        <v/>
      </c>
      <c r="FY25" s="68">
        <f>IF(OR($U25=0,$F25&lt;&gt;2),0,IF(FX25&gt;0,FX25,IF(ROUND(BZ25*$J25,6)&lt;ROUND($M25,6),BZ25,0)))</f>
        <v/>
      </c>
      <c r="FZ25" s="68">
        <f>IF(OR($U25=0,$F25&lt;&gt;2),0,IF(FY25&gt;0,FY25,IF(ROUND(CA25*$J25,6)&lt;ROUND($M25,6),CA25,0)))</f>
        <v/>
      </c>
      <c r="GA25" s="68">
        <f>IF(OR($U25=0,$F25&lt;&gt;2),0,IF(FZ25&gt;0,FZ25,IF(ROUND(CB25*$J25,6)&lt;ROUND($M25,6),CB25,0)))</f>
        <v/>
      </c>
      <c r="GB25" s="68">
        <f>IF(OR($U25=0,$F25&lt;&gt;2),0,IF(GA25&gt;0,GA25,IF(ROUND(CC25*$J25,6)&lt;ROUND($M25,6),CC25,0)))</f>
        <v/>
      </c>
      <c r="GC25" s="68">
        <f>IF(OR($U25=0,$F25&lt;&gt;2),0,IF(GB25&gt;0,GB25,IF(ROUND(CD25*$J25,6)&lt;ROUND($M25,6),CD25,0)))</f>
        <v/>
      </c>
      <c r="GD25" s="68">
        <f>IF(OR($U25=0,$F25&lt;&gt;2),0,IF(GC25&gt;0,GC25,IF(ROUND(CE25*$J25,6)&lt;ROUND($M25,6),CE25,0)))</f>
        <v/>
      </c>
      <c r="GE25" s="68">
        <f>IF(OR($U25=0,$F25&lt;&gt;2),0,IF(GD25&gt;0,GD25,IF(ROUND(CF25*$J25,6)&lt;ROUND($M25,6),CF25,0)))</f>
        <v/>
      </c>
      <c r="GF25" s="68">
        <f>IF(OR($U25=0,$F25&lt;&gt;2),0,IF(GE25&gt;0,GE25,IF(ROUND(CG25*$J25,6)&lt;ROUND($M25,6),CG25,0)))</f>
        <v/>
      </c>
      <c r="GG25" s="68">
        <f>IF(OR($U25=0,$F25&lt;&gt;2),0,IF(GF25&gt;0,GF25,IF(ROUND(CH25*$J25,6)&lt;ROUND($M25,6),CH25,0)))</f>
        <v/>
      </c>
      <c r="GH25" s="68">
        <f>IF(OR($U25=0,$F25&lt;&gt;2),0,IF(GG25&gt;0,GG25,IF(ROUND(CI25*$J25,6)&lt;ROUND($M25,6),CI25,0)))</f>
        <v/>
      </c>
      <c r="GI25" s="68">
        <f>IF(OR($U25=0,$F25&lt;&gt;2),0,IF(GH25&gt;0,GH25,IF(ROUND(CJ25*$J25,6)&lt;ROUND($M25,6),CJ25,0)))</f>
        <v/>
      </c>
      <c r="GJ25" s="68">
        <f>IF(OR($U25=0,$F25&lt;&gt;2),0,IF(GI25&gt;0,GI25,IF(ROUND(CK25*$J25,6)&lt;ROUND($M25,6),CK25,0)))</f>
        <v/>
      </c>
      <c r="GK25" s="68">
        <f>IF(OR($U25=0,$F25&lt;&gt;2),0,IF(GJ25&gt;0,GJ25,IF(ROUND(CL25*$J25,6)&lt;ROUND($M25,6),CL25,0)))</f>
        <v/>
      </c>
      <c r="GL25" s="68">
        <f>IF(OR($U25=0,$F25&lt;&gt;2),0,IF(GK25&gt;0,GK25,IF(ROUND(CM25*$J25,6)&lt;ROUND($M25,6),CM25,0)))</f>
        <v/>
      </c>
      <c r="GM25" s="68">
        <f>IF(OR($U25=0,$F25&lt;&gt;2),0,IF(GL25&gt;0,GL25,IF(ROUND(CN25*$J25,6)&lt;ROUND($M25,6),CN25,0)))</f>
        <v/>
      </c>
      <c r="GN25" s="68">
        <f>IF(OR($U25=0,$F25&lt;&gt;2),0,IF(GM25&gt;0,GM25,IF(ROUND(CO25*$J25,6)&lt;ROUND($M25,6),CO25,0)))</f>
        <v/>
      </c>
      <c r="GO25" s="68">
        <f>IF(OR($U25=0,$F25&lt;&gt;2),0,IF(GN25&gt;0,GN25,IF(ROUND(CP25*$J25,6)&lt;ROUND($M25,6),CP25,0)))</f>
        <v/>
      </c>
      <c r="GP25" s="68">
        <f>IF(OR($U25=0,$F25&lt;&gt;2),0,IF(GO25&gt;0,GO25,IF(ROUND(CQ25*$J25,6)&lt;ROUND($M25,6),CQ25,0)))</f>
        <v/>
      </c>
      <c r="GQ25" s="68">
        <f>IF(OR($U25=0,$F25&lt;&gt;2),0,IF(GP25&gt;0,GP25,IF(ROUND(CR25*$J25,6)&lt;ROUND($M25,6),CR25,0)))</f>
        <v/>
      </c>
      <c r="GR25" s="68">
        <f>IF(OR($U25=0,$F25&lt;&gt;2),0,IF(GQ25&gt;0,GQ25,IF(ROUND(CS25*$J25,6)&lt;ROUND($M25,6),CS25,0)))</f>
        <v/>
      </c>
      <c r="GS25" s="68">
        <f>IF(OR($U25=0,$F25&lt;&gt;2),0,IF(GR25&gt;0,GR25,IF(ROUND(CT25*$J25,6)&lt;ROUND($M25,6),CT25,0)))</f>
        <v/>
      </c>
      <c r="GT25" s="68">
        <f>IF(OR($U25=0,$F25&lt;&gt;2),0,IF(GS25&gt;0,GS25,IF(ROUND(CU25*$J25,6)&lt;ROUND($M25,6),CU25,0)))</f>
        <v/>
      </c>
      <c r="GU25" s="68">
        <f>IF(OR($U25=0,$F25&lt;&gt;2),0,IF(GT25&gt;0,GT25,IF(ROUND(CV25*$J25,6)&lt;ROUND($M25,6),CV25,0)))</f>
        <v/>
      </c>
      <c r="GV25" s="68">
        <f>IF(OR($U25=0,$F25&lt;&gt;2),0,IF(GU25&gt;0,GU25,IF(ROUND(CW25*$J25,6)&lt;ROUND($M25,6),CW25,0)))</f>
        <v/>
      </c>
      <c r="GW25" s="68">
        <f>IF(OR($U25=0,$F25&lt;&gt;2),0,IF(GV25&gt;0,GV25,IF(ROUND(CX25*$J25,6)&lt;ROUND($M25,6),CX25,0)))</f>
        <v/>
      </c>
      <c r="GX25" s="68">
        <f>IF(OR($U25=0,$F25&lt;&gt;2),0,IF(GW25&gt;0,GW25,IF(ROUND(CY25*$J25,6)&lt;ROUND($M25,6),CY25,0)))</f>
        <v/>
      </c>
      <c r="GY25" s="68">
        <f>IF(OR($U25=0,$F25&lt;&gt;2),0,IF(GX25&gt;0,GX25,IF(ROUND(CZ25*$J25,6)&lt;ROUND($M25,6),CZ25,0)))</f>
        <v/>
      </c>
      <c r="GZ25" s="68">
        <f>IF(OR($U25=0,$F25&lt;&gt;2),0,IF(GY25&gt;0,GY25,IF(ROUND(DA25*$J25,6)&lt;ROUND($M25,6),DA25,0)))</f>
        <v/>
      </c>
      <c r="HA25" s="68">
        <f>IF(OR($U25=0,$F25&lt;&gt;2),0,IF(GZ25&gt;0,GZ25,IF(ROUND(DB25*$J25,6)&lt;ROUND($M25,6),DB25,0)))</f>
        <v/>
      </c>
      <c r="HB25" s="68">
        <f>IF(OR($U25=0,$F25&lt;&gt;2),0,IF(HA25&gt;0,HA25,IF(ROUND(DC25*$J25,6)&lt;ROUND($M25,6),DC25,0)))</f>
        <v/>
      </c>
      <c r="HC25" s="68">
        <f>IF(OR($U25=0,$F25&lt;&gt;2),0,IF(HB25&gt;0,HB25,IF(ROUND(DD25*$J25,6)&lt;ROUND($M25,6),DD25,0)))</f>
        <v/>
      </c>
      <c r="HD25" s="68">
        <f>IF(OR($U25=0,$F25&lt;&gt;2),0,IF(HC25&gt;0,HC25,IF(ROUND(DE25*$J25,6)&lt;ROUND($M25,6),DE25,0)))</f>
        <v/>
      </c>
      <c r="HE25" s="68">
        <f>IF(OR($U25=0,$F25&lt;&gt;2),0,IF(HD25&gt;0,HD25,IF(ROUND(DF25*$J25,6)&lt;ROUND($M25,6),DF25,0)))</f>
        <v/>
      </c>
      <c r="HF25" s="68">
        <f>IF(OR($U25=0,$F25&lt;&gt;2),0,IF(HE25&gt;0,HE25,IF(ROUND(DG25*$J25,6)&lt;ROUND($M25,6),DG25,0)))</f>
        <v/>
      </c>
      <c r="HG25" s="68">
        <f>IF(OR($U25=0,$F25&lt;&gt;2),0,IF(HF25&gt;0,HF25,IF(ROUND(DH25*$J25,6)&lt;ROUND($M25,6),DH25,0)))</f>
        <v/>
      </c>
      <c r="HH25" s="68">
        <f>IF(OR($U25=0,$F25&lt;&gt;2),0,IF(HG25&gt;0,HG25,IF(ROUND(DI25*$J25,6)&lt;ROUND($M25,6),DI25,0)))</f>
        <v/>
      </c>
      <c r="HI25" s="68">
        <f>IF(OR($U25=0,$F25&lt;&gt;2),0,IF(HH25&gt;0,HH25,IF(ROUND(DJ25*$J25,6)&lt;ROUND($M25,6),DJ25,0)))</f>
        <v/>
      </c>
      <c r="HJ25" s="68">
        <f>IF(OR($U25=0,$F25&lt;&gt;2),0,IF(HI25&gt;0,HI25,IF(ROUND(DK25*$J25,6)&lt;ROUND($M25,6),DK25,0)))</f>
        <v/>
      </c>
      <c r="HK25" s="68">
        <f>IF(OR($U25=0,$F25&lt;&gt;2),0,IF(HJ25&gt;0,HJ25,IF(ROUND(DL25*$J25,6)&lt;ROUND($M25,6),DL25,0)))</f>
        <v/>
      </c>
      <c r="HL25" s="68">
        <f>IF(OR($U25=0,$F25&lt;&gt;2),0,IF(HK25&gt;0,HK25,IF(ROUND(DM25*$J25,6)&lt;ROUND($M25,6),DM25,0)))</f>
        <v/>
      </c>
      <c r="HM25" s="68">
        <f>IF(OR($U25=0,$F25&lt;&gt;2),0,IF(HL25&gt;0,HL25,IF(ROUND(DN25*$J25,6)&lt;ROUND($M25,6),DN25,0)))</f>
        <v/>
      </c>
      <c r="HN25" s="68">
        <f>IF(OR($U25=0,$F25&lt;&gt;2),0,IF(HM25&gt;0,HM25,IF(ROUND(DO25*$J25,6)&lt;ROUND($M25,6),DO25,0)))</f>
        <v/>
      </c>
      <c r="HO25" s="68">
        <f>IF(OR($U25=0,$F25&lt;&gt;2),0,IF(HN25&gt;0,HN25,IF(ROUND(DP25*$J25,6)&lt;ROUND($M25,6),DP25,0)))</f>
        <v/>
      </c>
      <c r="HP25" s="68">
        <f>IF(OR($U25=0,$F25&lt;&gt;2),0,IF(HO25&gt;0,HO25,IF(ROUND(DQ25*$J25,6)&lt;ROUND($M25,6),DQ25,0)))</f>
        <v/>
      </c>
      <c r="HQ25" s="68">
        <f>IF(OR($U25=0,$F25&lt;&gt;2),0,IF(HP25&gt;0,HP25,IF(ROUND(DR25*$J25,6)&lt;ROUND($M25,6),DR25,0)))</f>
        <v/>
      </c>
      <c r="HR25" s="68">
        <f>IF(OR($U25=0,$F25&lt;&gt;2),0,IF(HQ25&gt;0,HQ25,IF(ROUND(DS25*$J25,6)&lt;ROUND($M25,6),DS25,0)))</f>
        <v/>
      </c>
      <c r="HS25" s="68">
        <f>IF(OR($U25=0,$F25&lt;&gt;2),0,IF(HR25&gt;0,HR25,IF(ROUND(DT25*$J25,6)&lt;ROUND($M25,6),DT25,0)))</f>
        <v/>
      </c>
      <c r="HT25" s="68">
        <f>IF(OR($U25=0,$F25&lt;&gt;2),0,IF(HS25&gt;0,HS25,IF(ROUND(DU25*$J25,6)&lt;ROUND($M25,6),DU25,0)))</f>
        <v/>
      </c>
      <c r="HU25" s="68">
        <f>IF(OR($U25=0,$F25&lt;&gt;2),0,IF(HT25&gt;0,HT25,IF(ROUND(DV25*$J25,6)&lt;ROUND($M25,6),DV25,0)))</f>
        <v/>
      </c>
      <c r="HV25" s="68">
        <f>IF(OR($U25=0,$F25&lt;&gt;2),0,IF(HU25&gt;0,HU25,IF(ROUND(DW25*$J25,6)&lt;ROUND($M25,6),DW25,0)))</f>
        <v/>
      </c>
      <c r="HW25" s="68">
        <f>IF(OR($U25=0,$F25&lt;&gt;2),0,IF(HV25&gt;0,HV25,IF(ROUND(DX25*$J25,6)&lt;ROUND($M25,6),DX25,0)))</f>
        <v/>
      </c>
      <c r="HX25" s="68">
        <f>IF(OR($U25=0,$F25&lt;&gt;2),0,IF(HW25&gt;0,HW25,IF(ROUND(DY25*$J25,6)&lt;ROUND($M25,6),DY25,0)))</f>
        <v/>
      </c>
      <c r="HY25" s="68">
        <f>IF(OR($U25=0,$F25&lt;&gt;2),0,IF(HX25&gt;0,HX25,IF(ROUND(DZ25*$J25,6)&lt;ROUND($M25,6),DZ25,0)))</f>
        <v/>
      </c>
      <c r="HZ25" s="68">
        <f>IF(OR($U25=0,$F25&lt;&gt;2),0,IF(HY25&gt;0,HY25,IF(ROUND(EA25*$J25,6)&lt;ROUND($M25,6),EA25,0)))</f>
        <v/>
      </c>
      <c r="IA25" s="68">
        <f>IF(OR($U25=0,$F25&lt;&gt;2),0,IF(HZ25&gt;0,HZ25,IF(ROUND(EB25*$J25,6)&lt;ROUND($M25,6),EB25,0)))</f>
        <v/>
      </c>
      <c r="IB25" s="68">
        <f>IF(OR($U25=0,$F25&lt;&gt;2),0,IF(IA25&gt;0,IA25,IF(ROUND(EC25*$J25,6)&lt;ROUND($M25,6),EC25,0)))</f>
        <v/>
      </c>
      <c r="IC25" s="68">
        <f>IF(OR($U25=0,$F25&lt;&gt;2),0,IF(IB25&gt;0,IB25,IF(ROUND(ED25*$J25,6)&lt;ROUND($M25,6),ED25,0)))</f>
        <v/>
      </c>
      <c r="ID25" s="68">
        <f>IF(OR($U25=0,$F25&lt;&gt;2),0,IF(IC25&gt;0,IC25,IF(ROUND(EE25*$J25,6)&lt;ROUND($M25,6),EE25,0)))</f>
        <v/>
      </c>
      <c r="IE25" s="68">
        <f>IF(OR($U25=0,$F25&lt;&gt;2),0,IF(ID25&gt;0,ID25,IF(ROUND(EF25*$J25,6)&lt;ROUND($M25,6),EF25,0)))</f>
        <v/>
      </c>
      <c r="IF25" s="68">
        <f>IF(OR($U25=0,$F25&lt;&gt;2),0,IF(IE25&gt;0,IE25,IF(ROUND(EG25*$J25,6)&lt;ROUND($M25,6),EG25,0)))</f>
        <v/>
      </c>
      <c r="IG25" s="68">
        <f>IF(OR($U25=0,$F25&lt;&gt;2),0,IF(IF25&gt;0,IF25,IF(ROUND(EH25*$J25,6)&lt;ROUND($M25,6),EH25,0)))</f>
        <v/>
      </c>
      <c r="IH25" s="68">
        <f>IF(OR($U25=0,$F25&lt;&gt;2),0,IF(IG25&gt;0,IG25,IF(ROUND(EI25*$J25,6)&lt;ROUND($M25,6),EI25,0)))</f>
        <v/>
      </c>
      <c r="II25" s="68">
        <f>IF(OR($U25=0,$F25&lt;&gt;2),0,IF(IH25&gt;0,IH25,IF(ROUND(EJ25*$J25,6)&lt;ROUND($M25,6),EJ25,0)))</f>
        <v/>
      </c>
      <c r="IJ25" s="68">
        <f>IF(OR($U25=0,$F25&lt;&gt;2),0,IF(II25&gt;0,II25,IF(ROUND(EK25*$J25,6)&lt;ROUND($M25,6),EK25,0)))</f>
        <v/>
      </c>
      <c r="IK25" s="68">
        <f>IF(OR($U25=0,$F25&lt;&gt;2),0,IF(IJ25&gt;0,IJ25,IF(ROUND(EL25*$J25,6)&lt;ROUND($M25,6),EL25,0)))</f>
        <v/>
      </c>
      <c r="IL25" s="68">
        <f>IF(OR($U25=0,$F25&lt;&gt;2),0,IF(IK25&gt;0,IK25,IF(ROUND(EM25*$J25,6)&lt;ROUND($M25,6),EM25,0)))</f>
        <v/>
      </c>
      <c r="IM25" s="68">
        <f>IF(OR($U25=0,$F25&lt;&gt;2),0,IF(IL25&gt;0,IL25,IF(ROUND(EN25*$J25,6)&lt;ROUND($M25,6),EN25,0)))</f>
        <v/>
      </c>
      <c r="IN25" s="68">
        <f>IF(OR($U25=0,$F25&lt;&gt;2),0,IF(IM25&gt;0,IM25,IF(ROUND(EO25*$J25,6)&lt;ROUND($M25,6),EO25,0)))</f>
        <v/>
      </c>
    </row>
    <row r="26">
      <c r="A26" s="68" t="n">
        <v>21</v>
      </c>
      <c r="B26" s="68">
        <f>IF(OR(TRIM('固定資産台帳'!$B26)&lt;&gt;"",'固定資産台帳'!$E26&lt;&gt;"",'固定資産台帳'!$G26&lt;&gt;"",'固定資産台帳'!$H26&lt;&gt;""),1,0)</f>
        <v/>
      </c>
      <c r="C26" s="68">
        <f>IF(ISNUMBER('固定資産台帳'!$G26),MAX(ROUND('固定資産台帳'!$G26,0),0),0)</f>
        <v/>
      </c>
      <c r="D26" s="84">
        <f>IF(ISNUMBER('固定資産台帳'!$E26),INT('固定資産台帳'!$E26),0)</f>
        <v/>
      </c>
      <c r="E26" s="84">
        <f>IF(ISNUMBER('固定資産台帳'!$F26),INT('固定資産台帳'!$F26),$D26)</f>
        <v/>
      </c>
      <c r="F26" s="68">
        <f>IF('固定資産台帳'!$H26="定額法",1,IF(OR('固定資産台帳'!$H26="定率法",'固定資産台帳'!$H26="定率法（200%）",'固定資産台帳'!$H26="定率法（250%）"),2,IF('固定資産台帳'!$H26="一括償却（3年）",3,IF('固定資産台帳'!$H26="少額特例",4,0))))</f>
        <v/>
      </c>
      <c r="G26" s="68">
        <f>IF('固定資産台帳'!$H26="定率法（250%）",250,IF('固定資産台帳'!$H26="定率法（200%）",200,IF($D26&gt;=DATE(2012,4,1),200,250)))</f>
        <v/>
      </c>
      <c r="H26" s="68">
        <f>IF(ISNUMBER('固定資産台帳'!$I26),IF(AND('固定資産台帳'!$I26&gt;=2,'固定資産台帳'!$I26&lt;=100,'固定資産台帳'!$I26=INT('固定資産台帳'!$I26)),'固定資産台帳'!$I26,0),0)</f>
        <v/>
      </c>
      <c r="I26" s="68">
        <f>IF('固定資産台帳'!$C26="無形固定資産",0,1)</f>
        <v/>
      </c>
      <c r="J26" s="68">
        <f>IF(OR($H26=0,$F26=0,$F26&gt;2),0,IF($F26=1,INDEX('償却率表'!$B$6:$B$104,$H26-1),IF($G26=200,INDEX('償却率表'!$C$6:$C$104,$H26-1),INDEX('償却率表'!$F$6:$F$104,$H26-1))))</f>
        <v/>
      </c>
      <c r="K26" s="68">
        <f>IF(AND($F26=2,$H26&gt;0),IF($G26=200,INDEX('償却率表'!$D$6:$D$104,$H26-1),INDEX('償却率表'!$G$6:$G$104,$H26-1)),0)</f>
        <v/>
      </c>
      <c r="L26" s="68">
        <f>IF(AND($F26=2,$H26&gt;0),IF($G26=200,INDEX('償却率表'!$E$6:$E$104,$H26-1),INDEX('償却率表'!$H$6:$H$104,$H26-1)),0)</f>
        <v/>
      </c>
      <c r="M26" s="68">
        <f>$C26*$L26</f>
        <v/>
      </c>
      <c r="N26" s="68">
        <f>IF($B$1=1,1,IF('固定資産台帳'!$J26="",1,IF(ISNUMBER('固定資産台帳'!$J26),IF(AND('固定資産台帳'!$J26&gt;0,'固定資産台帳'!$J26&lt;=1),'固定資産台帳'!$J26,0),0)))</f>
        <v/>
      </c>
      <c r="O26" s="68">
        <f>IF($E26=0,0,YEAR($E26)-IF(MONTH($E26)&lt;$B$2,1,0))</f>
        <v/>
      </c>
      <c r="P26" s="68">
        <f>IF($E26=0,0,12-MOD(MONTH($E26)-$B$2,12))</f>
        <v/>
      </c>
      <c r="Q26" s="84">
        <f>IF(ISNUMBER('固定資産台帳'!$K26),INT('固定資産台帳'!$K26),0)</f>
        <v/>
      </c>
      <c r="R26" s="68">
        <f>IF(OR($Q26=0,$E26=0),999,YEAR($Q26)-IF(MONTH($Q26)&lt;$B$2,1,0)-$O26)</f>
        <v/>
      </c>
      <c r="S26" s="68">
        <f>IF($R26=999,0,MOD(MONTH($Q26)-$B$2,12)+1-IF($R26=0,12-$P26,0))</f>
        <v/>
      </c>
      <c r="T26" s="68">
        <f>IF($B26=0,0,IF($C26&lt;=0,1,IF($D26=0,2,IF($F26=0,3,IF(AND($F26&lt;=2,$H26=0),4,IF(AND($F26&lt;=2,$D26&lt;DATE(2007,4,1)),5,IF($E26&lt;$D26,6,IF(AND($Q26&gt;0,$Q26&lt;$E26),7,IF($N26=0,8,IF($B$3=0,9,0))))))))))</f>
        <v/>
      </c>
      <c r="U26" s="68">
        <f>IF(AND($B26=1,$T26=0),1,0)</f>
        <v/>
      </c>
      <c r="V26" s="68">
        <f>$B$3-$O26</f>
        <v/>
      </c>
      <c r="W26" s="68">
        <f>IF(AND($U26=1,$V26&gt;=0),1,0)</f>
        <v/>
      </c>
      <c r="X26" s="68">
        <f>IF($W26=0,0,IF($V26=0,$C26,INDEX($AS26:$EP26,MIN($V26,102))))</f>
        <v/>
      </c>
      <c r="Y26" s="68">
        <f>IF($W26=0,0,INDEX($AS26:$EP26,MIN($V26,101)+1))</f>
        <v/>
      </c>
      <c r="Z26" s="68">
        <f>$X26-$Y26</f>
        <v/>
      </c>
      <c r="AA26" s="68">
        <f>IF(AND($W26=1,$F26=2,$V26&gt;=1),INDEX($ER26:$IN26,MIN($V26,101)),0)</f>
        <v/>
      </c>
      <c r="AB26" s="68">
        <f>IF(OR($W26=0,$F26&gt;2,$Z26=0),0,IF($V26=0,IF($R26=0,$S26,$P26),IF($V26=$R26,$S26,12)))</f>
        <v/>
      </c>
      <c r="AC26" s="68">
        <f>IF($W26=0,0,INT(ROUND($Z26*$N26,6)+$B$4))</f>
        <v/>
      </c>
      <c r="AD26" s="68">
        <f>IF(AND($W26=1,$F26&lt;=2,$V26=$R26),1,0)</f>
        <v/>
      </c>
      <c r="AE26" s="68">
        <f>IF(AND($W26=1,$F26&lt;=2,$V26&gt;$R26),1,0)</f>
        <v/>
      </c>
      <c r="AF26" s="68">
        <f>IF(AND($W26=1,$AE26=0,OR($Z26&gt;0,$AD26=1)),1,0)</f>
        <v/>
      </c>
      <c r="AG26" s="68">
        <f>IF($AF26=1,SUM($AF$6:$AF26),0)</f>
        <v/>
      </c>
      <c r="AH26" s="68">
        <f>IF($T26=0,"",CHOOSE($T26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26" s="68">
        <f>IF(AND($F26=2,OR('固定資産台帳'!$C26="建物",'固定資産台帳'!$C26="無形固定資産",AND(OR('固定資産台帳'!$C26="建物附属設備",'固定資産台帳'!$C26="構築物"),$D26&gt;=DATE(2016,4,1)))),"この資産は定額法だけです（定率法は使えません）。","")&amp;IF(AND($F26=3,$C26&gt;=200000),"一括償却は20万円未満の資産だけです。","")&amp;IF(AND($F26=3,$B$1=0,$C26&lt;100000),"10万円未満は一括償却にせず、全額をその年の経費にします。","")&amp;IF(AND($F26=4,$C26&lt;100000),"10万円未満は少額特例ではなく、全額をその年の経費にします。","")&amp;IF(AND($F26=4,$D26&lt;DATE(2026,4,1),$C26&gt;=300000),"2026年3月31日までの取得で少額特例が使えるのは30万円未満です。","")&amp;IF(AND($F26=4,$D26&gt;=DATE(2026,4,1),$C26&gt;=400000),"少額特例は40万円未満の資産だけです。","")&amp;IF(AND($F26=4,OR($D26&lt;DATE(2006,4,1),$D26&gt;DATE(2029,3,31))),"少額特例は2006年4月1日〜2029年3月31日に取得した資産だけです。","")&amp;IF(AND($F26=2,$G26=250,$D26&gt;DATE(2012,12,31)),"250%定率法は2012年12月31日までの取得だけです。","")</f>
        <v/>
      </c>
      <c r="AJ26" s="68">
        <f>IF(AND($F26=2,'固定資産台帳'!$H26="定率法（200%）",$D26&lt;DATE(2012,4,1)),"2012年3月31日までの取得に200%を使うのは、経過措置の届出をした場合です。","")&amp;IF(AND($F26=2,'固定資産台帳'!$H26="定率法（250%）",$D26&gt;=DATE(2012,4,1),$D26&lt;=DATE(2012,12,31)),"2012年4〜12月の取得に250%を使うのは、経過措置を選んだ場合です。","")</f>
        <v/>
      </c>
      <c r="AK26" s="68">
        <f>IF($U26=0,"",IF($V26&lt;0,"表示している年より後に使い始める資産です。",IF($AE26=1,"売却・除却済みです。",IF($AD26=1,"この年に売却・除却。期末の帳簿価額 "&amp;TEXT($Y26,"#,##0")&amp;"円を帳簿から外します。",IF($F26=4,IF($V26=0,"少額特例：この年に全額を経費にします。","少額特例で経費にした資産です。"),IF($F26=3,IF($V26&gt;2,"一括償却は終わっています。","一括償却 "&amp;($V26+1)&amp;"年目（3年のうち）。"),IF($Z26=0,"償却済み（帳簿価額 "&amp;TEXT($Y26,"#,##0")&amp;"円）。",IF($AA26&gt;0,"改定償却率で計算（改定取得価額 "&amp;TEXT($AA26,"#,##0")&amp;"円）。",IF($V26=0,"この年に使い始め（"&amp;$AB26&amp;"か月分）。","")))))))))</f>
        <v/>
      </c>
      <c r="AL26" s="68">
        <f>IF(AND($U26=1,$F26=4,$V26=0),$C26,0)</f>
        <v/>
      </c>
      <c r="AM26" s="68">
        <f>IF($F26=2,INT(ROUND($M26,6)+$B$4),0)</f>
        <v/>
      </c>
      <c r="AN26" s="68">
        <f>IF($W26=0,0,IF($F26=2,IF($AA26&gt;0,$AA26,$X26),$C26))</f>
        <v/>
      </c>
      <c r="AO26" s="68">
        <f>IF($W26=0,"",IF($F26=3,"1/3",IF($F26=4,"―",IF($AA26&gt;0,$K26,$J26))))</f>
        <v/>
      </c>
      <c r="AP26" s="68" t="n"/>
      <c r="AQ26" s="68" t="n"/>
      <c r="AR26" s="68" t="n"/>
      <c r="AS26" s="68">
        <f>IF($U26=0,0,IF($F26=4,0,IF($F26=3,MAX($C26-INT(ROUND($C26/3,6)+$B$4),0),$C26-MIN(INT(ROUND($C26*$J26*IF($R26=0,$S26,$P26)/12,6)+$B$4),MAX($C26-$I26,0)))))</f>
        <v/>
      </c>
      <c r="AT26" s="68">
        <f>IF($U26=0,0,IF($F26=4,0,IF($F26=3,AS26-MIN(INT(ROUND($C26/3,6)+$B$4),AS26),IF(OR(1&gt;$R26,AS26&lt;=$I26),AS26,AS26-MIN(INT(ROUND(IF($F26=1,$C26*$J26,IF(ER26&gt;0,ER26*$K26,AS26*$J26))*IF(1=$R26,$S26,12)/12,6)+$B$4),AS26-$I26)))))</f>
        <v/>
      </c>
      <c r="AU26" s="68">
        <f>IF($U26=0,0,IF($F26=4,0,IF($F26=3,0,IF(OR(2&gt;$R26,AT26&lt;=$I26),AT26,AT26-MIN(INT(ROUND(IF($F26=1,$C26*$J26,IF(ES26&gt;0,ES26*$K26,AT26*$J26))*IF(2=$R26,$S26,12)/12,6)+$B$4),AT26-$I26)))))</f>
        <v/>
      </c>
      <c r="AV26" s="68">
        <f>IF($U26=0,0,IF($F26=4,0,IF($F26=3,0,IF(OR(3&gt;$R26,AU26&lt;=$I26),AU26,AU26-MIN(INT(ROUND(IF($F26=1,$C26*$J26,IF(ET26&gt;0,ET26*$K26,AU26*$J26))*IF(3=$R26,$S26,12)/12,6)+$B$4),AU26-$I26)))))</f>
        <v/>
      </c>
      <c r="AW26" s="68">
        <f>IF($U26=0,0,IF($F26=4,0,IF($F26=3,0,IF(OR(4&gt;$R26,AV26&lt;=$I26),AV26,AV26-MIN(INT(ROUND(IF($F26=1,$C26*$J26,IF(EU26&gt;0,EU26*$K26,AV26*$J26))*IF(4=$R26,$S26,12)/12,6)+$B$4),AV26-$I26)))))</f>
        <v/>
      </c>
      <c r="AX26" s="68">
        <f>IF($U26=0,0,IF($F26=4,0,IF($F26=3,0,IF(OR(5&gt;$R26,AW26&lt;=$I26),AW26,AW26-MIN(INT(ROUND(IF($F26=1,$C26*$J26,IF(EV26&gt;0,EV26*$K26,AW26*$J26))*IF(5=$R26,$S26,12)/12,6)+$B$4),AW26-$I26)))))</f>
        <v/>
      </c>
      <c r="AY26" s="68">
        <f>IF($U26=0,0,IF($F26=4,0,IF($F26=3,0,IF(OR(6&gt;$R26,AX26&lt;=$I26),AX26,AX26-MIN(INT(ROUND(IF($F26=1,$C26*$J26,IF(EW26&gt;0,EW26*$K26,AX26*$J26))*IF(6=$R26,$S26,12)/12,6)+$B$4),AX26-$I26)))))</f>
        <v/>
      </c>
      <c r="AZ26" s="68">
        <f>IF($U26=0,0,IF($F26=4,0,IF($F26=3,0,IF(OR(7&gt;$R26,AY26&lt;=$I26),AY26,AY26-MIN(INT(ROUND(IF($F26=1,$C26*$J26,IF(EX26&gt;0,EX26*$K26,AY26*$J26))*IF(7=$R26,$S26,12)/12,6)+$B$4),AY26-$I26)))))</f>
        <v/>
      </c>
      <c r="BA26" s="68">
        <f>IF($U26=0,0,IF($F26=4,0,IF($F26=3,0,IF(OR(8&gt;$R26,AZ26&lt;=$I26),AZ26,AZ26-MIN(INT(ROUND(IF($F26=1,$C26*$J26,IF(EY26&gt;0,EY26*$K26,AZ26*$J26))*IF(8=$R26,$S26,12)/12,6)+$B$4),AZ26-$I26)))))</f>
        <v/>
      </c>
      <c r="BB26" s="68">
        <f>IF($U26=0,0,IF($F26=4,0,IF($F26=3,0,IF(OR(9&gt;$R26,BA26&lt;=$I26),BA26,BA26-MIN(INT(ROUND(IF($F26=1,$C26*$J26,IF(EZ26&gt;0,EZ26*$K26,BA26*$J26))*IF(9=$R26,$S26,12)/12,6)+$B$4),BA26-$I26)))))</f>
        <v/>
      </c>
      <c r="BC26" s="68">
        <f>IF($U26=0,0,IF($F26=4,0,IF($F26=3,0,IF(OR(10&gt;$R26,BB26&lt;=$I26),BB26,BB26-MIN(INT(ROUND(IF($F26=1,$C26*$J26,IF(FA26&gt;0,FA26*$K26,BB26*$J26))*IF(10=$R26,$S26,12)/12,6)+$B$4),BB26-$I26)))))</f>
        <v/>
      </c>
      <c r="BD26" s="68">
        <f>IF($U26=0,0,IF($F26=4,0,IF($F26=3,0,IF(OR(11&gt;$R26,BC26&lt;=$I26),BC26,BC26-MIN(INT(ROUND(IF($F26=1,$C26*$J26,IF(FB26&gt;0,FB26*$K26,BC26*$J26))*IF(11=$R26,$S26,12)/12,6)+$B$4),BC26-$I26)))))</f>
        <v/>
      </c>
      <c r="BE26" s="68">
        <f>IF($U26=0,0,IF($F26=4,0,IF($F26=3,0,IF(OR(12&gt;$R26,BD26&lt;=$I26),BD26,BD26-MIN(INT(ROUND(IF($F26=1,$C26*$J26,IF(FC26&gt;0,FC26*$K26,BD26*$J26))*IF(12=$R26,$S26,12)/12,6)+$B$4),BD26-$I26)))))</f>
        <v/>
      </c>
      <c r="BF26" s="68">
        <f>IF($U26=0,0,IF($F26=4,0,IF($F26=3,0,IF(OR(13&gt;$R26,BE26&lt;=$I26),BE26,BE26-MIN(INT(ROUND(IF($F26=1,$C26*$J26,IF(FD26&gt;0,FD26*$K26,BE26*$J26))*IF(13=$R26,$S26,12)/12,6)+$B$4),BE26-$I26)))))</f>
        <v/>
      </c>
      <c r="BG26" s="68">
        <f>IF($U26=0,0,IF($F26=4,0,IF($F26=3,0,IF(OR(14&gt;$R26,BF26&lt;=$I26),BF26,BF26-MIN(INT(ROUND(IF($F26=1,$C26*$J26,IF(FE26&gt;0,FE26*$K26,BF26*$J26))*IF(14=$R26,$S26,12)/12,6)+$B$4),BF26-$I26)))))</f>
        <v/>
      </c>
      <c r="BH26" s="68">
        <f>IF($U26=0,0,IF($F26=4,0,IF($F26=3,0,IF(OR(15&gt;$R26,BG26&lt;=$I26),BG26,BG26-MIN(INT(ROUND(IF($F26=1,$C26*$J26,IF(FF26&gt;0,FF26*$K26,BG26*$J26))*IF(15=$R26,$S26,12)/12,6)+$B$4),BG26-$I26)))))</f>
        <v/>
      </c>
      <c r="BI26" s="68">
        <f>IF($U26=0,0,IF($F26=4,0,IF($F26=3,0,IF(OR(16&gt;$R26,BH26&lt;=$I26),BH26,BH26-MIN(INT(ROUND(IF($F26=1,$C26*$J26,IF(FG26&gt;0,FG26*$K26,BH26*$J26))*IF(16=$R26,$S26,12)/12,6)+$B$4),BH26-$I26)))))</f>
        <v/>
      </c>
      <c r="BJ26" s="68">
        <f>IF($U26=0,0,IF($F26=4,0,IF($F26=3,0,IF(OR(17&gt;$R26,BI26&lt;=$I26),BI26,BI26-MIN(INT(ROUND(IF($F26=1,$C26*$J26,IF(FH26&gt;0,FH26*$K26,BI26*$J26))*IF(17=$R26,$S26,12)/12,6)+$B$4),BI26-$I26)))))</f>
        <v/>
      </c>
      <c r="BK26" s="68">
        <f>IF($U26=0,0,IF($F26=4,0,IF($F26=3,0,IF(OR(18&gt;$R26,BJ26&lt;=$I26),BJ26,BJ26-MIN(INT(ROUND(IF($F26=1,$C26*$J26,IF(FI26&gt;0,FI26*$K26,BJ26*$J26))*IF(18=$R26,$S26,12)/12,6)+$B$4),BJ26-$I26)))))</f>
        <v/>
      </c>
      <c r="BL26" s="68">
        <f>IF($U26=0,0,IF($F26=4,0,IF($F26=3,0,IF(OR(19&gt;$R26,BK26&lt;=$I26),BK26,BK26-MIN(INT(ROUND(IF($F26=1,$C26*$J26,IF(FJ26&gt;0,FJ26*$K26,BK26*$J26))*IF(19=$R26,$S26,12)/12,6)+$B$4),BK26-$I26)))))</f>
        <v/>
      </c>
      <c r="BM26" s="68">
        <f>IF($U26=0,0,IF($F26=4,0,IF($F26=3,0,IF(OR(20&gt;$R26,BL26&lt;=$I26),BL26,BL26-MIN(INT(ROUND(IF($F26=1,$C26*$J26,IF(FK26&gt;0,FK26*$K26,BL26*$J26))*IF(20=$R26,$S26,12)/12,6)+$B$4),BL26-$I26)))))</f>
        <v/>
      </c>
      <c r="BN26" s="68">
        <f>IF($U26=0,0,IF($F26=4,0,IF($F26=3,0,IF(OR(21&gt;$R26,BM26&lt;=$I26),BM26,BM26-MIN(INT(ROUND(IF($F26=1,$C26*$J26,IF(FL26&gt;0,FL26*$K26,BM26*$J26))*IF(21=$R26,$S26,12)/12,6)+$B$4),BM26-$I26)))))</f>
        <v/>
      </c>
      <c r="BO26" s="68">
        <f>IF($U26=0,0,IF($F26=4,0,IF($F26=3,0,IF(OR(22&gt;$R26,BN26&lt;=$I26),BN26,BN26-MIN(INT(ROUND(IF($F26=1,$C26*$J26,IF(FM26&gt;0,FM26*$K26,BN26*$J26))*IF(22=$R26,$S26,12)/12,6)+$B$4),BN26-$I26)))))</f>
        <v/>
      </c>
      <c r="BP26" s="68">
        <f>IF($U26=0,0,IF($F26=4,0,IF($F26=3,0,IF(OR(23&gt;$R26,BO26&lt;=$I26),BO26,BO26-MIN(INT(ROUND(IF($F26=1,$C26*$J26,IF(FN26&gt;0,FN26*$K26,BO26*$J26))*IF(23=$R26,$S26,12)/12,6)+$B$4),BO26-$I26)))))</f>
        <v/>
      </c>
      <c r="BQ26" s="68">
        <f>IF($U26=0,0,IF($F26=4,0,IF($F26=3,0,IF(OR(24&gt;$R26,BP26&lt;=$I26),BP26,BP26-MIN(INT(ROUND(IF($F26=1,$C26*$J26,IF(FO26&gt;0,FO26*$K26,BP26*$J26))*IF(24=$R26,$S26,12)/12,6)+$B$4),BP26-$I26)))))</f>
        <v/>
      </c>
      <c r="BR26" s="68">
        <f>IF($U26=0,0,IF($F26=4,0,IF($F26=3,0,IF(OR(25&gt;$R26,BQ26&lt;=$I26),BQ26,BQ26-MIN(INT(ROUND(IF($F26=1,$C26*$J26,IF(FP26&gt;0,FP26*$K26,BQ26*$J26))*IF(25=$R26,$S26,12)/12,6)+$B$4),BQ26-$I26)))))</f>
        <v/>
      </c>
      <c r="BS26" s="68">
        <f>IF($U26=0,0,IF($F26=4,0,IF($F26=3,0,IF(OR(26&gt;$R26,BR26&lt;=$I26),BR26,BR26-MIN(INT(ROUND(IF($F26=1,$C26*$J26,IF(FQ26&gt;0,FQ26*$K26,BR26*$J26))*IF(26=$R26,$S26,12)/12,6)+$B$4),BR26-$I26)))))</f>
        <v/>
      </c>
      <c r="BT26" s="68">
        <f>IF($U26=0,0,IF($F26=4,0,IF($F26=3,0,IF(OR(27&gt;$R26,BS26&lt;=$I26),BS26,BS26-MIN(INT(ROUND(IF($F26=1,$C26*$J26,IF(FR26&gt;0,FR26*$K26,BS26*$J26))*IF(27=$R26,$S26,12)/12,6)+$B$4),BS26-$I26)))))</f>
        <v/>
      </c>
      <c r="BU26" s="68">
        <f>IF($U26=0,0,IF($F26=4,0,IF($F26=3,0,IF(OR(28&gt;$R26,BT26&lt;=$I26),BT26,BT26-MIN(INT(ROUND(IF($F26=1,$C26*$J26,IF(FS26&gt;0,FS26*$K26,BT26*$J26))*IF(28=$R26,$S26,12)/12,6)+$B$4),BT26-$I26)))))</f>
        <v/>
      </c>
      <c r="BV26" s="68">
        <f>IF($U26=0,0,IF($F26=4,0,IF($F26=3,0,IF(OR(29&gt;$R26,BU26&lt;=$I26),BU26,BU26-MIN(INT(ROUND(IF($F26=1,$C26*$J26,IF(FT26&gt;0,FT26*$K26,BU26*$J26))*IF(29=$R26,$S26,12)/12,6)+$B$4),BU26-$I26)))))</f>
        <v/>
      </c>
      <c r="BW26" s="68">
        <f>IF($U26=0,0,IF($F26=4,0,IF($F26=3,0,IF(OR(30&gt;$R26,BV26&lt;=$I26),BV26,BV26-MIN(INT(ROUND(IF($F26=1,$C26*$J26,IF(FU26&gt;0,FU26*$K26,BV26*$J26))*IF(30=$R26,$S26,12)/12,6)+$B$4),BV26-$I26)))))</f>
        <v/>
      </c>
      <c r="BX26" s="68">
        <f>IF($U26=0,0,IF($F26=4,0,IF($F26=3,0,IF(OR(31&gt;$R26,BW26&lt;=$I26),BW26,BW26-MIN(INT(ROUND(IF($F26=1,$C26*$J26,IF(FV26&gt;0,FV26*$K26,BW26*$J26))*IF(31=$R26,$S26,12)/12,6)+$B$4),BW26-$I26)))))</f>
        <v/>
      </c>
      <c r="BY26" s="68">
        <f>IF($U26=0,0,IF($F26=4,0,IF($F26=3,0,IF(OR(32&gt;$R26,BX26&lt;=$I26),BX26,BX26-MIN(INT(ROUND(IF($F26=1,$C26*$J26,IF(FW26&gt;0,FW26*$K26,BX26*$J26))*IF(32=$R26,$S26,12)/12,6)+$B$4),BX26-$I26)))))</f>
        <v/>
      </c>
      <c r="BZ26" s="68">
        <f>IF($U26=0,0,IF($F26=4,0,IF($F26=3,0,IF(OR(33&gt;$R26,BY26&lt;=$I26),BY26,BY26-MIN(INT(ROUND(IF($F26=1,$C26*$J26,IF(FX26&gt;0,FX26*$K26,BY26*$J26))*IF(33=$R26,$S26,12)/12,6)+$B$4),BY26-$I26)))))</f>
        <v/>
      </c>
      <c r="CA26" s="68">
        <f>IF($U26=0,0,IF($F26=4,0,IF($F26=3,0,IF(OR(34&gt;$R26,BZ26&lt;=$I26),BZ26,BZ26-MIN(INT(ROUND(IF($F26=1,$C26*$J26,IF(FY26&gt;0,FY26*$K26,BZ26*$J26))*IF(34=$R26,$S26,12)/12,6)+$B$4),BZ26-$I26)))))</f>
        <v/>
      </c>
      <c r="CB26" s="68">
        <f>IF($U26=0,0,IF($F26=4,0,IF($F26=3,0,IF(OR(35&gt;$R26,CA26&lt;=$I26),CA26,CA26-MIN(INT(ROUND(IF($F26=1,$C26*$J26,IF(FZ26&gt;0,FZ26*$K26,CA26*$J26))*IF(35=$R26,$S26,12)/12,6)+$B$4),CA26-$I26)))))</f>
        <v/>
      </c>
      <c r="CC26" s="68">
        <f>IF($U26=0,0,IF($F26=4,0,IF($F26=3,0,IF(OR(36&gt;$R26,CB26&lt;=$I26),CB26,CB26-MIN(INT(ROUND(IF($F26=1,$C26*$J26,IF(GA26&gt;0,GA26*$K26,CB26*$J26))*IF(36=$R26,$S26,12)/12,6)+$B$4),CB26-$I26)))))</f>
        <v/>
      </c>
      <c r="CD26" s="68">
        <f>IF($U26=0,0,IF($F26=4,0,IF($F26=3,0,IF(OR(37&gt;$R26,CC26&lt;=$I26),CC26,CC26-MIN(INT(ROUND(IF($F26=1,$C26*$J26,IF(GB26&gt;0,GB26*$K26,CC26*$J26))*IF(37=$R26,$S26,12)/12,6)+$B$4),CC26-$I26)))))</f>
        <v/>
      </c>
      <c r="CE26" s="68">
        <f>IF($U26=0,0,IF($F26=4,0,IF($F26=3,0,IF(OR(38&gt;$R26,CD26&lt;=$I26),CD26,CD26-MIN(INT(ROUND(IF($F26=1,$C26*$J26,IF(GC26&gt;0,GC26*$K26,CD26*$J26))*IF(38=$R26,$S26,12)/12,6)+$B$4),CD26-$I26)))))</f>
        <v/>
      </c>
      <c r="CF26" s="68">
        <f>IF($U26=0,0,IF($F26=4,0,IF($F26=3,0,IF(OR(39&gt;$R26,CE26&lt;=$I26),CE26,CE26-MIN(INT(ROUND(IF($F26=1,$C26*$J26,IF(GD26&gt;0,GD26*$K26,CE26*$J26))*IF(39=$R26,$S26,12)/12,6)+$B$4),CE26-$I26)))))</f>
        <v/>
      </c>
      <c r="CG26" s="68">
        <f>IF($U26=0,0,IF($F26=4,0,IF($F26=3,0,IF(OR(40&gt;$R26,CF26&lt;=$I26),CF26,CF26-MIN(INT(ROUND(IF($F26=1,$C26*$J26,IF(GE26&gt;0,GE26*$K26,CF26*$J26))*IF(40=$R26,$S26,12)/12,6)+$B$4),CF26-$I26)))))</f>
        <v/>
      </c>
      <c r="CH26" s="68">
        <f>IF($U26=0,0,IF($F26=4,0,IF($F26=3,0,IF(OR(41&gt;$R26,CG26&lt;=$I26),CG26,CG26-MIN(INT(ROUND(IF($F26=1,$C26*$J26,IF(GF26&gt;0,GF26*$K26,CG26*$J26))*IF(41=$R26,$S26,12)/12,6)+$B$4),CG26-$I26)))))</f>
        <v/>
      </c>
      <c r="CI26" s="68">
        <f>IF($U26=0,0,IF($F26=4,0,IF($F26=3,0,IF(OR(42&gt;$R26,CH26&lt;=$I26),CH26,CH26-MIN(INT(ROUND(IF($F26=1,$C26*$J26,IF(GG26&gt;0,GG26*$K26,CH26*$J26))*IF(42=$R26,$S26,12)/12,6)+$B$4),CH26-$I26)))))</f>
        <v/>
      </c>
      <c r="CJ26" s="68">
        <f>IF($U26=0,0,IF($F26=4,0,IF($F26=3,0,IF(OR(43&gt;$R26,CI26&lt;=$I26),CI26,CI26-MIN(INT(ROUND(IF($F26=1,$C26*$J26,IF(GH26&gt;0,GH26*$K26,CI26*$J26))*IF(43=$R26,$S26,12)/12,6)+$B$4),CI26-$I26)))))</f>
        <v/>
      </c>
      <c r="CK26" s="68">
        <f>IF($U26=0,0,IF($F26=4,0,IF($F26=3,0,IF(OR(44&gt;$R26,CJ26&lt;=$I26),CJ26,CJ26-MIN(INT(ROUND(IF($F26=1,$C26*$J26,IF(GI26&gt;0,GI26*$K26,CJ26*$J26))*IF(44=$R26,$S26,12)/12,6)+$B$4),CJ26-$I26)))))</f>
        <v/>
      </c>
      <c r="CL26" s="68">
        <f>IF($U26=0,0,IF($F26=4,0,IF($F26=3,0,IF(OR(45&gt;$R26,CK26&lt;=$I26),CK26,CK26-MIN(INT(ROUND(IF($F26=1,$C26*$J26,IF(GJ26&gt;0,GJ26*$K26,CK26*$J26))*IF(45=$R26,$S26,12)/12,6)+$B$4),CK26-$I26)))))</f>
        <v/>
      </c>
      <c r="CM26" s="68">
        <f>IF($U26=0,0,IF($F26=4,0,IF($F26=3,0,IF(OR(46&gt;$R26,CL26&lt;=$I26),CL26,CL26-MIN(INT(ROUND(IF($F26=1,$C26*$J26,IF(GK26&gt;0,GK26*$K26,CL26*$J26))*IF(46=$R26,$S26,12)/12,6)+$B$4),CL26-$I26)))))</f>
        <v/>
      </c>
      <c r="CN26" s="68">
        <f>IF($U26=0,0,IF($F26=4,0,IF($F26=3,0,IF(OR(47&gt;$R26,CM26&lt;=$I26),CM26,CM26-MIN(INT(ROUND(IF($F26=1,$C26*$J26,IF(GL26&gt;0,GL26*$K26,CM26*$J26))*IF(47=$R26,$S26,12)/12,6)+$B$4),CM26-$I26)))))</f>
        <v/>
      </c>
      <c r="CO26" s="68">
        <f>IF($U26=0,0,IF($F26=4,0,IF($F26=3,0,IF(OR(48&gt;$R26,CN26&lt;=$I26),CN26,CN26-MIN(INT(ROUND(IF($F26=1,$C26*$J26,IF(GM26&gt;0,GM26*$K26,CN26*$J26))*IF(48=$R26,$S26,12)/12,6)+$B$4),CN26-$I26)))))</f>
        <v/>
      </c>
      <c r="CP26" s="68">
        <f>IF($U26=0,0,IF($F26=4,0,IF($F26=3,0,IF(OR(49&gt;$R26,CO26&lt;=$I26),CO26,CO26-MIN(INT(ROUND(IF($F26=1,$C26*$J26,IF(GN26&gt;0,GN26*$K26,CO26*$J26))*IF(49=$R26,$S26,12)/12,6)+$B$4),CO26-$I26)))))</f>
        <v/>
      </c>
      <c r="CQ26" s="68">
        <f>IF($U26=0,0,IF($F26=4,0,IF($F26=3,0,IF(OR(50&gt;$R26,CP26&lt;=$I26),CP26,CP26-MIN(INT(ROUND(IF($F26=1,$C26*$J26,IF(GO26&gt;0,GO26*$K26,CP26*$J26))*IF(50=$R26,$S26,12)/12,6)+$B$4),CP26-$I26)))))</f>
        <v/>
      </c>
      <c r="CR26" s="68">
        <f>IF($U26=0,0,IF($F26=4,0,IF($F26=3,0,IF(OR(51&gt;$R26,CQ26&lt;=$I26),CQ26,CQ26-MIN(INT(ROUND(IF($F26=1,$C26*$J26,IF(GP26&gt;0,GP26*$K26,CQ26*$J26))*IF(51=$R26,$S26,12)/12,6)+$B$4),CQ26-$I26)))))</f>
        <v/>
      </c>
      <c r="CS26" s="68">
        <f>IF($U26=0,0,IF($F26=4,0,IF($F26=3,0,IF(OR(52&gt;$R26,CR26&lt;=$I26),CR26,CR26-MIN(INT(ROUND(IF($F26=1,$C26*$J26,IF(GQ26&gt;0,GQ26*$K26,CR26*$J26))*IF(52=$R26,$S26,12)/12,6)+$B$4),CR26-$I26)))))</f>
        <v/>
      </c>
      <c r="CT26" s="68">
        <f>IF($U26=0,0,IF($F26=4,0,IF($F26=3,0,IF(OR(53&gt;$R26,CS26&lt;=$I26),CS26,CS26-MIN(INT(ROUND(IF($F26=1,$C26*$J26,IF(GR26&gt;0,GR26*$K26,CS26*$J26))*IF(53=$R26,$S26,12)/12,6)+$B$4),CS26-$I26)))))</f>
        <v/>
      </c>
      <c r="CU26" s="68">
        <f>IF($U26=0,0,IF($F26=4,0,IF($F26=3,0,IF(OR(54&gt;$R26,CT26&lt;=$I26),CT26,CT26-MIN(INT(ROUND(IF($F26=1,$C26*$J26,IF(GS26&gt;0,GS26*$K26,CT26*$J26))*IF(54=$R26,$S26,12)/12,6)+$B$4),CT26-$I26)))))</f>
        <v/>
      </c>
      <c r="CV26" s="68">
        <f>IF($U26=0,0,IF($F26=4,0,IF($F26=3,0,IF(OR(55&gt;$R26,CU26&lt;=$I26),CU26,CU26-MIN(INT(ROUND(IF($F26=1,$C26*$J26,IF(GT26&gt;0,GT26*$K26,CU26*$J26))*IF(55=$R26,$S26,12)/12,6)+$B$4),CU26-$I26)))))</f>
        <v/>
      </c>
      <c r="CW26" s="68">
        <f>IF($U26=0,0,IF($F26=4,0,IF($F26=3,0,IF(OR(56&gt;$R26,CV26&lt;=$I26),CV26,CV26-MIN(INT(ROUND(IF($F26=1,$C26*$J26,IF(GU26&gt;0,GU26*$K26,CV26*$J26))*IF(56=$R26,$S26,12)/12,6)+$B$4),CV26-$I26)))))</f>
        <v/>
      </c>
      <c r="CX26" s="68">
        <f>IF($U26=0,0,IF($F26=4,0,IF($F26=3,0,IF(OR(57&gt;$R26,CW26&lt;=$I26),CW26,CW26-MIN(INT(ROUND(IF($F26=1,$C26*$J26,IF(GV26&gt;0,GV26*$K26,CW26*$J26))*IF(57=$R26,$S26,12)/12,6)+$B$4),CW26-$I26)))))</f>
        <v/>
      </c>
      <c r="CY26" s="68">
        <f>IF($U26=0,0,IF($F26=4,0,IF($F26=3,0,IF(OR(58&gt;$R26,CX26&lt;=$I26),CX26,CX26-MIN(INT(ROUND(IF($F26=1,$C26*$J26,IF(GW26&gt;0,GW26*$K26,CX26*$J26))*IF(58=$R26,$S26,12)/12,6)+$B$4),CX26-$I26)))))</f>
        <v/>
      </c>
      <c r="CZ26" s="68">
        <f>IF($U26=0,0,IF($F26=4,0,IF($F26=3,0,IF(OR(59&gt;$R26,CY26&lt;=$I26),CY26,CY26-MIN(INT(ROUND(IF($F26=1,$C26*$J26,IF(GX26&gt;0,GX26*$K26,CY26*$J26))*IF(59=$R26,$S26,12)/12,6)+$B$4),CY26-$I26)))))</f>
        <v/>
      </c>
      <c r="DA26" s="68">
        <f>IF($U26=0,0,IF($F26=4,0,IF($F26=3,0,IF(OR(60&gt;$R26,CZ26&lt;=$I26),CZ26,CZ26-MIN(INT(ROUND(IF($F26=1,$C26*$J26,IF(GY26&gt;0,GY26*$K26,CZ26*$J26))*IF(60=$R26,$S26,12)/12,6)+$B$4),CZ26-$I26)))))</f>
        <v/>
      </c>
      <c r="DB26" s="68">
        <f>IF($U26=0,0,IF($F26=4,0,IF($F26=3,0,IF(OR(61&gt;$R26,DA26&lt;=$I26),DA26,DA26-MIN(INT(ROUND(IF($F26=1,$C26*$J26,IF(GZ26&gt;0,GZ26*$K26,DA26*$J26))*IF(61=$R26,$S26,12)/12,6)+$B$4),DA26-$I26)))))</f>
        <v/>
      </c>
      <c r="DC26" s="68">
        <f>IF($U26=0,0,IF($F26=4,0,IF($F26=3,0,IF(OR(62&gt;$R26,DB26&lt;=$I26),DB26,DB26-MIN(INT(ROUND(IF($F26=1,$C26*$J26,IF(HA26&gt;0,HA26*$K26,DB26*$J26))*IF(62=$R26,$S26,12)/12,6)+$B$4),DB26-$I26)))))</f>
        <v/>
      </c>
      <c r="DD26" s="68">
        <f>IF($U26=0,0,IF($F26=4,0,IF($F26=3,0,IF(OR(63&gt;$R26,DC26&lt;=$I26),DC26,DC26-MIN(INT(ROUND(IF($F26=1,$C26*$J26,IF(HB26&gt;0,HB26*$K26,DC26*$J26))*IF(63=$R26,$S26,12)/12,6)+$B$4),DC26-$I26)))))</f>
        <v/>
      </c>
      <c r="DE26" s="68">
        <f>IF($U26=0,0,IF($F26=4,0,IF($F26=3,0,IF(OR(64&gt;$R26,DD26&lt;=$I26),DD26,DD26-MIN(INT(ROUND(IF($F26=1,$C26*$J26,IF(HC26&gt;0,HC26*$K26,DD26*$J26))*IF(64=$R26,$S26,12)/12,6)+$B$4),DD26-$I26)))))</f>
        <v/>
      </c>
      <c r="DF26" s="68">
        <f>IF($U26=0,0,IF($F26=4,0,IF($F26=3,0,IF(OR(65&gt;$R26,DE26&lt;=$I26),DE26,DE26-MIN(INT(ROUND(IF($F26=1,$C26*$J26,IF(HD26&gt;0,HD26*$K26,DE26*$J26))*IF(65=$R26,$S26,12)/12,6)+$B$4),DE26-$I26)))))</f>
        <v/>
      </c>
      <c r="DG26" s="68">
        <f>IF($U26=0,0,IF($F26=4,0,IF($F26=3,0,IF(OR(66&gt;$R26,DF26&lt;=$I26),DF26,DF26-MIN(INT(ROUND(IF($F26=1,$C26*$J26,IF(HE26&gt;0,HE26*$K26,DF26*$J26))*IF(66=$R26,$S26,12)/12,6)+$B$4),DF26-$I26)))))</f>
        <v/>
      </c>
      <c r="DH26" s="68">
        <f>IF($U26=0,0,IF($F26=4,0,IF($F26=3,0,IF(OR(67&gt;$R26,DG26&lt;=$I26),DG26,DG26-MIN(INT(ROUND(IF($F26=1,$C26*$J26,IF(HF26&gt;0,HF26*$K26,DG26*$J26))*IF(67=$R26,$S26,12)/12,6)+$B$4),DG26-$I26)))))</f>
        <v/>
      </c>
      <c r="DI26" s="68">
        <f>IF($U26=0,0,IF($F26=4,0,IF($F26=3,0,IF(OR(68&gt;$R26,DH26&lt;=$I26),DH26,DH26-MIN(INT(ROUND(IF($F26=1,$C26*$J26,IF(HG26&gt;0,HG26*$K26,DH26*$J26))*IF(68=$R26,$S26,12)/12,6)+$B$4),DH26-$I26)))))</f>
        <v/>
      </c>
      <c r="DJ26" s="68">
        <f>IF($U26=0,0,IF($F26=4,0,IF($F26=3,0,IF(OR(69&gt;$R26,DI26&lt;=$I26),DI26,DI26-MIN(INT(ROUND(IF($F26=1,$C26*$J26,IF(HH26&gt;0,HH26*$K26,DI26*$J26))*IF(69=$R26,$S26,12)/12,6)+$B$4),DI26-$I26)))))</f>
        <v/>
      </c>
      <c r="DK26" s="68">
        <f>IF($U26=0,0,IF($F26=4,0,IF($F26=3,0,IF(OR(70&gt;$R26,DJ26&lt;=$I26),DJ26,DJ26-MIN(INT(ROUND(IF($F26=1,$C26*$J26,IF(HI26&gt;0,HI26*$K26,DJ26*$J26))*IF(70=$R26,$S26,12)/12,6)+$B$4),DJ26-$I26)))))</f>
        <v/>
      </c>
      <c r="DL26" s="68">
        <f>IF($U26=0,0,IF($F26=4,0,IF($F26=3,0,IF(OR(71&gt;$R26,DK26&lt;=$I26),DK26,DK26-MIN(INT(ROUND(IF($F26=1,$C26*$J26,IF(HJ26&gt;0,HJ26*$K26,DK26*$J26))*IF(71=$R26,$S26,12)/12,6)+$B$4),DK26-$I26)))))</f>
        <v/>
      </c>
      <c r="DM26" s="68">
        <f>IF($U26=0,0,IF($F26=4,0,IF($F26=3,0,IF(OR(72&gt;$R26,DL26&lt;=$I26),DL26,DL26-MIN(INT(ROUND(IF($F26=1,$C26*$J26,IF(HK26&gt;0,HK26*$K26,DL26*$J26))*IF(72=$R26,$S26,12)/12,6)+$B$4),DL26-$I26)))))</f>
        <v/>
      </c>
      <c r="DN26" s="68">
        <f>IF($U26=0,0,IF($F26=4,0,IF($F26=3,0,IF(OR(73&gt;$R26,DM26&lt;=$I26),DM26,DM26-MIN(INT(ROUND(IF($F26=1,$C26*$J26,IF(HL26&gt;0,HL26*$K26,DM26*$J26))*IF(73=$R26,$S26,12)/12,6)+$B$4),DM26-$I26)))))</f>
        <v/>
      </c>
      <c r="DO26" s="68">
        <f>IF($U26=0,0,IF($F26=4,0,IF($F26=3,0,IF(OR(74&gt;$R26,DN26&lt;=$I26),DN26,DN26-MIN(INT(ROUND(IF($F26=1,$C26*$J26,IF(HM26&gt;0,HM26*$K26,DN26*$J26))*IF(74=$R26,$S26,12)/12,6)+$B$4),DN26-$I26)))))</f>
        <v/>
      </c>
      <c r="DP26" s="68">
        <f>IF($U26=0,0,IF($F26=4,0,IF($F26=3,0,IF(OR(75&gt;$R26,DO26&lt;=$I26),DO26,DO26-MIN(INT(ROUND(IF($F26=1,$C26*$J26,IF(HN26&gt;0,HN26*$K26,DO26*$J26))*IF(75=$R26,$S26,12)/12,6)+$B$4),DO26-$I26)))))</f>
        <v/>
      </c>
      <c r="DQ26" s="68">
        <f>IF($U26=0,0,IF($F26=4,0,IF($F26=3,0,IF(OR(76&gt;$R26,DP26&lt;=$I26),DP26,DP26-MIN(INT(ROUND(IF($F26=1,$C26*$J26,IF(HO26&gt;0,HO26*$K26,DP26*$J26))*IF(76=$R26,$S26,12)/12,6)+$B$4),DP26-$I26)))))</f>
        <v/>
      </c>
      <c r="DR26" s="68">
        <f>IF($U26=0,0,IF($F26=4,0,IF($F26=3,0,IF(OR(77&gt;$R26,DQ26&lt;=$I26),DQ26,DQ26-MIN(INT(ROUND(IF($F26=1,$C26*$J26,IF(HP26&gt;0,HP26*$K26,DQ26*$J26))*IF(77=$R26,$S26,12)/12,6)+$B$4),DQ26-$I26)))))</f>
        <v/>
      </c>
      <c r="DS26" s="68">
        <f>IF($U26=0,0,IF($F26=4,0,IF($F26=3,0,IF(OR(78&gt;$R26,DR26&lt;=$I26),DR26,DR26-MIN(INT(ROUND(IF($F26=1,$C26*$J26,IF(HQ26&gt;0,HQ26*$K26,DR26*$J26))*IF(78=$R26,$S26,12)/12,6)+$B$4),DR26-$I26)))))</f>
        <v/>
      </c>
      <c r="DT26" s="68">
        <f>IF($U26=0,0,IF($F26=4,0,IF($F26=3,0,IF(OR(79&gt;$R26,DS26&lt;=$I26),DS26,DS26-MIN(INT(ROUND(IF($F26=1,$C26*$J26,IF(HR26&gt;0,HR26*$K26,DS26*$J26))*IF(79=$R26,$S26,12)/12,6)+$B$4),DS26-$I26)))))</f>
        <v/>
      </c>
      <c r="DU26" s="68">
        <f>IF($U26=0,0,IF($F26=4,0,IF($F26=3,0,IF(OR(80&gt;$R26,DT26&lt;=$I26),DT26,DT26-MIN(INT(ROUND(IF($F26=1,$C26*$J26,IF(HS26&gt;0,HS26*$K26,DT26*$J26))*IF(80=$R26,$S26,12)/12,6)+$B$4),DT26-$I26)))))</f>
        <v/>
      </c>
      <c r="DV26" s="68">
        <f>IF($U26=0,0,IF($F26=4,0,IF($F26=3,0,IF(OR(81&gt;$R26,DU26&lt;=$I26),DU26,DU26-MIN(INT(ROUND(IF($F26=1,$C26*$J26,IF(HT26&gt;0,HT26*$K26,DU26*$J26))*IF(81=$R26,$S26,12)/12,6)+$B$4),DU26-$I26)))))</f>
        <v/>
      </c>
      <c r="DW26" s="68">
        <f>IF($U26=0,0,IF($F26=4,0,IF($F26=3,0,IF(OR(82&gt;$R26,DV26&lt;=$I26),DV26,DV26-MIN(INT(ROUND(IF($F26=1,$C26*$J26,IF(HU26&gt;0,HU26*$K26,DV26*$J26))*IF(82=$R26,$S26,12)/12,6)+$B$4),DV26-$I26)))))</f>
        <v/>
      </c>
      <c r="DX26" s="68">
        <f>IF($U26=0,0,IF($F26=4,0,IF($F26=3,0,IF(OR(83&gt;$R26,DW26&lt;=$I26),DW26,DW26-MIN(INT(ROUND(IF($F26=1,$C26*$J26,IF(HV26&gt;0,HV26*$K26,DW26*$J26))*IF(83=$R26,$S26,12)/12,6)+$B$4),DW26-$I26)))))</f>
        <v/>
      </c>
      <c r="DY26" s="68">
        <f>IF($U26=0,0,IF($F26=4,0,IF($F26=3,0,IF(OR(84&gt;$R26,DX26&lt;=$I26),DX26,DX26-MIN(INT(ROUND(IF($F26=1,$C26*$J26,IF(HW26&gt;0,HW26*$K26,DX26*$J26))*IF(84=$R26,$S26,12)/12,6)+$B$4),DX26-$I26)))))</f>
        <v/>
      </c>
      <c r="DZ26" s="68">
        <f>IF($U26=0,0,IF($F26=4,0,IF($F26=3,0,IF(OR(85&gt;$R26,DY26&lt;=$I26),DY26,DY26-MIN(INT(ROUND(IF($F26=1,$C26*$J26,IF(HX26&gt;0,HX26*$K26,DY26*$J26))*IF(85=$R26,$S26,12)/12,6)+$B$4),DY26-$I26)))))</f>
        <v/>
      </c>
      <c r="EA26" s="68">
        <f>IF($U26=0,0,IF($F26=4,0,IF($F26=3,0,IF(OR(86&gt;$R26,DZ26&lt;=$I26),DZ26,DZ26-MIN(INT(ROUND(IF($F26=1,$C26*$J26,IF(HY26&gt;0,HY26*$K26,DZ26*$J26))*IF(86=$R26,$S26,12)/12,6)+$B$4),DZ26-$I26)))))</f>
        <v/>
      </c>
      <c r="EB26" s="68">
        <f>IF($U26=0,0,IF($F26=4,0,IF($F26=3,0,IF(OR(87&gt;$R26,EA26&lt;=$I26),EA26,EA26-MIN(INT(ROUND(IF($F26=1,$C26*$J26,IF(HZ26&gt;0,HZ26*$K26,EA26*$J26))*IF(87=$R26,$S26,12)/12,6)+$B$4),EA26-$I26)))))</f>
        <v/>
      </c>
      <c r="EC26" s="68">
        <f>IF($U26=0,0,IF($F26=4,0,IF($F26=3,0,IF(OR(88&gt;$R26,EB26&lt;=$I26),EB26,EB26-MIN(INT(ROUND(IF($F26=1,$C26*$J26,IF(IA26&gt;0,IA26*$K26,EB26*$J26))*IF(88=$R26,$S26,12)/12,6)+$B$4),EB26-$I26)))))</f>
        <v/>
      </c>
      <c r="ED26" s="68">
        <f>IF($U26=0,0,IF($F26=4,0,IF($F26=3,0,IF(OR(89&gt;$R26,EC26&lt;=$I26),EC26,EC26-MIN(INT(ROUND(IF($F26=1,$C26*$J26,IF(IB26&gt;0,IB26*$K26,EC26*$J26))*IF(89=$R26,$S26,12)/12,6)+$B$4),EC26-$I26)))))</f>
        <v/>
      </c>
      <c r="EE26" s="68">
        <f>IF($U26=0,0,IF($F26=4,0,IF($F26=3,0,IF(OR(90&gt;$R26,ED26&lt;=$I26),ED26,ED26-MIN(INT(ROUND(IF($F26=1,$C26*$J26,IF(IC26&gt;0,IC26*$K26,ED26*$J26))*IF(90=$R26,$S26,12)/12,6)+$B$4),ED26-$I26)))))</f>
        <v/>
      </c>
      <c r="EF26" s="68">
        <f>IF($U26=0,0,IF($F26=4,0,IF($F26=3,0,IF(OR(91&gt;$R26,EE26&lt;=$I26),EE26,EE26-MIN(INT(ROUND(IF($F26=1,$C26*$J26,IF(ID26&gt;0,ID26*$K26,EE26*$J26))*IF(91=$R26,$S26,12)/12,6)+$B$4),EE26-$I26)))))</f>
        <v/>
      </c>
      <c r="EG26" s="68">
        <f>IF($U26=0,0,IF($F26=4,0,IF($F26=3,0,IF(OR(92&gt;$R26,EF26&lt;=$I26),EF26,EF26-MIN(INT(ROUND(IF($F26=1,$C26*$J26,IF(IE26&gt;0,IE26*$K26,EF26*$J26))*IF(92=$R26,$S26,12)/12,6)+$B$4),EF26-$I26)))))</f>
        <v/>
      </c>
      <c r="EH26" s="68">
        <f>IF($U26=0,0,IF($F26=4,0,IF($F26=3,0,IF(OR(93&gt;$R26,EG26&lt;=$I26),EG26,EG26-MIN(INT(ROUND(IF($F26=1,$C26*$J26,IF(IF26&gt;0,IF26*$K26,EG26*$J26))*IF(93=$R26,$S26,12)/12,6)+$B$4),EG26-$I26)))))</f>
        <v/>
      </c>
      <c r="EI26" s="68">
        <f>IF($U26=0,0,IF($F26=4,0,IF($F26=3,0,IF(OR(94&gt;$R26,EH26&lt;=$I26),EH26,EH26-MIN(INT(ROUND(IF($F26=1,$C26*$J26,IF(IG26&gt;0,IG26*$K26,EH26*$J26))*IF(94=$R26,$S26,12)/12,6)+$B$4),EH26-$I26)))))</f>
        <v/>
      </c>
      <c r="EJ26" s="68">
        <f>IF($U26=0,0,IF($F26=4,0,IF($F26=3,0,IF(OR(95&gt;$R26,EI26&lt;=$I26),EI26,EI26-MIN(INT(ROUND(IF($F26=1,$C26*$J26,IF(IH26&gt;0,IH26*$K26,EI26*$J26))*IF(95=$R26,$S26,12)/12,6)+$B$4),EI26-$I26)))))</f>
        <v/>
      </c>
      <c r="EK26" s="68">
        <f>IF($U26=0,0,IF($F26=4,0,IF($F26=3,0,IF(OR(96&gt;$R26,EJ26&lt;=$I26),EJ26,EJ26-MIN(INT(ROUND(IF($F26=1,$C26*$J26,IF(II26&gt;0,II26*$K26,EJ26*$J26))*IF(96=$R26,$S26,12)/12,6)+$B$4),EJ26-$I26)))))</f>
        <v/>
      </c>
      <c r="EL26" s="68">
        <f>IF($U26=0,0,IF($F26=4,0,IF($F26=3,0,IF(OR(97&gt;$R26,EK26&lt;=$I26),EK26,EK26-MIN(INT(ROUND(IF($F26=1,$C26*$J26,IF(IJ26&gt;0,IJ26*$K26,EK26*$J26))*IF(97=$R26,$S26,12)/12,6)+$B$4),EK26-$I26)))))</f>
        <v/>
      </c>
      <c r="EM26" s="68">
        <f>IF($U26=0,0,IF($F26=4,0,IF($F26=3,0,IF(OR(98&gt;$R26,EL26&lt;=$I26),EL26,EL26-MIN(INT(ROUND(IF($F26=1,$C26*$J26,IF(IK26&gt;0,IK26*$K26,EL26*$J26))*IF(98=$R26,$S26,12)/12,6)+$B$4),EL26-$I26)))))</f>
        <v/>
      </c>
      <c r="EN26" s="68">
        <f>IF($U26=0,0,IF($F26=4,0,IF($F26=3,0,IF(OR(99&gt;$R26,EM26&lt;=$I26),EM26,EM26-MIN(INT(ROUND(IF($F26=1,$C26*$J26,IF(IL26&gt;0,IL26*$K26,EM26*$J26))*IF(99=$R26,$S26,12)/12,6)+$B$4),EM26-$I26)))))</f>
        <v/>
      </c>
      <c r="EO26" s="68">
        <f>IF($U26=0,0,IF($F26=4,0,IF($F26=3,0,IF(OR(100&gt;$R26,EN26&lt;=$I26),EN26,EN26-MIN(INT(ROUND(IF($F26=1,$C26*$J26,IF(IM26&gt;0,IM26*$K26,EN26*$J26))*IF(100=$R26,$S26,12)/12,6)+$B$4),EN26-$I26)))))</f>
        <v/>
      </c>
      <c r="EP26" s="68">
        <f>IF($U26=0,0,IF($F26=4,0,IF($F26=3,0,IF(OR(101&gt;$R26,EO26&lt;=$I26),EO26,EO26-MIN(INT(ROUND(IF($F26=1,$C26*$J26,IF(IN26&gt;0,IN26*$K26,EO26*$J26))*IF(101=$R26,$S26,12)/12,6)+$B$4),EO26-$I26)))))</f>
        <v/>
      </c>
      <c r="EQ26" s="68" t="n"/>
      <c r="ER26" s="68">
        <f>IF(OR($U26=0,$F26&lt;&gt;2),0,IF(ROUND(AS26*$J26,6)&lt;ROUND($M26,6),AS26,0))</f>
        <v/>
      </c>
      <c r="ES26" s="68">
        <f>IF(OR($U26=0,$F26&lt;&gt;2),0,IF(ER26&gt;0,ER26,IF(ROUND(AT26*$J26,6)&lt;ROUND($M26,6),AT26,0)))</f>
        <v/>
      </c>
      <c r="ET26" s="68">
        <f>IF(OR($U26=0,$F26&lt;&gt;2),0,IF(ES26&gt;0,ES26,IF(ROUND(AU26*$J26,6)&lt;ROUND($M26,6),AU26,0)))</f>
        <v/>
      </c>
      <c r="EU26" s="68">
        <f>IF(OR($U26=0,$F26&lt;&gt;2),0,IF(ET26&gt;0,ET26,IF(ROUND(AV26*$J26,6)&lt;ROUND($M26,6),AV26,0)))</f>
        <v/>
      </c>
      <c r="EV26" s="68">
        <f>IF(OR($U26=0,$F26&lt;&gt;2),0,IF(EU26&gt;0,EU26,IF(ROUND(AW26*$J26,6)&lt;ROUND($M26,6),AW26,0)))</f>
        <v/>
      </c>
      <c r="EW26" s="68">
        <f>IF(OR($U26=0,$F26&lt;&gt;2),0,IF(EV26&gt;0,EV26,IF(ROUND(AX26*$J26,6)&lt;ROUND($M26,6),AX26,0)))</f>
        <v/>
      </c>
      <c r="EX26" s="68">
        <f>IF(OR($U26=0,$F26&lt;&gt;2),0,IF(EW26&gt;0,EW26,IF(ROUND(AY26*$J26,6)&lt;ROUND($M26,6),AY26,0)))</f>
        <v/>
      </c>
      <c r="EY26" s="68">
        <f>IF(OR($U26=0,$F26&lt;&gt;2),0,IF(EX26&gt;0,EX26,IF(ROUND(AZ26*$J26,6)&lt;ROUND($M26,6),AZ26,0)))</f>
        <v/>
      </c>
      <c r="EZ26" s="68">
        <f>IF(OR($U26=0,$F26&lt;&gt;2),0,IF(EY26&gt;0,EY26,IF(ROUND(BA26*$J26,6)&lt;ROUND($M26,6),BA26,0)))</f>
        <v/>
      </c>
      <c r="FA26" s="68">
        <f>IF(OR($U26=0,$F26&lt;&gt;2),0,IF(EZ26&gt;0,EZ26,IF(ROUND(BB26*$J26,6)&lt;ROUND($M26,6),BB26,0)))</f>
        <v/>
      </c>
      <c r="FB26" s="68">
        <f>IF(OR($U26=0,$F26&lt;&gt;2),0,IF(FA26&gt;0,FA26,IF(ROUND(BC26*$J26,6)&lt;ROUND($M26,6),BC26,0)))</f>
        <v/>
      </c>
      <c r="FC26" s="68">
        <f>IF(OR($U26=0,$F26&lt;&gt;2),0,IF(FB26&gt;0,FB26,IF(ROUND(BD26*$J26,6)&lt;ROUND($M26,6),BD26,0)))</f>
        <v/>
      </c>
      <c r="FD26" s="68">
        <f>IF(OR($U26=0,$F26&lt;&gt;2),0,IF(FC26&gt;0,FC26,IF(ROUND(BE26*$J26,6)&lt;ROUND($M26,6),BE26,0)))</f>
        <v/>
      </c>
      <c r="FE26" s="68">
        <f>IF(OR($U26=0,$F26&lt;&gt;2),0,IF(FD26&gt;0,FD26,IF(ROUND(BF26*$J26,6)&lt;ROUND($M26,6),BF26,0)))</f>
        <v/>
      </c>
      <c r="FF26" s="68">
        <f>IF(OR($U26=0,$F26&lt;&gt;2),0,IF(FE26&gt;0,FE26,IF(ROUND(BG26*$J26,6)&lt;ROUND($M26,6),BG26,0)))</f>
        <v/>
      </c>
      <c r="FG26" s="68">
        <f>IF(OR($U26=0,$F26&lt;&gt;2),0,IF(FF26&gt;0,FF26,IF(ROUND(BH26*$J26,6)&lt;ROUND($M26,6),BH26,0)))</f>
        <v/>
      </c>
      <c r="FH26" s="68">
        <f>IF(OR($U26=0,$F26&lt;&gt;2),0,IF(FG26&gt;0,FG26,IF(ROUND(BI26*$J26,6)&lt;ROUND($M26,6),BI26,0)))</f>
        <v/>
      </c>
      <c r="FI26" s="68">
        <f>IF(OR($U26=0,$F26&lt;&gt;2),0,IF(FH26&gt;0,FH26,IF(ROUND(BJ26*$J26,6)&lt;ROUND($M26,6),BJ26,0)))</f>
        <v/>
      </c>
      <c r="FJ26" s="68">
        <f>IF(OR($U26=0,$F26&lt;&gt;2),0,IF(FI26&gt;0,FI26,IF(ROUND(BK26*$J26,6)&lt;ROUND($M26,6),BK26,0)))</f>
        <v/>
      </c>
      <c r="FK26" s="68">
        <f>IF(OR($U26=0,$F26&lt;&gt;2),0,IF(FJ26&gt;0,FJ26,IF(ROUND(BL26*$J26,6)&lt;ROUND($M26,6),BL26,0)))</f>
        <v/>
      </c>
      <c r="FL26" s="68">
        <f>IF(OR($U26=0,$F26&lt;&gt;2),0,IF(FK26&gt;0,FK26,IF(ROUND(BM26*$J26,6)&lt;ROUND($M26,6),BM26,0)))</f>
        <v/>
      </c>
      <c r="FM26" s="68">
        <f>IF(OR($U26=0,$F26&lt;&gt;2),0,IF(FL26&gt;0,FL26,IF(ROUND(BN26*$J26,6)&lt;ROUND($M26,6),BN26,0)))</f>
        <v/>
      </c>
      <c r="FN26" s="68">
        <f>IF(OR($U26=0,$F26&lt;&gt;2),0,IF(FM26&gt;0,FM26,IF(ROUND(BO26*$J26,6)&lt;ROUND($M26,6),BO26,0)))</f>
        <v/>
      </c>
      <c r="FO26" s="68">
        <f>IF(OR($U26=0,$F26&lt;&gt;2),0,IF(FN26&gt;0,FN26,IF(ROUND(BP26*$J26,6)&lt;ROUND($M26,6),BP26,0)))</f>
        <v/>
      </c>
      <c r="FP26" s="68">
        <f>IF(OR($U26=0,$F26&lt;&gt;2),0,IF(FO26&gt;0,FO26,IF(ROUND(BQ26*$J26,6)&lt;ROUND($M26,6),BQ26,0)))</f>
        <v/>
      </c>
      <c r="FQ26" s="68">
        <f>IF(OR($U26=0,$F26&lt;&gt;2),0,IF(FP26&gt;0,FP26,IF(ROUND(BR26*$J26,6)&lt;ROUND($M26,6),BR26,0)))</f>
        <v/>
      </c>
      <c r="FR26" s="68">
        <f>IF(OR($U26=0,$F26&lt;&gt;2),0,IF(FQ26&gt;0,FQ26,IF(ROUND(BS26*$J26,6)&lt;ROUND($M26,6),BS26,0)))</f>
        <v/>
      </c>
      <c r="FS26" s="68">
        <f>IF(OR($U26=0,$F26&lt;&gt;2),0,IF(FR26&gt;0,FR26,IF(ROUND(BT26*$J26,6)&lt;ROUND($M26,6),BT26,0)))</f>
        <v/>
      </c>
      <c r="FT26" s="68">
        <f>IF(OR($U26=0,$F26&lt;&gt;2),0,IF(FS26&gt;0,FS26,IF(ROUND(BU26*$J26,6)&lt;ROUND($M26,6),BU26,0)))</f>
        <v/>
      </c>
      <c r="FU26" s="68">
        <f>IF(OR($U26=0,$F26&lt;&gt;2),0,IF(FT26&gt;0,FT26,IF(ROUND(BV26*$J26,6)&lt;ROUND($M26,6),BV26,0)))</f>
        <v/>
      </c>
      <c r="FV26" s="68">
        <f>IF(OR($U26=0,$F26&lt;&gt;2),0,IF(FU26&gt;0,FU26,IF(ROUND(BW26*$J26,6)&lt;ROUND($M26,6),BW26,0)))</f>
        <v/>
      </c>
      <c r="FW26" s="68">
        <f>IF(OR($U26=0,$F26&lt;&gt;2),0,IF(FV26&gt;0,FV26,IF(ROUND(BX26*$J26,6)&lt;ROUND($M26,6),BX26,0)))</f>
        <v/>
      </c>
      <c r="FX26" s="68">
        <f>IF(OR($U26=0,$F26&lt;&gt;2),0,IF(FW26&gt;0,FW26,IF(ROUND(BY26*$J26,6)&lt;ROUND($M26,6),BY26,0)))</f>
        <v/>
      </c>
      <c r="FY26" s="68">
        <f>IF(OR($U26=0,$F26&lt;&gt;2),0,IF(FX26&gt;0,FX26,IF(ROUND(BZ26*$J26,6)&lt;ROUND($M26,6),BZ26,0)))</f>
        <v/>
      </c>
      <c r="FZ26" s="68">
        <f>IF(OR($U26=0,$F26&lt;&gt;2),0,IF(FY26&gt;0,FY26,IF(ROUND(CA26*$J26,6)&lt;ROUND($M26,6),CA26,0)))</f>
        <v/>
      </c>
      <c r="GA26" s="68">
        <f>IF(OR($U26=0,$F26&lt;&gt;2),0,IF(FZ26&gt;0,FZ26,IF(ROUND(CB26*$J26,6)&lt;ROUND($M26,6),CB26,0)))</f>
        <v/>
      </c>
      <c r="GB26" s="68">
        <f>IF(OR($U26=0,$F26&lt;&gt;2),0,IF(GA26&gt;0,GA26,IF(ROUND(CC26*$J26,6)&lt;ROUND($M26,6),CC26,0)))</f>
        <v/>
      </c>
      <c r="GC26" s="68">
        <f>IF(OR($U26=0,$F26&lt;&gt;2),0,IF(GB26&gt;0,GB26,IF(ROUND(CD26*$J26,6)&lt;ROUND($M26,6),CD26,0)))</f>
        <v/>
      </c>
      <c r="GD26" s="68">
        <f>IF(OR($U26=0,$F26&lt;&gt;2),0,IF(GC26&gt;0,GC26,IF(ROUND(CE26*$J26,6)&lt;ROUND($M26,6),CE26,0)))</f>
        <v/>
      </c>
      <c r="GE26" s="68">
        <f>IF(OR($U26=0,$F26&lt;&gt;2),0,IF(GD26&gt;0,GD26,IF(ROUND(CF26*$J26,6)&lt;ROUND($M26,6),CF26,0)))</f>
        <v/>
      </c>
      <c r="GF26" s="68">
        <f>IF(OR($U26=0,$F26&lt;&gt;2),0,IF(GE26&gt;0,GE26,IF(ROUND(CG26*$J26,6)&lt;ROUND($M26,6),CG26,0)))</f>
        <v/>
      </c>
      <c r="GG26" s="68">
        <f>IF(OR($U26=0,$F26&lt;&gt;2),0,IF(GF26&gt;0,GF26,IF(ROUND(CH26*$J26,6)&lt;ROUND($M26,6),CH26,0)))</f>
        <v/>
      </c>
      <c r="GH26" s="68">
        <f>IF(OR($U26=0,$F26&lt;&gt;2),0,IF(GG26&gt;0,GG26,IF(ROUND(CI26*$J26,6)&lt;ROUND($M26,6),CI26,0)))</f>
        <v/>
      </c>
      <c r="GI26" s="68">
        <f>IF(OR($U26=0,$F26&lt;&gt;2),0,IF(GH26&gt;0,GH26,IF(ROUND(CJ26*$J26,6)&lt;ROUND($M26,6),CJ26,0)))</f>
        <v/>
      </c>
      <c r="GJ26" s="68">
        <f>IF(OR($U26=0,$F26&lt;&gt;2),0,IF(GI26&gt;0,GI26,IF(ROUND(CK26*$J26,6)&lt;ROUND($M26,6),CK26,0)))</f>
        <v/>
      </c>
      <c r="GK26" s="68">
        <f>IF(OR($U26=0,$F26&lt;&gt;2),0,IF(GJ26&gt;0,GJ26,IF(ROUND(CL26*$J26,6)&lt;ROUND($M26,6),CL26,0)))</f>
        <v/>
      </c>
      <c r="GL26" s="68">
        <f>IF(OR($U26=0,$F26&lt;&gt;2),0,IF(GK26&gt;0,GK26,IF(ROUND(CM26*$J26,6)&lt;ROUND($M26,6),CM26,0)))</f>
        <v/>
      </c>
      <c r="GM26" s="68">
        <f>IF(OR($U26=0,$F26&lt;&gt;2),0,IF(GL26&gt;0,GL26,IF(ROUND(CN26*$J26,6)&lt;ROUND($M26,6),CN26,0)))</f>
        <v/>
      </c>
      <c r="GN26" s="68">
        <f>IF(OR($U26=0,$F26&lt;&gt;2),0,IF(GM26&gt;0,GM26,IF(ROUND(CO26*$J26,6)&lt;ROUND($M26,6),CO26,0)))</f>
        <v/>
      </c>
      <c r="GO26" s="68">
        <f>IF(OR($U26=0,$F26&lt;&gt;2),0,IF(GN26&gt;0,GN26,IF(ROUND(CP26*$J26,6)&lt;ROUND($M26,6),CP26,0)))</f>
        <v/>
      </c>
      <c r="GP26" s="68">
        <f>IF(OR($U26=0,$F26&lt;&gt;2),0,IF(GO26&gt;0,GO26,IF(ROUND(CQ26*$J26,6)&lt;ROUND($M26,6),CQ26,0)))</f>
        <v/>
      </c>
      <c r="GQ26" s="68">
        <f>IF(OR($U26=0,$F26&lt;&gt;2),0,IF(GP26&gt;0,GP26,IF(ROUND(CR26*$J26,6)&lt;ROUND($M26,6),CR26,0)))</f>
        <v/>
      </c>
      <c r="GR26" s="68">
        <f>IF(OR($U26=0,$F26&lt;&gt;2),0,IF(GQ26&gt;0,GQ26,IF(ROUND(CS26*$J26,6)&lt;ROUND($M26,6),CS26,0)))</f>
        <v/>
      </c>
      <c r="GS26" s="68">
        <f>IF(OR($U26=0,$F26&lt;&gt;2),0,IF(GR26&gt;0,GR26,IF(ROUND(CT26*$J26,6)&lt;ROUND($M26,6),CT26,0)))</f>
        <v/>
      </c>
      <c r="GT26" s="68">
        <f>IF(OR($U26=0,$F26&lt;&gt;2),0,IF(GS26&gt;0,GS26,IF(ROUND(CU26*$J26,6)&lt;ROUND($M26,6),CU26,0)))</f>
        <v/>
      </c>
      <c r="GU26" s="68">
        <f>IF(OR($U26=0,$F26&lt;&gt;2),0,IF(GT26&gt;0,GT26,IF(ROUND(CV26*$J26,6)&lt;ROUND($M26,6),CV26,0)))</f>
        <v/>
      </c>
      <c r="GV26" s="68">
        <f>IF(OR($U26=0,$F26&lt;&gt;2),0,IF(GU26&gt;0,GU26,IF(ROUND(CW26*$J26,6)&lt;ROUND($M26,6),CW26,0)))</f>
        <v/>
      </c>
      <c r="GW26" s="68">
        <f>IF(OR($U26=0,$F26&lt;&gt;2),0,IF(GV26&gt;0,GV26,IF(ROUND(CX26*$J26,6)&lt;ROUND($M26,6),CX26,0)))</f>
        <v/>
      </c>
      <c r="GX26" s="68">
        <f>IF(OR($U26=0,$F26&lt;&gt;2),0,IF(GW26&gt;0,GW26,IF(ROUND(CY26*$J26,6)&lt;ROUND($M26,6),CY26,0)))</f>
        <v/>
      </c>
      <c r="GY26" s="68">
        <f>IF(OR($U26=0,$F26&lt;&gt;2),0,IF(GX26&gt;0,GX26,IF(ROUND(CZ26*$J26,6)&lt;ROUND($M26,6),CZ26,0)))</f>
        <v/>
      </c>
      <c r="GZ26" s="68">
        <f>IF(OR($U26=0,$F26&lt;&gt;2),0,IF(GY26&gt;0,GY26,IF(ROUND(DA26*$J26,6)&lt;ROUND($M26,6),DA26,0)))</f>
        <v/>
      </c>
      <c r="HA26" s="68">
        <f>IF(OR($U26=0,$F26&lt;&gt;2),0,IF(GZ26&gt;0,GZ26,IF(ROUND(DB26*$J26,6)&lt;ROUND($M26,6),DB26,0)))</f>
        <v/>
      </c>
      <c r="HB26" s="68">
        <f>IF(OR($U26=0,$F26&lt;&gt;2),0,IF(HA26&gt;0,HA26,IF(ROUND(DC26*$J26,6)&lt;ROUND($M26,6),DC26,0)))</f>
        <v/>
      </c>
      <c r="HC26" s="68">
        <f>IF(OR($U26=0,$F26&lt;&gt;2),0,IF(HB26&gt;0,HB26,IF(ROUND(DD26*$J26,6)&lt;ROUND($M26,6),DD26,0)))</f>
        <v/>
      </c>
      <c r="HD26" s="68">
        <f>IF(OR($U26=0,$F26&lt;&gt;2),0,IF(HC26&gt;0,HC26,IF(ROUND(DE26*$J26,6)&lt;ROUND($M26,6),DE26,0)))</f>
        <v/>
      </c>
      <c r="HE26" s="68">
        <f>IF(OR($U26=0,$F26&lt;&gt;2),0,IF(HD26&gt;0,HD26,IF(ROUND(DF26*$J26,6)&lt;ROUND($M26,6),DF26,0)))</f>
        <v/>
      </c>
      <c r="HF26" s="68">
        <f>IF(OR($U26=0,$F26&lt;&gt;2),0,IF(HE26&gt;0,HE26,IF(ROUND(DG26*$J26,6)&lt;ROUND($M26,6),DG26,0)))</f>
        <v/>
      </c>
      <c r="HG26" s="68">
        <f>IF(OR($U26=0,$F26&lt;&gt;2),0,IF(HF26&gt;0,HF26,IF(ROUND(DH26*$J26,6)&lt;ROUND($M26,6),DH26,0)))</f>
        <v/>
      </c>
      <c r="HH26" s="68">
        <f>IF(OR($U26=0,$F26&lt;&gt;2),0,IF(HG26&gt;0,HG26,IF(ROUND(DI26*$J26,6)&lt;ROUND($M26,6),DI26,0)))</f>
        <v/>
      </c>
      <c r="HI26" s="68">
        <f>IF(OR($U26=0,$F26&lt;&gt;2),0,IF(HH26&gt;0,HH26,IF(ROUND(DJ26*$J26,6)&lt;ROUND($M26,6),DJ26,0)))</f>
        <v/>
      </c>
      <c r="HJ26" s="68">
        <f>IF(OR($U26=0,$F26&lt;&gt;2),0,IF(HI26&gt;0,HI26,IF(ROUND(DK26*$J26,6)&lt;ROUND($M26,6),DK26,0)))</f>
        <v/>
      </c>
      <c r="HK26" s="68">
        <f>IF(OR($U26=0,$F26&lt;&gt;2),0,IF(HJ26&gt;0,HJ26,IF(ROUND(DL26*$J26,6)&lt;ROUND($M26,6),DL26,0)))</f>
        <v/>
      </c>
      <c r="HL26" s="68">
        <f>IF(OR($U26=0,$F26&lt;&gt;2),0,IF(HK26&gt;0,HK26,IF(ROUND(DM26*$J26,6)&lt;ROUND($M26,6),DM26,0)))</f>
        <v/>
      </c>
      <c r="HM26" s="68">
        <f>IF(OR($U26=0,$F26&lt;&gt;2),0,IF(HL26&gt;0,HL26,IF(ROUND(DN26*$J26,6)&lt;ROUND($M26,6),DN26,0)))</f>
        <v/>
      </c>
      <c r="HN26" s="68">
        <f>IF(OR($U26=0,$F26&lt;&gt;2),0,IF(HM26&gt;0,HM26,IF(ROUND(DO26*$J26,6)&lt;ROUND($M26,6),DO26,0)))</f>
        <v/>
      </c>
      <c r="HO26" s="68">
        <f>IF(OR($U26=0,$F26&lt;&gt;2),0,IF(HN26&gt;0,HN26,IF(ROUND(DP26*$J26,6)&lt;ROUND($M26,6),DP26,0)))</f>
        <v/>
      </c>
      <c r="HP26" s="68">
        <f>IF(OR($U26=0,$F26&lt;&gt;2),0,IF(HO26&gt;0,HO26,IF(ROUND(DQ26*$J26,6)&lt;ROUND($M26,6),DQ26,0)))</f>
        <v/>
      </c>
      <c r="HQ26" s="68">
        <f>IF(OR($U26=0,$F26&lt;&gt;2),0,IF(HP26&gt;0,HP26,IF(ROUND(DR26*$J26,6)&lt;ROUND($M26,6),DR26,0)))</f>
        <v/>
      </c>
      <c r="HR26" s="68">
        <f>IF(OR($U26=0,$F26&lt;&gt;2),0,IF(HQ26&gt;0,HQ26,IF(ROUND(DS26*$J26,6)&lt;ROUND($M26,6),DS26,0)))</f>
        <v/>
      </c>
      <c r="HS26" s="68">
        <f>IF(OR($U26=0,$F26&lt;&gt;2),0,IF(HR26&gt;0,HR26,IF(ROUND(DT26*$J26,6)&lt;ROUND($M26,6),DT26,0)))</f>
        <v/>
      </c>
      <c r="HT26" s="68">
        <f>IF(OR($U26=0,$F26&lt;&gt;2),0,IF(HS26&gt;0,HS26,IF(ROUND(DU26*$J26,6)&lt;ROUND($M26,6),DU26,0)))</f>
        <v/>
      </c>
      <c r="HU26" s="68">
        <f>IF(OR($U26=0,$F26&lt;&gt;2),0,IF(HT26&gt;0,HT26,IF(ROUND(DV26*$J26,6)&lt;ROUND($M26,6),DV26,0)))</f>
        <v/>
      </c>
      <c r="HV26" s="68">
        <f>IF(OR($U26=0,$F26&lt;&gt;2),0,IF(HU26&gt;0,HU26,IF(ROUND(DW26*$J26,6)&lt;ROUND($M26,6),DW26,0)))</f>
        <v/>
      </c>
      <c r="HW26" s="68">
        <f>IF(OR($U26=0,$F26&lt;&gt;2),0,IF(HV26&gt;0,HV26,IF(ROUND(DX26*$J26,6)&lt;ROUND($M26,6),DX26,0)))</f>
        <v/>
      </c>
      <c r="HX26" s="68">
        <f>IF(OR($U26=0,$F26&lt;&gt;2),0,IF(HW26&gt;0,HW26,IF(ROUND(DY26*$J26,6)&lt;ROUND($M26,6),DY26,0)))</f>
        <v/>
      </c>
      <c r="HY26" s="68">
        <f>IF(OR($U26=0,$F26&lt;&gt;2),0,IF(HX26&gt;0,HX26,IF(ROUND(DZ26*$J26,6)&lt;ROUND($M26,6),DZ26,0)))</f>
        <v/>
      </c>
      <c r="HZ26" s="68">
        <f>IF(OR($U26=0,$F26&lt;&gt;2),0,IF(HY26&gt;0,HY26,IF(ROUND(EA26*$J26,6)&lt;ROUND($M26,6),EA26,0)))</f>
        <v/>
      </c>
      <c r="IA26" s="68">
        <f>IF(OR($U26=0,$F26&lt;&gt;2),0,IF(HZ26&gt;0,HZ26,IF(ROUND(EB26*$J26,6)&lt;ROUND($M26,6),EB26,0)))</f>
        <v/>
      </c>
      <c r="IB26" s="68">
        <f>IF(OR($U26=0,$F26&lt;&gt;2),0,IF(IA26&gt;0,IA26,IF(ROUND(EC26*$J26,6)&lt;ROUND($M26,6),EC26,0)))</f>
        <v/>
      </c>
      <c r="IC26" s="68">
        <f>IF(OR($U26=0,$F26&lt;&gt;2),0,IF(IB26&gt;0,IB26,IF(ROUND(ED26*$J26,6)&lt;ROUND($M26,6),ED26,0)))</f>
        <v/>
      </c>
      <c r="ID26" s="68">
        <f>IF(OR($U26=0,$F26&lt;&gt;2),0,IF(IC26&gt;0,IC26,IF(ROUND(EE26*$J26,6)&lt;ROUND($M26,6),EE26,0)))</f>
        <v/>
      </c>
      <c r="IE26" s="68">
        <f>IF(OR($U26=0,$F26&lt;&gt;2),0,IF(ID26&gt;0,ID26,IF(ROUND(EF26*$J26,6)&lt;ROUND($M26,6),EF26,0)))</f>
        <v/>
      </c>
      <c r="IF26" s="68">
        <f>IF(OR($U26=0,$F26&lt;&gt;2),0,IF(IE26&gt;0,IE26,IF(ROUND(EG26*$J26,6)&lt;ROUND($M26,6),EG26,0)))</f>
        <v/>
      </c>
      <c r="IG26" s="68">
        <f>IF(OR($U26=0,$F26&lt;&gt;2),0,IF(IF26&gt;0,IF26,IF(ROUND(EH26*$J26,6)&lt;ROUND($M26,6),EH26,0)))</f>
        <v/>
      </c>
      <c r="IH26" s="68">
        <f>IF(OR($U26=0,$F26&lt;&gt;2),0,IF(IG26&gt;0,IG26,IF(ROUND(EI26*$J26,6)&lt;ROUND($M26,6),EI26,0)))</f>
        <v/>
      </c>
      <c r="II26" s="68">
        <f>IF(OR($U26=0,$F26&lt;&gt;2),0,IF(IH26&gt;0,IH26,IF(ROUND(EJ26*$J26,6)&lt;ROUND($M26,6),EJ26,0)))</f>
        <v/>
      </c>
      <c r="IJ26" s="68">
        <f>IF(OR($U26=0,$F26&lt;&gt;2),0,IF(II26&gt;0,II26,IF(ROUND(EK26*$J26,6)&lt;ROUND($M26,6),EK26,0)))</f>
        <v/>
      </c>
      <c r="IK26" s="68">
        <f>IF(OR($U26=0,$F26&lt;&gt;2),0,IF(IJ26&gt;0,IJ26,IF(ROUND(EL26*$J26,6)&lt;ROUND($M26,6),EL26,0)))</f>
        <v/>
      </c>
      <c r="IL26" s="68">
        <f>IF(OR($U26=0,$F26&lt;&gt;2),0,IF(IK26&gt;0,IK26,IF(ROUND(EM26*$J26,6)&lt;ROUND($M26,6),EM26,0)))</f>
        <v/>
      </c>
      <c r="IM26" s="68">
        <f>IF(OR($U26=0,$F26&lt;&gt;2),0,IF(IL26&gt;0,IL26,IF(ROUND(EN26*$J26,6)&lt;ROUND($M26,6),EN26,0)))</f>
        <v/>
      </c>
      <c r="IN26" s="68">
        <f>IF(OR($U26=0,$F26&lt;&gt;2),0,IF(IM26&gt;0,IM26,IF(ROUND(EO26*$J26,6)&lt;ROUND($M26,6),EO26,0)))</f>
        <v/>
      </c>
    </row>
    <row r="27">
      <c r="A27" s="68" t="n">
        <v>22</v>
      </c>
      <c r="B27" s="68">
        <f>IF(OR(TRIM('固定資産台帳'!$B27)&lt;&gt;"",'固定資産台帳'!$E27&lt;&gt;"",'固定資産台帳'!$G27&lt;&gt;"",'固定資産台帳'!$H27&lt;&gt;""),1,0)</f>
        <v/>
      </c>
      <c r="C27" s="68">
        <f>IF(ISNUMBER('固定資産台帳'!$G27),MAX(ROUND('固定資産台帳'!$G27,0),0),0)</f>
        <v/>
      </c>
      <c r="D27" s="84">
        <f>IF(ISNUMBER('固定資産台帳'!$E27),INT('固定資産台帳'!$E27),0)</f>
        <v/>
      </c>
      <c r="E27" s="84">
        <f>IF(ISNUMBER('固定資産台帳'!$F27),INT('固定資産台帳'!$F27),$D27)</f>
        <v/>
      </c>
      <c r="F27" s="68">
        <f>IF('固定資産台帳'!$H27="定額法",1,IF(OR('固定資産台帳'!$H27="定率法",'固定資産台帳'!$H27="定率法（200%）",'固定資産台帳'!$H27="定率法（250%）"),2,IF('固定資産台帳'!$H27="一括償却（3年）",3,IF('固定資産台帳'!$H27="少額特例",4,0))))</f>
        <v/>
      </c>
      <c r="G27" s="68">
        <f>IF('固定資産台帳'!$H27="定率法（250%）",250,IF('固定資産台帳'!$H27="定率法（200%）",200,IF($D27&gt;=DATE(2012,4,1),200,250)))</f>
        <v/>
      </c>
      <c r="H27" s="68">
        <f>IF(ISNUMBER('固定資産台帳'!$I27),IF(AND('固定資産台帳'!$I27&gt;=2,'固定資産台帳'!$I27&lt;=100,'固定資産台帳'!$I27=INT('固定資産台帳'!$I27)),'固定資産台帳'!$I27,0),0)</f>
        <v/>
      </c>
      <c r="I27" s="68">
        <f>IF('固定資産台帳'!$C27="無形固定資産",0,1)</f>
        <v/>
      </c>
      <c r="J27" s="68">
        <f>IF(OR($H27=0,$F27=0,$F27&gt;2),0,IF($F27=1,INDEX('償却率表'!$B$6:$B$104,$H27-1),IF($G27=200,INDEX('償却率表'!$C$6:$C$104,$H27-1),INDEX('償却率表'!$F$6:$F$104,$H27-1))))</f>
        <v/>
      </c>
      <c r="K27" s="68">
        <f>IF(AND($F27=2,$H27&gt;0),IF($G27=200,INDEX('償却率表'!$D$6:$D$104,$H27-1),INDEX('償却率表'!$G$6:$G$104,$H27-1)),0)</f>
        <v/>
      </c>
      <c r="L27" s="68">
        <f>IF(AND($F27=2,$H27&gt;0),IF($G27=200,INDEX('償却率表'!$E$6:$E$104,$H27-1),INDEX('償却率表'!$H$6:$H$104,$H27-1)),0)</f>
        <v/>
      </c>
      <c r="M27" s="68">
        <f>$C27*$L27</f>
        <v/>
      </c>
      <c r="N27" s="68">
        <f>IF($B$1=1,1,IF('固定資産台帳'!$J27="",1,IF(ISNUMBER('固定資産台帳'!$J27),IF(AND('固定資産台帳'!$J27&gt;0,'固定資産台帳'!$J27&lt;=1),'固定資産台帳'!$J27,0),0)))</f>
        <v/>
      </c>
      <c r="O27" s="68">
        <f>IF($E27=0,0,YEAR($E27)-IF(MONTH($E27)&lt;$B$2,1,0))</f>
        <v/>
      </c>
      <c r="P27" s="68">
        <f>IF($E27=0,0,12-MOD(MONTH($E27)-$B$2,12))</f>
        <v/>
      </c>
      <c r="Q27" s="84">
        <f>IF(ISNUMBER('固定資産台帳'!$K27),INT('固定資産台帳'!$K27),0)</f>
        <v/>
      </c>
      <c r="R27" s="68">
        <f>IF(OR($Q27=0,$E27=0),999,YEAR($Q27)-IF(MONTH($Q27)&lt;$B$2,1,0)-$O27)</f>
        <v/>
      </c>
      <c r="S27" s="68">
        <f>IF($R27=999,0,MOD(MONTH($Q27)-$B$2,12)+1-IF($R27=0,12-$P27,0))</f>
        <v/>
      </c>
      <c r="T27" s="68">
        <f>IF($B27=0,0,IF($C27&lt;=0,1,IF($D27=0,2,IF($F27=0,3,IF(AND($F27&lt;=2,$H27=0),4,IF(AND($F27&lt;=2,$D27&lt;DATE(2007,4,1)),5,IF($E27&lt;$D27,6,IF(AND($Q27&gt;0,$Q27&lt;$E27),7,IF($N27=0,8,IF($B$3=0,9,0))))))))))</f>
        <v/>
      </c>
      <c r="U27" s="68">
        <f>IF(AND($B27=1,$T27=0),1,0)</f>
        <v/>
      </c>
      <c r="V27" s="68">
        <f>$B$3-$O27</f>
        <v/>
      </c>
      <c r="W27" s="68">
        <f>IF(AND($U27=1,$V27&gt;=0),1,0)</f>
        <v/>
      </c>
      <c r="X27" s="68">
        <f>IF($W27=0,0,IF($V27=0,$C27,INDEX($AS27:$EP27,MIN($V27,102))))</f>
        <v/>
      </c>
      <c r="Y27" s="68">
        <f>IF($W27=0,0,INDEX($AS27:$EP27,MIN($V27,101)+1))</f>
        <v/>
      </c>
      <c r="Z27" s="68">
        <f>$X27-$Y27</f>
        <v/>
      </c>
      <c r="AA27" s="68">
        <f>IF(AND($W27=1,$F27=2,$V27&gt;=1),INDEX($ER27:$IN27,MIN($V27,101)),0)</f>
        <v/>
      </c>
      <c r="AB27" s="68">
        <f>IF(OR($W27=0,$F27&gt;2,$Z27=0),0,IF($V27=0,IF($R27=0,$S27,$P27),IF($V27=$R27,$S27,12)))</f>
        <v/>
      </c>
      <c r="AC27" s="68">
        <f>IF($W27=0,0,INT(ROUND($Z27*$N27,6)+$B$4))</f>
        <v/>
      </c>
      <c r="AD27" s="68">
        <f>IF(AND($W27=1,$F27&lt;=2,$V27=$R27),1,0)</f>
        <v/>
      </c>
      <c r="AE27" s="68">
        <f>IF(AND($W27=1,$F27&lt;=2,$V27&gt;$R27),1,0)</f>
        <v/>
      </c>
      <c r="AF27" s="68">
        <f>IF(AND($W27=1,$AE27=0,OR($Z27&gt;0,$AD27=1)),1,0)</f>
        <v/>
      </c>
      <c r="AG27" s="68">
        <f>IF($AF27=1,SUM($AF$6:$AF27),0)</f>
        <v/>
      </c>
      <c r="AH27" s="68">
        <f>IF($T27=0,"",CHOOSE($T27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27" s="68">
        <f>IF(AND($F27=2,OR('固定資産台帳'!$C27="建物",'固定資産台帳'!$C27="無形固定資産",AND(OR('固定資産台帳'!$C27="建物附属設備",'固定資産台帳'!$C27="構築物"),$D27&gt;=DATE(2016,4,1)))),"この資産は定額法だけです（定率法は使えません）。","")&amp;IF(AND($F27=3,$C27&gt;=200000),"一括償却は20万円未満の資産だけです。","")&amp;IF(AND($F27=3,$B$1=0,$C27&lt;100000),"10万円未満は一括償却にせず、全額をその年の経費にします。","")&amp;IF(AND($F27=4,$C27&lt;100000),"10万円未満は少額特例ではなく、全額をその年の経費にします。","")&amp;IF(AND($F27=4,$D27&lt;DATE(2026,4,1),$C27&gt;=300000),"2026年3月31日までの取得で少額特例が使えるのは30万円未満です。","")&amp;IF(AND($F27=4,$D27&gt;=DATE(2026,4,1),$C27&gt;=400000),"少額特例は40万円未満の資産だけです。","")&amp;IF(AND($F27=4,OR($D27&lt;DATE(2006,4,1),$D27&gt;DATE(2029,3,31))),"少額特例は2006年4月1日〜2029年3月31日に取得した資産だけです。","")&amp;IF(AND($F27=2,$G27=250,$D27&gt;DATE(2012,12,31)),"250%定率法は2012年12月31日までの取得だけです。","")</f>
        <v/>
      </c>
      <c r="AJ27" s="68">
        <f>IF(AND($F27=2,'固定資産台帳'!$H27="定率法（200%）",$D27&lt;DATE(2012,4,1)),"2012年3月31日までの取得に200%を使うのは、経過措置の届出をした場合です。","")&amp;IF(AND($F27=2,'固定資産台帳'!$H27="定率法（250%）",$D27&gt;=DATE(2012,4,1),$D27&lt;=DATE(2012,12,31)),"2012年4〜12月の取得に250%を使うのは、経過措置を選んだ場合です。","")</f>
        <v/>
      </c>
      <c r="AK27" s="68">
        <f>IF($U27=0,"",IF($V27&lt;0,"表示している年より後に使い始める資産です。",IF($AE27=1,"売却・除却済みです。",IF($AD27=1,"この年に売却・除却。期末の帳簿価額 "&amp;TEXT($Y27,"#,##0")&amp;"円を帳簿から外します。",IF($F27=4,IF($V27=0,"少額特例：この年に全額を経費にします。","少額特例で経費にした資産です。"),IF($F27=3,IF($V27&gt;2,"一括償却は終わっています。","一括償却 "&amp;($V27+1)&amp;"年目（3年のうち）。"),IF($Z27=0,"償却済み（帳簿価額 "&amp;TEXT($Y27,"#,##0")&amp;"円）。",IF($AA27&gt;0,"改定償却率で計算（改定取得価額 "&amp;TEXT($AA27,"#,##0")&amp;"円）。",IF($V27=0,"この年に使い始め（"&amp;$AB27&amp;"か月分）。","")))))))))</f>
        <v/>
      </c>
      <c r="AL27" s="68">
        <f>IF(AND($U27=1,$F27=4,$V27=0),$C27,0)</f>
        <v/>
      </c>
      <c r="AM27" s="68">
        <f>IF($F27=2,INT(ROUND($M27,6)+$B$4),0)</f>
        <v/>
      </c>
      <c r="AN27" s="68">
        <f>IF($W27=0,0,IF($F27=2,IF($AA27&gt;0,$AA27,$X27),$C27))</f>
        <v/>
      </c>
      <c r="AO27" s="68">
        <f>IF($W27=0,"",IF($F27=3,"1/3",IF($F27=4,"―",IF($AA27&gt;0,$K27,$J27))))</f>
        <v/>
      </c>
      <c r="AP27" s="68" t="n"/>
      <c r="AQ27" s="68" t="n"/>
      <c r="AR27" s="68" t="n"/>
      <c r="AS27" s="68">
        <f>IF($U27=0,0,IF($F27=4,0,IF($F27=3,MAX($C27-INT(ROUND($C27/3,6)+$B$4),0),$C27-MIN(INT(ROUND($C27*$J27*IF($R27=0,$S27,$P27)/12,6)+$B$4),MAX($C27-$I27,0)))))</f>
        <v/>
      </c>
      <c r="AT27" s="68">
        <f>IF($U27=0,0,IF($F27=4,0,IF($F27=3,AS27-MIN(INT(ROUND($C27/3,6)+$B$4),AS27),IF(OR(1&gt;$R27,AS27&lt;=$I27),AS27,AS27-MIN(INT(ROUND(IF($F27=1,$C27*$J27,IF(ER27&gt;0,ER27*$K27,AS27*$J27))*IF(1=$R27,$S27,12)/12,6)+$B$4),AS27-$I27)))))</f>
        <v/>
      </c>
      <c r="AU27" s="68">
        <f>IF($U27=0,0,IF($F27=4,0,IF($F27=3,0,IF(OR(2&gt;$R27,AT27&lt;=$I27),AT27,AT27-MIN(INT(ROUND(IF($F27=1,$C27*$J27,IF(ES27&gt;0,ES27*$K27,AT27*$J27))*IF(2=$R27,$S27,12)/12,6)+$B$4),AT27-$I27)))))</f>
        <v/>
      </c>
      <c r="AV27" s="68">
        <f>IF($U27=0,0,IF($F27=4,0,IF($F27=3,0,IF(OR(3&gt;$R27,AU27&lt;=$I27),AU27,AU27-MIN(INT(ROUND(IF($F27=1,$C27*$J27,IF(ET27&gt;0,ET27*$K27,AU27*$J27))*IF(3=$R27,$S27,12)/12,6)+$B$4),AU27-$I27)))))</f>
        <v/>
      </c>
      <c r="AW27" s="68">
        <f>IF($U27=0,0,IF($F27=4,0,IF($F27=3,0,IF(OR(4&gt;$R27,AV27&lt;=$I27),AV27,AV27-MIN(INT(ROUND(IF($F27=1,$C27*$J27,IF(EU27&gt;0,EU27*$K27,AV27*$J27))*IF(4=$R27,$S27,12)/12,6)+$B$4),AV27-$I27)))))</f>
        <v/>
      </c>
      <c r="AX27" s="68">
        <f>IF($U27=0,0,IF($F27=4,0,IF($F27=3,0,IF(OR(5&gt;$R27,AW27&lt;=$I27),AW27,AW27-MIN(INT(ROUND(IF($F27=1,$C27*$J27,IF(EV27&gt;0,EV27*$K27,AW27*$J27))*IF(5=$R27,$S27,12)/12,6)+$B$4),AW27-$I27)))))</f>
        <v/>
      </c>
      <c r="AY27" s="68">
        <f>IF($U27=0,0,IF($F27=4,0,IF($F27=3,0,IF(OR(6&gt;$R27,AX27&lt;=$I27),AX27,AX27-MIN(INT(ROUND(IF($F27=1,$C27*$J27,IF(EW27&gt;0,EW27*$K27,AX27*$J27))*IF(6=$R27,$S27,12)/12,6)+$B$4),AX27-$I27)))))</f>
        <v/>
      </c>
      <c r="AZ27" s="68">
        <f>IF($U27=0,0,IF($F27=4,0,IF($F27=3,0,IF(OR(7&gt;$R27,AY27&lt;=$I27),AY27,AY27-MIN(INT(ROUND(IF($F27=1,$C27*$J27,IF(EX27&gt;0,EX27*$K27,AY27*$J27))*IF(7=$R27,$S27,12)/12,6)+$B$4),AY27-$I27)))))</f>
        <v/>
      </c>
      <c r="BA27" s="68">
        <f>IF($U27=0,0,IF($F27=4,0,IF($F27=3,0,IF(OR(8&gt;$R27,AZ27&lt;=$I27),AZ27,AZ27-MIN(INT(ROUND(IF($F27=1,$C27*$J27,IF(EY27&gt;0,EY27*$K27,AZ27*$J27))*IF(8=$R27,$S27,12)/12,6)+$B$4),AZ27-$I27)))))</f>
        <v/>
      </c>
      <c r="BB27" s="68">
        <f>IF($U27=0,0,IF($F27=4,0,IF($F27=3,0,IF(OR(9&gt;$R27,BA27&lt;=$I27),BA27,BA27-MIN(INT(ROUND(IF($F27=1,$C27*$J27,IF(EZ27&gt;0,EZ27*$K27,BA27*$J27))*IF(9=$R27,$S27,12)/12,6)+$B$4),BA27-$I27)))))</f>
        <v/>
      </c>
      <c r="BC27" s="68">
        <f>IF($U27=0,0,IF($F27=4,0,IF($F27=3,0,IF(OR(10&gt;$R27,BB27&lt;=$I27),BB27,BB27-MIN(INT(ROUND(IF($F27=1,$C27*$J27,IF(FA27&gt;0,FA27*$K27,BB27*$J27))*IF(10=$R27,$S27,12)/12,6)+$B$4),BB27-$I27)))))</f>
        <v/>
      </c>
      <c r="BD27" s="68">
        <f>IF($U27=0,0,IF($F27=4,0,IF($F27=3,0,IF(OR(11&gt;$R27,BC27&lt;=$I27),BC27,BC27-MIN(INT(ROUND(IF($F27=1,$C27*$J27,IF(FB27&gt;0,FB27*$K27,BC27*$J27))*IF(11=$R27,$S27,12)/12,6)+$B$4),BC27-$I27)))))</f>
        <v/>
      </c>
      <c r="BE27" s="68">
        <f>IF($U27=0,0,IF($F27=4,0,IF($F27=3,0,IF(OR(12&gt;$R27,BD27&lt;=$I27),BD27,BD27-MIN(INT(ROUND(IF($F27=1,$C27*$J27,IF(FC27&gt;0,FC27*$K27,BD27*$J27))*IF(12=$R27,$S27,12)/12,6)+$B$4),BD27-$I27)))))</f>
        <v/>
      </c>
      <c r="BF27" s="68">
        <f>IF($U27=0,0,IF($F27=4,0,IF($F27=3,0,IF(OR(13&gt;$R27,BE27&lt;=$I27),BE27,BE27-MIN(INT(ROUND(IF($F27=1,$C27*$J27,IF(FD27&gt;0,FD27*$K27,BE27*$J27))*IF(13=$R27,$S27,12)/12,6)+$B$4),BE27-$I27)))))</f>
        <v/>
      </c>
      <c r="BG27" s="68">
        <f>IF($U27=0,0,IF($F27=4,0,IF($F27=3,0,IF(OR(14&gt;$R27,BF27&lt;=$I27),BF27,BF27-MIN(INT(ROUND(IF($F27=1,$C27*$J27,IF(FE27&gt;0,FE27*$K27,BF27*$J27))*IF(14=$R27,$S27,12)/12,6)+$B$4),BF27-$I27)))))</f>
        <v/>
      </c>
      <c r="BH27" s="68">
        <f>IF($U27=0,0,IF($F27=4,0,IF($F27=3,0,IF(OR(15&gt;$R27,BG27&lt;=$I27),BG27,BG27-MIN(INT(ROUND(IF($F27=1,$C27*$J27,IF(FF27&gt;0,FF27*$K27,BG27*$J27))*IF(15=$R27,$S27,12)/12,6)+$B$4),BG27-$I27)))))</f>
        <v/>
      </c>
      <c r="BI27" s="68">
        <f>IF($U27=0,0,IF($F27=4,0,IF($F27=3,0,IF(OR(16&gt;$R27,BH27&lt;=$I27),BH27,BH27-MIN(INT(ROUND(IF($F27=1,$C27*$J27,IF(FG27&gt;0,FG27*$K27,BH27*$J27))*IF(16=$R27,$S27,12)/12,6)+$B$4),BH27-$I27)))))</f>
        <v/>
      </c>
      <c r="BJ27" s="68">
        <f>IF($U27=0,0,IF($F27=4,0,IF($F27=3,0,IF(OR(17&gt;$R27,BI27&lt;=$I27),BI27,BI27-MIN(INT(ROUND(IF($F27=1,$C27*$J27,IF(FH27&gt;0,FH27*$K27,BI27*$J27))*IF(17=$R27,$S27,12)/12,6)+$B$4),BI27-$I27)))))</f>
        <v/>
      </c>
      <c r="BK27" s="68">
        <f>IF($U27=0,0,IF($F27=4,0,IF($F27=3,0,IF(OR(18&gt;$R27,BJ27&lt;=$I27),BJ27,BJ27-MIN(INT(ROUND(IF($F27=1,$C27*$J27,IF(FI27&gt;0,FI27*$K27,BJ27*$J27))*IF(18=$R27,$S27,12)/12,6)+$B$4),BJ27-$I27)))))</f>
        <v/>
      </c>
      <c r="BL27" s="68">
        <f>IF($U27=0,0,IF($F27=4,0,IF($F27=3,0,IF(OR(19&gt;$R27,BK27&lt;=$I27),BK27,BK27-MIN(INT(ROUND(IF($F27=1,$C27*$J27,IF(FJ27&gt;0,FJ27*$K27,BK27*$J27))*IF(19=$R27,$S27,12)/12,6)+$B$4),BK27-$I27)))))</f>
        <v/>
      </c>
      <c r="BM27" s="68">
        <f>IF($U27=0,0,IF($F27=4,0,IF($F27=3,0,IF(OR(20&gt;$R27,BL27&lt;=$I27),BL27,BL27-MIN(INT(ROUND(IF($F27=1,$C27*$J27,IF(FK27&gt;0,FK27*$K27,BL27*$J27))*IF(20=$R27,$S27,12)/12,6)+$B$4),BL27-$I27)))))</f>
        <v/>
      </c>
      <c r="BN27" s="68">
        <f>IF($U27=0,0,IF($F27=4,0,IF($F27=3,0,IF(OR(21&gt;$R27,BM27&lt;=$I27),BM27,BM27-MIN(INT(ROUND(IF($F27=1,$C27*$J27,IF(FL27&gt;0,FL27*$K27,BM27*$J27))*IF(21=$R27,$S27,12)/12,6)+$B$4),BM27-$I27)))))</f>
        <v/>
      </c>
      <c r="BO27" s="68">
        <f>IF($U27=0,0,IF($F27=4,0,IF($F27=3,0,IF(OR(22&gt;$R27,BN27&lt;=$I27),BN27,BN27-MIN(INT(ROUND(IF($F27=1,$C27*$J27,IF(FM27&gt;0,FM27*$K27,BN27*$J27))*IF(22=$R27,$S27,12)/12,6)+$B$4),BN27-$I27)))))</f>
        <v/>
      </c>
      <c r="BP27" s="68">
        <f>IF($U27=0,0,IF($F27=4,0,IF($F27=3,0,IF(OR(23&gt;$R27,BO27&lt;=$I27),BO27,BO27-MIN(INT(ROUND(IF($F27=1,$C27*$J27,IF(FN27&gt;0,FN27*$K27,BO27*$J27))*IF(23=$R27,$S27,12)/12,6)+$B$4),BO27-$I27)))))</f>
        <v/>
      </c>
      <c r="BQ27" s="68">
        <f>IF($U27=0,0,IF($F27=4,0,IF($F27=3,0,IF(OR(24&gt;$R27,BP27&lt;=$I27),BP27,BP27-MIN(INT(ROUND(IF($F27=1,$C27*$J27,IF(FO27&gt;0,FO27*$K27,BP27*$J27))*IF(24=$R27,$S27,12)/12,6)+$B$4),BP27-$I27)))))</f>
        <v/>
      </c>
      <c r="BR27" s="68">
        <f>IF($U27=0,0,IF($F27=4,0,IF($F27=3,0,IF(OR(25&gt;$R27,BQ27&lt;=$I27),BQ27,BQ27-MIN(INT(ROUND(IF($F27=1,$C27*$J27,IF(FP27&gt;0,FP27*$K27,BQ27*$J27))*IF(25=$R27,$S27,12)/12,6)+$B$4),BQ27-$I27)))))</f>
        <v/>
      </c>
      <c r="BS27" s="68">
        <f>IF($U27=0,0,IF($F27=4,0,IF($F27=3,0,IF(OR(26&gt;$R27,BR27&lt;=$I27),BR27,BR27-MIN(INT(ROUND(IF($F27=1,$C27*$J27,IF(FQ27&gt;0,FQ27*$K27,BR27*$J27))*IF(26=$R27,$S27,12)/12,6)+$B$4),BR27-$I27)))))</f>
        <v/>
      </c>
      <c r="BT27" s="68">
        <f>IF($U27=0,0,IF($F27=4,0,IF($F27=3,0,IF(OR(27&gt;$R27,BS27&lt;=$I27),BS27,BS27-MIN(INT(ROUND(IF($F27=1,$C27*$J27,IF(FR27&gt;0,FR27*$K27,BS27*$J27))*IF(27=$R27,$S27,12)/12,6)+$B$4),BS27-$I27)))))</f>
        <v/>
      </c>
      <c r="BU27" s="68">
        <f>IF($U27=0,0,IF($F27=4,0,IF($F27=3,0,IF(OR(28&gt;$R27,BT27&lt;=$I27),BT27,BT27-MIN(INT(ROUND(IF($F27=1,$C27*$J27,IF(FS27&gt;0,FS27*$K27,BT27*$J27))*IF(28=$R27,$S27,12)/12,6)+$B$4),BT27-$I27)))))</f>
        <v/>
      </c>
      <c r="BV27" s="68">
        <f>IF($U27=0,0,IF($F27=4,0,IF($F27=3,0,IF(OR(29&gt;$R27,BU27&lt;=$I27),BU27,BU27-MIN(INT(ROUND(IF($F27=1,$C27*$J27,IF(FT27&gt;0,FT27*$K27,BU27*$J27))*IF(29=$R27,$S27,12)/12,6)+$B$4),BU27-$I27)))))</f>
        <v/>
      </c>
      <c r="BW27" s="68">
        <f>IF($U27=0,0,IF($F27=4,0,IF($F27=3,0,IF(OR(30&gt;$R27,BV27&lt;=$I27),BV27,BV27-MIN(INT(ROUND(IF($F27=1,$C27*$J27,IF(FU27&gt;0,FU27*$K27,BV27*$J27))*IF(30=$R27,$S27,12)/12,6)+$B$4),BV27-$I27)))))</f>
        <v/>
      </c>
      <c r="BX27" s="68">
        <f>IF($U27=0,0,IF($F27=4,0,IF($F27=3,0,IF(OR(31&gt;$R27,BW27&lt;=$I27),BW27,BW27-MIN(INT(ROUND(IF($F27=1,$C27*$J27,IF(FV27&gt;0,FV27*$K27,BW27*$J27))*IF(31=$R27,$S27,12)/12,6)+$B$4),BW27-$I27)))))</f>
        <v/>
      </c>
      <c r="BY27" s="68">
        <f>IF($U27=0,0,IF($F27=4,0,IF($F27=3,0,IF(OR(32&gt;$R27,BX27&lt;=$I27),BX27,BX27-MIN(INT(ROUND(IF($F27=1,$C27*$J27,IF(FW27&gt;0,FW27*$K27,BX27*$J27))*IF(32=$R27,$S27,12)/12,6)+$B$4),BX27-$I27)))))</f>
        <v/>
      </c>
      <c r="BZ27" s="68">
        <f>IF($U27=0,0,IF($F27=4,0,IF($F27=3,0,IF(OR(33&gt;$R27,BY27&lt;=$I27),BY27,BY27-MIN(INT(ROUND(IF($F27=1,$C27*$J27,IF(FX27&gt;0,FX27*$K27,BY27*$J27))*IF(33=$R27,$S27,12)/12,6)+$B$4),BY27-$I27)))))</f>
        <v/>
      </c>
      <c r="CA27" s="68">
        <f>IF($U27=0,0,IF($F27=4,0,IF($F27=3,0,IF(OR(34&gt;$R27,BZ27&lt;=$I27),BZ27,BZ27-MIN(INT(ROUND(IF($F27=1,$C27*$J27,IF(FY27&gt;0,FY27*$K27,BZ27*$J27))*IF(34=$R27,$S27,12)/12,6)+$B$4),BZ27-$I27)))))</f>
        <v/>
      </c>
      <c r="CB27" s="68">
        <f>IF($U27=0,0,IF($F27=4,0,IF($F27=3,0,IF(OR(35&gt;$R27,CA27&lt;=$I27),CA27,CA27-MIN(INT(ROUND(IF($F27=1,$C27*$J27,IF(FZ27&gt;0,FZ27*$K27,CA27*$J27))*IF(35=$R27,$S27,12)/12,6)+$B$4),CA27-$I27)))))</f>
        <v/>
      </c>
      <c r="CC27" s="68">
        <f>IF($U27=0,0,IF($F27=4,0,IF($F27=3,0,IF(OR(36&gt;$R27,CB27&lt;=$I27),CB27,CB27-MIN(INT(ROUND(IF($F27=1,$C27*$J27,IF(GA27&gt;0,GA27*$K27,CB27*$J27))*IF(36=$R27,$S27,12)/12,6)+$B$4),CB27-$I27)))))</f>
        <v/>
      </c>
      <c r="CD27" s="68">
        <f>IF($U27=0,0,IF($F27=4,0,IF($F27=3,0,IF(OR(37&gt;$R27,CC27&lt;=$I27),CC27,CC27-MIN(INT(ROUND(IF($F27=1,$C27*$J27,IF(GB27&gt;0,GB27*$K27,CC27*$J27))*IF(37=$R27,$S27,12)/12,6)+$B$4),CC27-$I27)))))</f>
        <v/>
      </c>
      <c r="CE27" s="68">
        <f>IF($U27=0,0,IF($F27=4,0,IF($F27=3,0,IF(OR(38&gt;$R27,CD27&lt;=$I27),CD27,CD27-MIN(INT(ROUND(IF($F27=1,$C27*$J27,IF(GC27&gt;0,GC27*$K27,CD27*$J27))*IF(38=$R27,$S27,12)/12,6)+$B$4),CD27-$I27)))))</f>
        <v/>
      </c>
      <c r="CF27" s="68">
        <f>IF($U27=0,0,IF($F27=4,0,IF($F27=3,0,IF(OR(39&gt;$R27,CE27&lt;=$I27),CE27,CE27-MIN(INT(ROUND(IF($F27=1,$C27*$J27,IF(GD27&gt;0,GD27*$K27,CE27*$J27))*IF(39=$R27,$S27,12)/12,6)+$B$4),CE27-$I27)))))</f>
        <v/>
      </c>
      <c r="CG27" s="68">
        <f>IF($U27=0,0,IF($F27=4,0,IF($F27=3,0,IF(OR(40&gt;$R27,CF27&lt;=$I27),CF27,CF27-MIN(INT(ROUND(IF($F27=1,$C27*$J27,IF(GE27&gt;0,GE27*$K27,CF27*$J27))*IF(40=$R27,$S27,12)/12,6)+$B$4),CF27-$I27)))))</f>
        <v/>
      </c>
      <c r="CH27" s="68">
        <f>IF($U27=0,0,IF($F27=4,0,IF($F27=3,0,IF(OR(41&gt;$R27,CG27&lt;=$I27),CG27,CG27-MIN(INT(ROUND(IF($F27=1,$C27*$J27,IF(GF27&gt;0,GF27*$K27,CG27*$J27))*IF(41=$R27,$S27,12)/12,6)+$B$4),CG27-$I27)))))</f>
        <v/>
      </c>
      <c r="CI27" s="68">
        <f>IF($U27=0,0,IF($F27=4,0,IF($F27=3,0,IF(OR(42&gt;$R27,CH27&lt;=$I27),CH27,CH27-MIN(INT(ROUND(IF($F27=1,$C27*$J27,IF(GG27&gt;0,GG27*$K27,CH27*$J27))*IF(42=$R27,$S27,12)/12,6)+$B$4),CH27-$I27)))))</f>
        <v/>
      </c>
      <c r="CJ27" s="68">
        <f>IF($U27=0,0,IF($F27=4,0,IF($F27=3,0,IF(OR(43&gt;$R27,CI27&lt;=$I27),CI27,CI27-MIN(INT(ROUND(IF($F27=1,$C27*$J27,IF(GH27&gt;0,GH27*$K27,CI27*$J27))*IF(43=$R27,$S27,12)/12,6)+$B$4),CI27-$I27)))))</f>
        <v/>
      </c>
      <c r="CK27" s="68">
        <f>IF($U27=0,0,IF($F27=4,0,IF($F27=3,0,IF(OR(44&gt;$R27,CJ27&lt;=$I27),CJ27,CJ27-MIN(INT(ROUND(IF($F27=1,$C27*$J27,IF(GI27&gt;0,GI27*$K27,CJ27*$J27))*IF(44=$R27,$S27,12)/12,6)+$B$4),CJ27-$I27)))))</f>
        <v/>
      </c>
      <c r="CL27" s="68">
        <f>IF($U27=0,0,IF($F27=4,0,IF($F27=3,0,IF(OR(45&gt;$R27,CK27&lt;=$I27),CK27,CK27-MIN(INT(ROUND(IF($F27=1,$C27*$J27,IF(GJ27&gt;0,GJ27*$K27,CK27*$J27))*IF(45=$R27,$S27,12)/12,6)+$B$4),CK27-$I27)))))</f>
        <v/>
      </c>
      <c r="CM27" s="68">
        <f>IF($U27=0,0,IF($F27=4,0,IF($F27=3,0,IF(OR(46&gt;$R27,CL27&lt;=$I27),CL27,CL27-MIN(INT(ROUND(IF($F27=1,$C27*$J27,IF(GK27&gt;0,GK27*$K27,CL27*$J27))*IF(46=$R27,$S27,12)/12,6)+$B$4),CL27-$I27)))))</f>
        <v/>
      </c>
      <c r="CN27" s="68">
        <f>IF($U27=0,0,IF($F27=4,0,IF($F27=3,0,IF(OR(47&gt;$R27,CM27&lt;=$I27),CM27,CM27-MIN(INT(ROUND(IF($F27=1,$C27*$J27,IF(GL27&gt;0,GL27*$K27,CM27*$J27))*IF(47=$R27,$S27,12)/12,6)+$B$4),CM27-$I27)))))</f>
        <v/>
      </c>
      <c r="CO27" s="68">
        <f>IF($U27=0,0,IF($F27=4,0,IF($F27=3,0,IF(OR(48&gt;$R27,CN27&lt;=$I27),CN27,CN27-MIN(INT(ROUND(IF($F27=1,$C27*$J27,IF(GM27&gt;0,GM27*$K27,CN27*$J27))*IF(48=$R27,$S27,12)/12,6)+$B$4),CN27-$I27)))))</f>
        <v/>
      </c>
      <c r="CP27" s="68">
        <f>IF($U27=0,0,IF($F27=4,0,IF($F27=3,0,IF(OR(49&gt;$R27,CO27&lt;=$I27),CO27,CO27-MIN(INT(ROUND(IF($F27=1,$C27*$J27,IF(GN27&gt;0,GN27*$K27,CO27*$J27))*IF(49=$R27,$S27,12)/12,6)+$B$4),CO27-$I27)))))</f>
        <v/>
      </c>
      <c r="CQ27" s="68">
        <f>IF($U27=0,0,IF($F27=4,0,IF($F27=3,0,IF(OR(50&gt;$R27,CP27&lt;=$I27),CP27,CP27-MIN(INT(ROUND(IF($F27=1,$C27*$J27,IF(GO27&gt;0,GO27*$K27,CP27*$J27))*IF(50=$R27,$S27,12)/12,6)+$B$4),CP27-$I27)))))</f>
        <v/>
      </c>
      <c r="CR27" s="68">
        <f>IF($U27=0,0,IF($F27=4,0,IF($F27=3,0,IF(OR(51&gt;$R27,CQ27&lt;=$I27),CQ27,CQ27-MIN(INT(ROUND(IF($F27=1,$C27*$J27,IF(GP27&gt;0,GP27*$K27,CQ27*$J27))*IF(51=$R27,$S27,12)/12,6)+$B$4),CQ27-$I27)))))</f>
        <v/>
      </c>
      <c r="CS27" s="68">
        <f>IF($U27=0,0,IF($F27=4,0,IF($F27=3,0,IF(OR(52&gt;$R27,CR27&lt;=$I27),CR27,CR27-MIN(INT(ROUND(IF($F27=1,$C27*$J27,IF(GQ27&gt;0,GQ27*$K27,CR27*$J27))*IF(52=$R27,$S27,12)/12,6)+$B$4),CR27-$I27)))))</f>
        <v/>
      </c>
      <c r="CT27" s="68">
        <f>IF($U27=0,0,IF($F27=4,0,IF($F27=3,0,IF(OR(53&gt;$R27,CS27&lt;=$I27),CS27,CS27-MIN(INT(ROUND(IF($F27=1,$C27*$J27,IF(GR27&gt;0,GR27*$K27,CS27*$J27))*IF(53=$R27,$S27,12)/12,6)+$B$4),CS27-$I27)))))</f>
        <v/>
      </c>
      <c r="CU27" s="68">
        <f>IF($U27=0,0,IF($F27=4,0,IF($F27=3,0,IF(OR(54&gt;$R27,CT27&lt;=$I27),CT27,CT27-MIN(INT(ROUND(IF($F27=1,$C27*$J27,IF(GS27&gt;0,GS27*$K27,CT27*$J27))*IF(54=$R27,$S27,12)/12,6)+$B$4),CT27-$I27)))))</f>
        <v/>
      </c>
      <c r="CV27" s="68">
        <f>IF($U27=0,0,IF($F27=4,0,IF($F27=3,0,IF(OR(55&gt;$R27,CU27&lt;=$I27),CU27,CU27-MIN(INT(ROUND(IF($F27=1,$C27*$J27,IF(GT27&gt;0,GT27*$K27,CU27*$J27))*IF(55=$R27,$S27,12)/12,6)+$B$4),CU27-$I27)))))</f>
        <v/>
      </c>
      <c r="CW27" s="68">
        <f>IF($U27=0,0,IF($F27=4,0,IF($F27=3,0,IF(OR(56&gt;$R27,CV27&lt;=$I27),CV27,CV27-MIN(INT(ROUND(IF($F27=1,$C27*$J27,IF(GU27&gt;0,GU27*$K27,CV27*$J27))*IF(56=$R27,$S27,12)/12,6)+$B$4),CV27-$I27)))))</f>
        <v/>
      </c>
      <c r="CX27" s="68">
        <f>IF($U27=0,0,IF($F27=4,0,IF($F27=3,0,IF(OR(57&gt;$R27,CW27&lt;=$I27),CW27,CW27-MIN(INT(ROUND(IF($F27=1,$C27*$J27,IF(GV27&gt;0,GV27*$K27,CW27*$J27))*IF(57=$R27,$S27,12)/12,6)+$B$4),CW27-$I27)))))</f>
        <v/>
      </c>
      <c r="CY27" s="68">
        <f>IF($U27=0,0,IF($F27=4,0,IF($F27=3,0,IF(OR(58&gt;$R27,CX27&lt;=$I27),CX27,CX27-MIN(INT(ROUND(IF($F27=1,$C27*$J27,IF(GW27&gt;0,GW27*$K27,CX27*$J27))*IF(58=$R27,$S27,12)/12,6)+$B$4),CX27-$I27)))))</f>
        <v/>
      </c>
      <c r="CZ27" s="68">
        <f>IF($U27=0,0,IF($F27=4,0,IF($F27=3,0,IF(OR(59&gt;$R27,CY27&lt;=$I27),CY27,CY27-MIN(INT(ROUND(IF($F27=1,$C27*$J27,IF(GX27&gt;0,GX27*$K27,CY27*$J27))*IF(59=$R27,$S27,12)/12,6)+$B$4),CY27-$I27)))))</f>
        <v/>
      </c>
      <c r="DA27" s="68">
        <f>IF($U27=0,0,IF($F27=4,0,IF($F27=3,0,IF(OR(60&gt;$R27,CZ27&lt;=$I27),CZ27,CZ27-MIN(INT(ROUND(IF($F27=1,$C27*$J27,IF(GY27&gt;0,GY27*$K27,CZ27*$J27))*IF(60=$R27,$S27,12)/12,6)+$B$4),CZ27-$I27)))))</f>
        <v/>
      </c>
      <c r="DB27" s="68">
        <f>IF($U27=0,0,IF($F27=4,0,IF($F27=3,0,IF(OR(61&gt;$R27,DA27&lt;=$I27),DA27,DA27-MIN(INT(ROUND(IF($F27=1,$C27*$J27,IF(GZ27&gt;0,GZ27*$K27,DA27*$J27))*IF(61=$R27,$S27,12)/12,6)+$B$4),DA27-$I27)))))</f>
        <v/>
      </c>
      <c r="DC27" s="68">
        <f>IF($U27=0,0,IF($F27=4,0,IF($F27=3,0,IF(OR(62&gt;$R27,DB27&lt;=$I27),DB27,DB27-MIN(INT(ROUND(IF($F27=1,$C27*$J27,IF(HA27&gt;0,HA27*$K27,DB27*$J27))*IF(62=$R27,$S27,12)/12,6)+$B$4),DB27-$I27)))))</f>
        <v/>
      </c>
      <c r="DD27" s="68">
        <f>IF($U27=0,0,IF($F27=4,0,IF($F27=3,0,IF(OR(63&gt;$R27,DC27&lt;=$I27),DC27,DC27-MIN(INT(ROUND(IF($F27=1,$C27*$J27,IF(HB27&gt;0,HB27*$K27,DC27*$J27))*IF(63=$R27,$S27,12)/12,6)+$B$4),DC27-$I27)))))</f>
        <v/>
      </c>
      <c r="DE27" s="68">
        <f>IF($U27=0,0,IF($F27=4,0,IF($F27=3,0,IF(OR(64&gt;$R27,DD27&lt;=$I27),DD27,DD27-MIN(INT(ROUND(IF($F27=1,$C27*$J27,IF(HC27&gt;0,HC27*$K27,DD27*$J27))*IF(64=$R27,$S27,12)/12,6)+$B$4),DD27-$I27)))))</f>
        <v/>
      </c>
      <c r="DF27" s="68">
        <f>IF($U27=0,0,IF($F27=4,0,IF($F27=3,0,IF(OR(65&gt;$R27,DE27&lt;=$I27),DE27,DE27-MIN(INT(ROUND(IF($F27=1,$C27*$J27,IF(HD27&gt;0,HD27*$K27,DE27*$J27))*IF(65=$R27,$S27,12)/12,6)+$B$4),DE27-$I27)))))</f>
        <v/>
      </c>
      <c r="DG27" s="68">
        <f>IF($U27=0,0,IF($F27=4,0,IF($F27=3,0,IF(OR(66&gt;$R27,DF27&lt;=$I27),DF27,DF27-MIN(INT(ROUND(IF($F27=1,$C27*$J27,IF(HE27&gt;0,HE27*$K27,DF27*$J27))*IF(66=$R27,$S27,12)/12,6)+$B$4),DF27-$I27)))))</f>
        <v/>
      </c>
      <c r="DH27" s="68">
        <f>IF($U27=0,0,IF($F27=4,0,IF($F27=3,0,IF(OR(67&gt;$R27,DG27&lt;=$I27),DG27,DG27-MIN(INT(ROUND(IF($F27=1,$C27*$J27,IF(HF27&gt;0,HF27*$K27,DG27*$J27))*IF(67=$R27,$S27,12)/12,6)+$B$4),DG27-$I27)))))</f>
        <v/>
      </c>
      <c r="DI27" s="68">
        <f>IF($U27=0,0,IF($F27=4,0,IF($F27=3,0,IF(OR(68&gt;$R27,DH27&lt;=$I27),DH27,DH27-MIN(INT(ROUND(IF($F27=1,$C27*$J27,IF(HG27&gt;0,HG27*$K27,DH27*$J27))*IF(68=$R27,$S27,12)/12,6)+$B$4),DH27-$I27)))))</f>
        <v/>
      </c>
      <c r="DJ27" s="68">
        <f>IF($U27=0,0,IF($F27=4,0,IF($F27=3,0,IF(OR(69&gt;$R27,DI27&lt;=$I27),DI27,DI27-MIN(INT(ROUND(IF($F27=1,$C27*$J27,IF(HH27&gt;0,HH27*$K27,DI27*$J27))*IF(69=$R27,$S27,12)/12,6)+$B$4),DI27-$I27)))))</f>
        <v/>
      </c>
      <c r="DK27" s="68">
        <f>IF($U27=0,0,IF($F27=4,0,IF($F27=3,0,IF(OR(70&gt;$R27,DJ27&lt;=$I27),DJ27,DJ27-MIN(INT(ROUND(IF($F27=1,$C27*$J27,IF(HI27&gt;0,HI27*$K27,DJ27*$J27))*IF(70=$R27,$S27,12)/12,6)+$B$4),DJ27-$I27)))))</f>
        <v/>
      </c>
      <c r="DL27" s="68">
        <f>IF($U27=0,0,IF($F27=4,0,IF($F27=3,0,IF(OR(71&gt;$R27,DK27&lt;=$I27),DK27,DK27-MIN(INT(ROUND(IF($F27=1,$C27*$J27,IF(HJ27&gt;0,HJ27*$K27,DK27*$J27))*IF(71=$R27,$S27,12)/12,6)+$B$4),DK27-$I27)))))</f>
        <v/>
      </c>
      <c r="DM27" s="68">
        <f>IF($U27=0,0,IF($F27=4,0,IF($F27=3,0,IF(OR(72&gt;$R27,DL27&lt;=$I27),DL27,DL27-MIN(INT(ROUND(IF($F27=1,$C27*$J27,IF(HK27&gt;0,HK27*$K27,DL27*$J27))*IF(72=$R27,$S27,12)/12,6)+$B$4),DL27-$I27)))))</f>
        <v/>
      </c>
      <c r="DN27" s="68">
        <f>IF($U27=0,0,IF($F27=4,0,IF($F27=3,0,IF(OR(73&gt;$R27,DM27&lt;=$I27),DM27,DM27-MIN(INT(ROUND(IF($F27=1,$C27*$J27,IF(HL27&gt;0,HL27*$K27,DM27*$J27))*IF(73=$R27,$S27,12)/12,6)+$B$4),DM27-$I27)))))</f>
        <v/>
      </c>
      <c r="DO27" s="68">
        <f>IF($U27=0,0,IF($F27=4,0,IF($F27=3,0,IF(OR(74&gt;$R27,DN27&lt;=$I27),DN27,DN27-MIN(INT(ROUND(IF($F27=1,$C27*$J27,IF(HM27&gt;0,HM27*$K27,DN27*$J27))*IF(74=$R27,$S27,12)/12,6)+$B$4),DN27-$I27)))))</f>
        <v/>
      </c>
      <c r="DP27" s="68">
        <f>IF($U27=0,0,IF($F27=4,0,IF($F27=3,0,IF(OR(75&gt;$R27,DO27&lt;=$I27),DO27,DO27-MIN(INT(ROUND(IF($F27=1,$C27*$J27,IF(HN27&gt;0,HN27*$K27,DO27*$J27))*IF(75=$R27,$S27,12)/12,6)+$B$4),DO27-$I27)))))</f>
        <v/>
      </c>
      <c r="DQ27" s="68">
        <f>IF($U27=0,0,IF($F27=4,0,IF($F27=3,0,IF(OR(76&gt;$R27,DP27&lt;=$I27),DP27,DP27-MIN(INT(ROUND(IF($F27=1,$C27*$J27,IF(HO27&gt;0,HO27*$K27,DP27*$J27))*IF(76=$R27,$S27,12)/12,6)+$B$4),DP27-$I27)))))</f>
        <v/>
      </c>
      <c r="DR27" s="68">
        <f>IF($U27=0,0,IF($F27=4,0,IF($F27=3,0,IF(OR(77&gt;$R27,DQ27&lt;=$I27),DQ27,DQ27-MIN(INT(ROUND(IF($F27=1,$C27*$J27,IF(HP27&gt;0,HP27*$K27,DQ27*$J27))*IF(77=$R27,$S27,12)/12,6)+$B$4),DQ27-$I27)))))</f>
        <v/>
      </c>
      <c r="DS27" s="68">
        <f>IF($U27=0,0,IF($F27=4,0,IF($F27=3,0,IF(OR(78&gt;$R27,DR27&lt;=$I27),DR27,DR27-MIN(INT(ROUND(IF($F27=1,$C27*$J27,IF(HQ27&gt;0,HQ27*$K27,DR27*$J27))*IF(78=$R27,$S27,12)/12,6)+$B$4),DR27-$I27)))))</f>
        <v/>
      </c>
      <c r="DT27" s="68">
        <f>IF($U27=0,0,IF($F27=4,0,IF($F27=3,0,IF(OR(79&gt;$R27,DS27&lt;=$I27),DS27,DS27-MIN(INT(ROUND(IF($F27=1,$C27*$J27,IF(HR27&gt;0,HR27*$K27,DS27*$J27))*IF(79=$R27,$S27,12)/12,6)+$B$4),DS27-$I27)))))</f>
        <v/>
      </c>
      <c r="DU27" s="68">
        <f>IF($U27=0,0,IF($F27=4,0,IF($F27=3,0,IF(OR(80&gt;$R27,DT27&lt;=$I27),DT27,DT27-MIN(INT(ROUND(IF($F27=1,$C27*$J27,IF(HS27&gt;0,HS27*$K27,DT27*$J27))*IF(80=$R27,$S27,12)/12,6)+$B$4),DT27-$I27)))))</f>
        <v/>
      </c>
      <c r="DV27" s="68">
        <f>IF($U27=0,0,IF($F27=4,0,IF($F27=3,0,IF(OR(81&gt;$R27,DU27&lt;=$I27),DU27,DU27-MIN(INT(ROUND(IF($F27=1,$C27*$J27,IF(HT27&gt;0,HT27*$K27,DU27*$J27))*IF(81=$R27,$S27,12)/12,6)+$B$4),DU27-$I27)))))</f>
        <v/>
      </c>
      <c r="DW27" s="68">
        <f>IF($U27=0,0,IF($F27=4,0,IF($F27=3,0,IF(OR(82&gt;$R27,DV27&lt;=$I27),DV27,DV27-MIN(INT(ROUND(IF($F27=1,$C27*$J27,IF(HU27&gt;0,HU27*$K27,DV27*$J27))*IF(82=$R27,$S27,12)/12,6)+$B$4),DV27-$I27)))))</f>
        <v/>
      </c>
      <c r="DX27" s="68">
        <f>IF($U27=0,0,IF($F27=4,0,IF($F27=3,0,IF(OR(83&gt;$R27,DW27&lt;=$I27),DW27,DW27-MIN(INT(ROUND(IF($F27=1,$C27*$J27,IF(HV27&gt;0,HV27*$K27,DW27*$J27))*IF(83=$R27,$S27,12)/12,6)+$B$4),DW27-$I27)))))</f>
        <v/>
      </c>
      <c r="DY27" s="68">
        <f>IF($U27=0,0,IF($F27=4,0,IF($F27=3,0,IF(OR(84&gt;$R27,DX27&lt;=$I27),DX27,DX27-MIN(INT(ROUND(IF($F27=1,$C27*$J27,IF(HW27&gt;0,HW27*$K27,DX27*$J27))*IF(84=$R27,$S27,12)/12,6)+$B$4),DX27-$I27)))))</f>
        <v/>
      </c>
      <c r="DZ27" s="68">
        <f>IF($U27=0,0,IF($F27=4,0,IF($F27=3,0,IF(OR(85&gt;$R27,DY27&lt;=$I27),DY27,DY27-MIN(INT(ROUND(IF($F27=1,$C27*$J27,IF(HX27&gt;0,HX27*$K27,DY27*$J27))*IF(85=$R27,$S27,12)/12,6)+$B$4),DY27-$I27)))))</f>
        <v/>
      </c>
      <c r="EA27" s="68">
        <f>IF($U27=0,0,IF($F27=4,0,IF($F27=3,0,IF(OR(86&gt;$R27,DZ27&lt;=$I27),DZ27,DZ27-MIN(INT(ROUND(IF($F27=1,$C27*$J27,IF(HY27&gt;0,HY27*$K27,DZ27*$J27))*IF(86=$R27,$S27,12)/12,6)+$B$4),DZ27-$I27)))))</f>
        <v/>
      </c>
      <c r="EB27" s="68">
        <f>IF($U27=0,0,IF($F27=4,0,IF($F27=3,0,IF(OR(87&gt;$R27,EA27&lt;=$I27),EA27,EA27-MIN(INT(ROUND(IF($F27=1,$C27*$J27,IF(HZ27&gt;0,HZ27*$K27,EA27*$J27))*IF(87=$R27,$S27,12)/12,6)+$B$4),EA27-$I27)))))</f>
        <v/>
      </c>
      <c r="EC27" s="68">
        <f>IF($U27=0,0,IF($F27=4,0,IF($F27=3,0,IF(OR(88&gt;$R27,EB27&lt;=$I27),EB27,EB27-MIN(INT(ROUND(IF($F27=1,$C27*$J27,IF(IA27&gt;0,IA27*$K27,EB27*$J27))*IF(88=$R27,$S27,12)/12,6)+$B$4),EB27-$I27)))))</f>
        <v/>
      </c>
      <c r="ED27" s="68">
        <f>IF($U27=0,0,IF($F27=4,0,IF($F27=3,0,IF(OR(89&gt;$R27,EC27&lt;=$I27),EC27,EC27-MIN(INT(ROUND(IF($F27=1,$C27*$J27,IF(IB27&gt;0,IB27*$K27,EC27*$J27))*IF(89=$R27,$S27,12)/12,6)+$B$4),EC27-$I27)))))</f>
        <v/>
      </c>
      <c r="EE27" s="68">
        <f>IF($U27=0,0,IF($F27=4,0,IF($F27=3,0,IF(OR(90&gt;$R27,ED27&lt;=$I27),ED27,ED27-MIN(INT(ROUND(IF($F27=1,$C27*$J27,IF(IC27&gt;0,IC27*$K27,ED27*$J27))*IF(90=$R27,$S27,12)/12,6)+$B$4),ED27-$I27)))))</f>
        <v/>
      </c>
      <c r="EF27" s="68">
        <f>IF($U27=0,0,IF($F27=4,0,IF($F27=3,0,IF(OR(91&gt;$R27,EE27&lt;=$I27),EE27,EE27-MIN(INT(ROUND(IF($F27=1,$C27*$J27,IF(ID27&gt;0,ID27*$K27,EE27*$J27))*IF(91=$R27,$S27,12)/12,6)+$B$4),EE27-$I27)))))</f>
        <v/>
      </c>
      <c r="EG27" s="68">
        <f>IF($U27=0,0,IF($F27=4,0,IF($F27=3,0,IF(OR(92&gt;$R27,EF27&lt;=$I27),EF27,EF27-MIN(INT(ROUND(IF($F27=1,$C27*$J27,IF(IE27&gt;0,IE27*$K27,EF27*$J27))*IF(92=$R27,$S27,12)/12,6)+$B$4),EF27-$I27)))))</f>
        <v/>
      </c>
      <c r="EH27" s="68">
        <f>IF($U27=0,0,IF($F27=4,0,IF($F27=3,0,IF(OR(93&gt;$R27,EG27&lt;=$I27),EG27,EG27-MIN(INT(ROUND(IF($F27=1,$C27*$J27,IF(IF27&gt;0,IF27*$K27,EG27*$J27))*IF(93=$R27,$S27,12)/12,6)+$B$4),EG27-$I27)))))</f>
        <v/>
      </c>
      <c r="EI27" s="68">
        <f>IF($U27=0,0,IF($F27=4,0,IF($F27=3,0,IF(OR(94&gt;$R27,EH27&lt;=$I27),EH27,EH27-MIN(INT(ROUND(IF($F27=1,$C27*$J27,IF(IG27&gt;0,IG27*$K27,EH27*$J27))*IF(94=$R27,$S27,12)/12,6)+$B$4),EH27-$I27)))))</f>
        <v/>
      </c>
      <c r="EJ27" s="68">
        <f>IF($U27=0,0,IF($F27=4,0,IF($F27=3,0,IF(OR(95&gt;$R27,EI27&lt;=$I27),EI27,EI27-MIN(INT(ROUND(IF($F27=1,$C27*$J27,IF(IH27&gt;0,IH27*$K27,EI27*$J27))*IF(95=$R27,$S27,12)/12,6)+$B$4),EI27-$I27)))))</f>
        <v/>
      </c>
      <c r="EK27" s="68">
        <f>IF($U27=0,0,IF($F27=4,0,IF($F27=3,0,IF(OR(96&gt;$R27,EJ27&lt;=$I27),EJ27,EJ27-MIN(INT(ROUND(IF($F27=1,$C27*$J27,IF(II27&gt;0,II27*$K27,EJ27*$J27))*IF(96=$R27,$S27,12)/12,6)+$B$4),EJ27-$I27)))))</f>
        <v/>
      </c>
      <c r="EL27" s="68">
        <f>IF($U27=0,0,IF($F27=4,0,IF($F27=3,0,IF(OR(97&gt;$R27,EK27&lt;=$I27),EK27,EK27-MIN(INT(ROUND(IF($F27=1,$C27*$J27,IF(IJ27&gt;0,IJ27*$K27,EK27*$J27))*IF(97=$R27,$S27,12)/12,6)+$B$4),EK27-$I27)))))</f>
        <v/>
      </c>
      <c r="EM27" s="68">
        <f>IF($U27=0,0,IF($F27=4,0,IF($F27=3,0,IF(OR(98&gt;$R27,EL27&lt;=$I27),EL27,EL27-MIN(INT(ROUND(IF($F27=1,$C27*$J27,IF(IK27&gt;0,IK27*$K27,EL27*$J27))*IF(98=$R27,$S27,12)/12,6)+$B$4),EL27-$I27)))))</f>
        <v/>
      </c>
      <c r="EN27" s="68">
        <f>IF($U27=0,0,IF($F27=4,0,IF($F27=3,0,IF(OR(99&gt;$R27,EM27&lt;=$I27),EM27,EM27-MIN(INT(ROUND(IF($F27=1,$C27*$J27,IF(IL27&gt;0,IL27*$K27,EM27*$J27))*IF(99=$R27,$S27,12)/12,6)+$B$4),EM27-$I27)))))</f>
        <v/>
      </c>
      <c r="EO27" s="68">
        <f>IF($U27=0,0,IF($F27=4,0,IF($F27=3,0,IF(OR(100&gt;$R27,EN27&lt;=$I27),EN27,EN27-MIN(INT(ROUND(IF($F27=1,$C27*$J27,IF(IM27&gt;0,IM27*$K27,EN27*$J27))*IF(100=$R27,$S27,12)/12,6)+$B$4),EN27-$I27)))))</f>
        <v/>
      </c>
      <c r="EP27" s="68">
        <f>IF($U27=0,0,IF($F27=4,0,IF($F27=3,0,IF(OR(101&gt;$R27,EO27&lt;=$I27),EO27,EO27-MIN(INT(ROUND(IF($F27=1,$C27*$J27,IF(IN27&gt;0,IN27*$K27,EO27*$J27))*IF(101=$R27,$S27,12)/12,6)+$B$4),EO27-$I27)))))</f>
        <v/>
      </c>
      <c r="EQ27" s="68" t="n"/>
      <c r="ER27" s="68">
        <f>IF(OR($U27=0,$F27&lt;&gt;2),0,IF(ROUND(AS27*$J27,6)&lt;ROUND($M27,6),AS27,0))</f>
        <v/>
      </c>
      <c r="ES27" s="68">
        <f>IF(OR($U27=0,$F27&lt;&gt;2),0,IF(ER27&gt;0,ER27,IF(ROUND(AT27*$J27,6)&lt;ROUND($M27,6),AT27,0)))</f>
        <v/>
      </c>
      <c r="ET27" s="68">
        <f>IF(OR($U27=0,$F27&lt;&gt;2),0,IF(ES27&gt;0,ES27,IF(ROUND(AU27*$J27,6)&lt;ROUND($M27,6),AU27,0)))</f>
        <v/>
      </c>
      <c r="EU27" s="68">
        <f>IF(OR($U27=0,$F27&lt;&gt;2),0,IF(ET27&gt;0,ET27,IF(ROUND(AV27*$J27,6)&lt;ROUND($M27,6),AV27,0)))</f>
        <v/>
      </c>
      <c r="EV27" s="68">
        <f>IF(OR($U27=0,$F27&lt;&gt;2),0,IF(EU27&gt;0,EU27,IF(ROUND(AW27*$J27,6)&lt;ROUND($M27,6),AW27,0)))</f>
        <v/>
      </c>
      <c r="EW27" s="68">
        <f>IF(OR($U27=0,$F27&lt;&gt;2),0,IF(EV27&gt;0,EV27,IF(ROUND(AX27*$J27,6)&lt;ROUND($M27,6),AX27,0)))</f>
        <v/>
      </c>
      <c r="EX27" s="68">
        <f>IF(OR($U27=0,$F27&lt;&gt;2),0,IF(EW27&gt;0,EW27,IF(ROUND(AY27*$J27,6)&lt;ROUND($M27,6),AY27,0)))</f>
        <v/>
      </c>
      <c r="EY27" s="68">
        <f>IF(OR($U27=0,$F27&lt;&gt;2),0,IF(EX27&gt;0,EX27,IF(ROUND(AZ27*$J27,6)&lt;ROUND($M27,6),AZ27,0)))</f>
        <v/>
      </c>
      <c r="EZ27" s="68">
        <f>IF(OR($U27=0,$F27&lt;&gt;2),0,IF(EY27&gt;0,EY27,IF(ROUND(BA27*$J27,6)&lt;ROUND($M27,6),BA27,0)))</f>
        <v/>
      </c>
      <c r="FA27" s="68">
        <f>IF(OR($U27=0,$F27&lt;&gt;2),0,IF(EZ27&gt;0,EZ27,IF(ROUND(BB27*$J27,6)&lt;ROUND($M27,6),BB27,0)))</f>
        <v/>
      </c>
      <c r="FB27" s="68">
        <f>IF(OR($U27=0,$F27&lt;&gt;2),0,IF(FA27&gt;0,FA27,IF(ROUND(BC27*$J27,6)&lt;ROUND($M27,6),BC27,0)))</f>
        <v/>
      </c>
      <c r="FC27" s="68">
        <f>IF(OR($U27=0,$F27&lt;&gt;2),0,IF(FB27&gt;0,FB27,IF(ROUND(BD27*$J27,6)&lt;ROUND($M27,6),BD27,0)))</f>
        <v/>
      </c>
      <c r="FD27" s="68">
        <f>IF(OR($U27=0,$F27&lt;&gt;2),0,IF(FC27&gt;0,FC27,IF(ROUND(BE27*$J27,6)&lt;ROUND($M27,6),BE27,0)))</f>
        <v/>
      </c>
      <c r="FE27" s="68">
        <f>IF(OR($U27=0,$F27&lt;&gt;2),0,IF(FD27&gt;0,FD27,IF(ROUND(BF27*$J27,6)&lt;ROUND($M27,6),BF27,0)))</f>
        <v/>
      </c>
      <c r="FF27" s="68">
        <f>IF(OR($U27=0,$F27&lt;&gt;2),0,IF(FE27&gt;0,FE27,IF(ROUND(BG27*$J27,6)&lt;ROUND($M27,6),BG27,0)))</f>
        <v/>
      </c>
      <c r="FG27" s="68">
        <f>IF(OR($U27=0,$F27&lt;&gt;2),0,IF(FF27&gt;0,FF27,IF(ROUND(BH27*$J27,6)&lt;ROUND($M27,6),BH27,0)))</f>
        <v/>
      </c>
      <c r="FH27" s="68">
        <f>IF(OR($U27=0,$F27&lt;&gt;2),0,IF(FG27&gt;0,FG27,IF(ROUND(BI27*$J27,6)&lt;ROUND($M27,6),BI27,0)))</f>
        <v/>
      </c>
      <c r="FI27" s="68">
        <f>IF(OR($U27=0,$F27&lt;&gt;2),0,IF(FH27&gt;0,FH27,IF(ROUND(BJ27*$J27,6)&lt;ROUND($M27,6),BJ27,0)))</f>
        <v/>
      </c>
      <c r="FJ27" s="68">
        <f>IF(OR($U27=0,$F27&lt;&gt;2),0,IF(FI27&gt;0,FI27,IF(ROUND(BK27*$J27,6)&lt;ROUND($M27,6),BK27,0)))</f>
        <v/>
      </c>
      <c r="FK27" s="68">
        <f>IF(OR($U27=0,$F27&lt;&gt;2),0,IF(FJ27&gt;0,FJ27,IF(ROUND(BL27*$J27,6)&lt;ROUND($M27,6),BL27,0)))</f>
        <v/>
      </c>
      <c r="FL27" s="68">
        <f>IF(OR($U27=0,$F27&lt;&gt;2),0,IF(FK27&gt;0,FK27,IF(ROUND(BM27*$J27,6)&lt;ROUND($M27,6),BM27,0)))</f>
        <v/>
      </c>
      <c r="FM27" s="68">
        <f>IF(OR($U27=0,$F27&lt;&gt;2),0,IF(FL27&gt;0,FL27,IF(ROUND(BN27*$J27,6)&lt;ROUND($M27,6),BN27,0)))</f>
        <v/>
      </c>
      <c r="FN27" s="68">
        <f>IF(OR($U27=0,$F27&lt;&gt;2),0,IF(FM27&gt;0,FM27,IF(ROUND(BO27*$J27,6)&lt;ROUND($M27,6),BO27,0)))</f>
        <v/>
      </c>
      <c r="FO27" s="68">
        <f>IF(OR($U27=0,$F27&lt;&gt;2),0,IF(FN27&gt;0,FN27,IF(ROUND(BP27*$J27,6)&lt;ROUND($M27,6),BP27,0)))</f>
        <v/>
      </c>
      <c r="FP27" s="68">
        <f>IF(OR($U27=0,$F27&lt;&gt;2),0,IF(FO27&gt;0,FO27,IF(ROUND(BQ27*$J27,6)&lt;ROUND($M27,6),BQ27,0)))</f>
        <v/>
      </c>
      <c r="FQ27" s="68">
        <f>IF(OR($U27=0,$F27&lt;&gt;2),0,IF(FP27&gt;0,FP27,IF(ROUND(BR27*$J27,6)&lt;ROUND($M27,6),BR27,0)))</f>
        <v/>
      </c>
      <c r="FR27" s="68">
        <f>IF(OR($U27=0,$F27&lt;&gt;2),0,IF(FQ27&gt;0,FQ27,IF(ROUND(BS27*$J27,6)&lt;ROUND($M27,6),BS27,0)))</f>
        <v/>
      </c>
      <c r="FS27" s="68">
        <f>IF(OR($U27=0,$F27&lt;&gt;2),0,IF(FR27&gt;0,FR27,IF(ROUND(BT27*$J27,6)&lt;ROUND($M27,6),BT27,0)))</f>
        <v/>
      </c>
      <c r="FT27" s="68">
        <f>IF(OR($U27=0,$F27&lt;&gt;2),0,IF(FS27&gt;0,FS27,IF(ROUND(BU27*$J27,6)&lt;ROUND($M27,6),BU27,0)))</f>
        <v/>
      </c>
      <c r="FU27" s="68">
        <f>IF(OR($U27=0,$F27&lt;&gt;2),0,IF(FT27&gt;0,FT27,IF(ROUND(BV27*$J27,6)&lt;ROUND($M27,6),BV27,0)))</f>
        <v/>
      </c>
      <c r="FV27" s="68">
        <f>IF(OR($U27=0,$F27&lt;&gt;2),0,IF(FU27&gt;0,FU27,IF(ROUND(BW27*$J27,6)&lt;ROUND($M27,6),BW27,0)))</f>
        <v/>
      </c>
      <c r="FW27" s="68">
        <f>IF(OR($U27=0,$F27&lt;&gt;2),0,IF(FV27&gt;0,FV27,IF(ROUND(BX27*$J27,6)&lt;ROUND($M27,6),BX27,0)))</f>
        <v/>
      </c>
      <c r="FX27" s="68">
        <f>IF(OR($U27=0,$F27&lt;&gt;2),0,IF(FW27&gt;0,FW27,IF(ROUND(BY27*$J27,6)&lt;ROUND($M27,6),BY27,0)))</f>
        <v/>
      </c>
      <c r="FY27" s="68">
        <f>IF(OR($U27=0,$F27&lt;&gt;2),0,IF(FX27&gt;0,FX27,IF(ROUND(BZ27*$J27,6)&lt;ROUND($M27,6),BZ27,0)))</f>
        <v/>
      </c>
      <c r="FZ27" s="68">
        <f>IF(OR($U27=0,$F27&lt;&gt;2),0,IF(FY27&gt;0,FY27,IF(ROUND(CA27*$J27,6)&lt;ROUND($M27,6),CA27,0)))</f>
        <v/>
      </c>
      <c r="GA27" s="68">
        <f>IF(OR($U27=0,$F27&lt;&gt;2),0,IF(FZ27&gt;0,FZ27,IF(ROUND(CB27*$J27,6)&lt;ROUND($M27,6),CB27,0)))</f>
        <v/>
      </c>
      <c r="GB27" s="68">
        <f>IF(OR($U27=0,$F27&lt;&gt;2),0,IF(GA27&gt;0,GA27,IF(ROUND(CC27*$J27,6)&lt;ROUND($M27,6),CC27,0)))</f>
        <v/>
      </c>
      <c r="GC27" s="68">
        <f>IF(OR($U27=0,$F27&lt;&gt;2),0,IF(GB27&gt;0,GB27,IF(ROUND(CD27*$J27,6)&lt;ROUND($M27,6),CD27,0)))</f>
        <v/>
      </c>
      <c r="GD27" s="68">
        <f>IF(OR($U27=0,$F27&lt;&gt;2),0,IF(GC27&gt;0,GC27,IF(ROUND(CE27*$J27,6)&lt;ROUND($M27,6),CE27,0)))</f>
        <v/>
      </c>
      <c r="GE27" s="68">
        <f>IF(OR($U27=0,$F27&lt;&gt;2),0,IF(GD27&gt;0,GD27,IF(ROUND(CF27*$J27,6)&lt;ROUND($M27,6),CF27,0)))</f>
        <v/>
      </c>
      <c r="GF27" s="68">
        <f>IF(OR($U27=0,$F27&lt;&gt;2),0,IF(GE27&gt;0,GE27,IF(ROUND(CG27*$J27,6)&lt;ROUND($M27,6),CG27,0)))</f>
        <v/>
      </c>
      <c r="GG27" s="68">
        <f>IF(OR($U27=0,$F27&lt;&gt;2),0,IF(GF27&gt;0,GF27,IF(ROUND(CH27*$J27,6)&lt;ROUND($M27,6),CH27,0)))</f>
        <v/>
      </c>
      <c r="GH27" s="68">
        <f>IF(OR($U27=0,$F27&lt;&gt;2),0,IF(GG27&gt;0,GG27,IF(ROUND(CI27*$J27,6)&lt;ROUND($M27,6),CI27,0)))</f>
        <v/>
      </c>
      <c r="GI27" s="68">
        <f>IF(OR($U27=0,$F27&lt;&gt;2),0,IF(GH27&gt;0,GH27,IF(ROUND(CJ27*$J27,6)&lt;ROUND($M27,6),CJ27,0)))</f>
        <v/>
      </c>
      <c r="GJ27" s="68">
        <f>IF(OR($U27=0,$F27&lt;&gt;2),0,IF(GI27&gt;0,GI27,IF(ROUND(CK27*$J27,6)&lt;ROUND($M27,6),CK27,0)))</f>
        <v/>
      </c>
      <c r="GK27" s="68">
        <f>IF(OR($U27=0,$F27&lt;&gt;2),0,IF(GJ27&gt;0,GJ27,IF(ROUND(CL27*$J27,6)&lt;ROUND($M27,6),CL27,0)))</f>
        <v/>
      </c>
      <c r="GL27" s="68">
        <f>IF(OR($U27=0,$F27&lt;&gt;2),0,IF(GK27&gt;0,GK27,IF(ROUND(CM27*$J27,6)&lt;ROUND($M27,6),CM27,0)))</f>
        <v/>
      </c>
      <c r="GM27" s="68">
        <f>IF(OR($U27=0,$F27&lt;&gt;2),0,IF(GL27&gt;0,GL27,IF(ROUND(CN27*$J27,6)&lt;ROUND($M27,6),CN27,0)))</f>
        <v/>
      </c>
      <c r="GN27" s="68">
        <f>IF(OR($U27=0,$F27&lt;&gt;2),0,IF(GM27&gt;0,GM27,IF(ROUND(CO27*$J27,6)&lt;ROUND($M27,6),CO27,0)))</f>
        <v/>
      </c>
      <c r="GO27" s="68">
        <f>IF(OR($U27=0,$F27&lt;&gt;2),0,IF(GN27&gt;0,GN27,IF(ROUND(CP27*$J27,6)&lt;ROUND($M27,6),CP27,0)))</f>
        <v/>
      </c>
      <c r="GP27" s="68">
        <f>IF(OR($U27=0,$F27&lt;&gt;2),0,IF(GO27&gt;0,GO27,IF(ROUND(CQ27*$J27,6)&lt;ROUND($M27,6),CQ27,0)))</f>
        <v/>
      </c>
      <c r="GQ27" s="68">
        <f>IF(OR($U27=0,$F27&lt;&gt;2),0,IF(GP27&gt;0,GP27,IF(ROUND(CR27*$J27,6)&lt;ROUND($M27,6),CR27,0)))</f>
        <v/>
      </c>
      <c r="GR27" s="68">
        <f>IF(OR($U27=0,$F27&lt;&gt;2),0,IF(GQ27&gt;0,GQ27,IF(ROUND(CS27*$J27,6)&lt;ROUND($M27,6),CS27,0)))</f>
        <v/>
      </c>
      <c r="GS27" s="68">
        <f>IF(OR($U27=0,$F27&lt;&gt;2),0,IF(GR27&gt;0,GR27,IF(ROUND(CT27*$J27,6)&lt;ROUND($M27,6),CT27,0)))</f>
        <v/>
      </c>
      <c r="GT27" s="68">
        <f>IF(OR($U27=0,$F27&lt;&gt;2),0,IF(GS27&gt;0,GS27,IF(ROUND(CU27*$J27,6)&lt;ROUND($M27,6),CU27,0)))</f>
        <v/>
      </c>
      <c r="GU27" s="68">
        <f>IF(OR($U27=0,$F27&lt;&gt;2),0,IF(GT27&gt;0,GT27,IF(ROUND(CV27*$J27,6)&lt;ROUND($M27,6),CV27,0)))</f>
        <v/>
      </c>
      <c r="GV27" s="68">
        <f>IF(OR($U27=0,$F27&lt;&gt;2),0,IF(GU27&gt;0,GU27,IF(ROUND(CW27*$J27,6)&lt;ROUND($M27,6),CW27,0)))</f>
        <v/>
      </c>
      <c r="GW27" s="68">
        <f>IF(OR($U27=0,$F27&lt;&gt;2),0,IF(GV27&gt;0,GV27,IF(ROUND(CX27*$J27,6)&lt;ROUND($M27,6),CX27,0)))</f>
        <v/>
      </c>
      <c r="GX27" s="68">
        <f>IF(OR($U27=0,$F27&lt;&gt;2),0,IF(GW27&gt;0,GW27,IF(ROUND(CY27*$J27,6)&lt;ROUND($M27,6),CY27,0)))</f>
        <v/>
      </c>
      <c r="GY27" s="68">
        <f>IF(OR($U27=0,$F27&lt;&gt;2),0,IF(GX27&gt;0,GX27,IF(ROUND(CZ27*$J27,6)&lt;ROUND($M27,6),CZ27,0)))</f>
        <v/>
      </c>
      <c r="GZ27" s="68">
        <f>IF(OR($U27=0,$F27&lt;&gt;2),0,IF(GY27&gt;0,GY27,IF(ROUND(DA27*$J27,6)&lt;ROUND($M27,6),DA27,0)))</f>
        <v/>
      </c>
      <c r="HA27" s="68">
        <f>IF(OR($U27=0,$F27&lt;&gt;2),0,IF(GZ27&gt;0,GZ27,IF(ROUND(DB27*$J27,6)&lt;ROUND($M27,6),DB27,0)))</f>
        <v/>
      </c>
      <c r="HB27" s="68">
        <f>IF(OR($U27=0,$F27&lt;&gt;2),0,IF(HA27&gt;0,HA27,IF(ROUND(DC27*$J27,6)&lt;ROUND($M27,6),DC27,0)))</f>
        <v/>
      </c>
      <c r="HC27" s="68">
        <f>IF(OR($U27=0,$F27&lt;&gt;2),0,IF(HB27&gt;0,HB27,IF(ROUND(DD27*$J27,6)&lt;ROUND($M27,6),DD27,0)))</f>
        <v/>
      </c>
      <c r="HD27" s="68">
        <f>IF(OR($U27=0,$F27&lt;&gt;2),0,IF(HC27&gt;0,HC27,IF(ROUND(DE27*$J27,6)&lt;ROUND($M27,6),DE27,0)))</f>
        <v/>
      </c>
      <c r="HE27" s="68">
        <f>IF(OR($U27=0,$F27&lt;&gt;2),0,IF(HD27&gt;0,HD27,IF(ROUND(DF27*$J27,6)&lt;ROUND($M27,6),DF27,0)))</f>
        <v/>
      </c>
      <c r="HF27" s="68">
        <f>IF(OR($U27=0,$F27&lt;&gt;2),0,IF(HE27&gt;0,HE27,IF(ROUND(DG27*$J27,6)&lt;ROUND($M27,6),DG27,0)))</f>
        <v/>
      </c>
      <c r="HG27" s="68">
        <f>IF(OR($U27=0,$F27&lt;&gt;2),0,IF(HF27&gt;0,HF27,IF(ROUND(DH27*$J27,6)&lt;ROUND($M27,6),DH27,0)))</f>
        <v/>
      </c>
      <c r="HH27" s="68">
        <f>IF(OR($U27=0,$F27&lt;&gt;2),0,IF(HG27&gt;0,HG27,IF(ROUND(DI27*$J27,6)&lt;ROUND($M27,6),DI27,0)))</f>
        <v/>
      </c>
      <c r="HI27" s="68">
        <f>IF(OR($U27=0,$F27&lt;&gt;2),0,IF(HH27&gt;0,HH27,IF(ROUND(DJ27*$J27,6)&lt;ROUND($M27,6),DJ27,0)))</f>
        <v/>
      </c>
      <c r="HJ27" s="68">
        <f>IF(OR($U27=0,$F27&lt;&gt;2),0,IF(HI27&gt;0,HI27,IF(ROUND(DK27*$J27,6)&lt;ROUND($M27,6),DK27,0)))</f>
        <v/>
      </c>
      <c r="HK27" s="68">
        <f>IF(OR($U27=0,$F27&lt;&gt;2),0,IF(HJ27&gt;0,HJ27,IF(ROUND(DL27*$J27,6)&lt;ROUND($M27,6),DL27,0)))</f>
        <v/>
      </c>
      <c r="HL27" s="68">
        <f>IF(OR($U27=0,$F27&lt;&gt;2),0,IF(HK27&gt;0,HK27,IF(ROUND(DM27*$J27,6)&lt;ROUND($M27,6),DM27,0)))</f>
        <v/>
      </c>
      <c r="HM27" s="68">
        <f>IF(OR($U27=0,$F27&lt;&gt;2),0,IF(HL27&gt;0,HL27,IF(ROUND(DN27*$J27,6)&lt;ROUND($M27,6),DN27,0)))</f>
        <v/>
      </c>
      <c r="HN27" s="68">
        <f>IF(OR($U27=0,$F27&lt;&gt;2),0,IF(HM27&gt;0,HM27,IF(ROUND(DO27*$J27,6)&lt;ROUND($M27,6),DO27,0)))</f>
        <v/>
      </c>
      <c r="HO27" s="68">
        <f>IF(OR($U27=0,$F27&lt;&gt;2),0,IF(HN27&gt;0,HN27,IF(ROUND(DP27*$J27,6)&lt;ROUND($M27,6),DP27,0)))</f>
        <v/>
      </c>
      <c r="HP27" s="68">
        <f>IF(OR($U27=0,$F27&lt;&gt;2),0,IF(HO27&gt;0,HO27,IF(ROUND(DQ27*$J27,6)&lt;ROUND($M27,6),DQ27,0)))</f>
        <v/>
      </c>
      <c r="HQ27" s="68">
        <f>IF(OR($U27=0,$F27&lt;&gt;2),0,IF(HP27&gt;0,HP27,IF(ROUND(DR27*$J27,6)&lt;ROUND($M27,6),DR27,0)))</f>
        <v/>
      </c>
      <c r="HR27" s="68">
        <f>IF(OR($U27=0,$F27&lt;&gt;2),0,IF(HQ27&gt;0,HQ27,IF(ROUND(DS27*$J27,6)&lt;ROUND($M27,6),DS27,0)))</f>
        <v/>
      </c>
      <c r="HS27" s="68">
        <f>IF(OR($U27=0,$F27&lt;&gt;2),0,IF(HR27&gt;0,HR27,IF(ROUND(DT27*$J27,6)&lt;ROUND($M27,6),DT27,0)))</f>
        <v/>
      </c>
      <c r="HT27" s="68">
        <f>IF(OR($U27=0,$F27&lt;&gt;2),0,IF(HS27&gt;0,HS27,IF(ROUND(DU27*$J27,6)&lt;ROUND($M27,6),DU27,0)))</f>
        <v/>
      </c>
      <c r="HU27" s="68">
        <f>IF(OR($U27=0,$F27&lt;&gt;2),0,IF(HT27&gt;0,HT27,IF(ROUND(DV27*$J27,6)&lt;ROUND($M27,6),DV27,0)))</f>
        <v/>
      </c>
      <c r="HV27" s="68">
        <f>IF(OR($U27=0,$F27&lt;&gt;2),0,IF(HU27&gt;0,HU27,IF(ROUND(DW27*$J27,6)&lt;ROUND($M27,6),DW27,0)))</f>
        <v/>
      </c>
      <c r="HW27" s="68">
        <f>IF(OR($U27=0,$F27&lt;&gt;2),0,IF(HV27&gt;0,HV27,IF(ROUND(DX27*$J27,6)&lt;ROUND($M27,6),DX27,0)))</f>
        <v/>
      </c>
      <c r="HX27" s="68">
        <f>IF(OR($U27=0,$F27&lt;&gt;2),0,IF(HW27&gt;0,HW27,IF(ROUND(DY27*$J27,6)&lt;ROUND($M27,6),DY27,0)))</f>
        <v/>
      </c>
      <c r="HY27" s="68">
        <f>IF(OR($U27=0,$F27&lt;&gt;2),0,IF(HX27&gt;0,HX27,IF(ROUND(DZ27*$J27,6)&lt;ROUND($M27,6),DZ27,0)))</f>
        <v/>
      </c>
      <c r="HZ27" s="68">
        <f>IF(OR($U27=0,$F27&lt;&gt;2),0,IF(HY27&gt;0,HY27,IF(ROUND(EA27*$J27,6)&lt;ROUND($M27,6),EA27,0)))</f>
        <v/>
      </c>
      <c r="IA27" s="68">
        <f>IF(OR($U27=0,$F27&lt;&gt;2),0,IF(HZ27&gt;0,HZ27,IF(ROUND(EB27*$J27,6)&lt;ROUND($M27,6),EB27,0)))</f>
        <v/>
      </c>
      <c r="IB27" s="68">
        <f>IF(OR($U27=0,$F27&lt;&gt;2),0,IF(IA27&gt;0,IA27,IF(ROUND(EC27*$J27,6)&lt;ROUND($M27,6),EC27,0)))</f>
        <v/>
      </c>
      <c r="IC27" s="68">
        <f>IF(OR($U27=0,$F27&lt;&gt;2),0,IF(IB27&gt;0,IB27,IF(ROUND(ED27*$J27,6)&lt;ROUND($M27,6),ED27,0)))</f>
        <v/>
      </c>
      <c r="ID27" s="68">
        <f>IF(OR($U27=0,$F27&lt;&gt;2),0,IF(IC27&gt;0,IC27,IF(ROUND(EE27*$J27,6)&lt;ROUND($M27,6),EE27,0)))</f>
        <v/>
      </c>
      <c r="IE27" s="68">
        <f>IF(OR($U27=0,$F27&lt;&gt;2),0,IF(ID27&gt;0,ID27,IF(ROUND(EF27*$J27,6)&lt;ROUND($M27,6),EF27,0)))</f>
        <v/>
      </c>
      <c r="IF27" s="68">
        <f>IF(OR($U27=0,$F27&lt;&gt;2),0,IF(IE27&gt;0,IE27,IF(ROUND(EG27*$J27,6)&lt;ROUND($M27,6),EG27,0)))</f>
        <v/>
      </c>
      <c r="IG27" s="68">
        <f>IF(OR($U27=0,$F27&lt;&gt;2),0,IF(IF27&gt;0,IF27,IF(ROUND(EH27*$J27,6)&lt;ROUND($M27,6),EH27,0)))</f>
        <v/>
      </c>
      <c r="IH27" s="68">
        <f>IF(OR($U27=0,$F27&lt;&gt;2),0,IF(IG27&gt;0,IG27,IF(ROUND(EI27*$J27,6)&lt;ROUND($M27,6),EI27,0)))</f>
        <v/>
      </c>
      <c r="II27" s="68">
        <f>IF(OR($U27=0,$F27&lt;&gt;2),0,IF(IH27&gt;0,IH27,IF(ROUND(EJ27*$J27,6)&lt;ROUND($M27,6),EJ27,0)))</f>
        <v/>
      </c>
      <c r="IJ27" s="68">
        <f>IF(OR($U27=0,$F27&lt;&gt;2),0,IF(II27&gt;0,II27,IF(ROUND(EK27*$J27,6)&lt;ROUND($M27,6),EK27,0)))</f>
        <v/>
      </c>
      <c r="IK27" s="68">
        <f>IF(OR($U27=0,$F27&lt;&gt;2),0,IF(IJ27&gt;0,IJ27,IF(ROUND(EL27*$J27,6)&lt;ROUND($M27,6),EL27,0)))</f>
        <v/>
      </c>
      <c r="IL27" s="68">
        <f>IF(OR($U27=0,$F27&lt;&gt;2),0,IF(IK27&gt;0,IK27,IF(ROUND(EM27*$J27,6)&lt;ROUND($M27,6),EM27,0)))</f>
        <v/>
      </c>
      <c r="IM27" s="68">
        <f>IF(OR($U27=0,$F27&lt;&gt;2),0,IF(IL27&gt;0,IL27,IF(ROUND(EN27*$J27,6)&lt;ROUND($M27,6),EN27,0)))</f>
        <v/>
      </c>
      <c r="IN27" s="68">
        <f>IF(OR($U27=0,$F27&lt;&gt;2),0,IF(IM27&gt;0,IM27,IF(ROUND(EO27*$J27,6)&lt;ROUND($M27,6),EO27,0)))</f>
        <v/>
      </c>
    </row>
    <row r="28">
      <c r="A28" s="68" t="n">
        <v>23</v>
      </c>
      <c r="B28" s="68">
        <f>IF(OR(TRIM('固定資産台帳'!$B28)&lt;&gt;"",'固定資産台帳'!$E28&lt;&gt;"",'固定資産台帳'!$G28&lt;&gt;"",'固定資産台帳'!$H28&lt;&gt;""),1,0)</f>
        <v/>
      </c>
      <c r="C28" s="68">
        <f>IF(ISNUMBER('固定資産台帳'!$G28),MAX(ROUND('固定資産台帳'!$G28,0),0),0)</f>
        <v/>
      </c>
      <c r="D28" s="84">
        <f>IF(ISNUMBER('固定資産台帳'!$E28),INT('固定資産台帳'!$E28),0)</f>
        <v/>
      </c>
      <c r="E28" s="84">
        <f>IF(ISNUMBER('固定資産台帳'!$F28),INT('固定資産台帳'!$F28),$D28)</f>
        <v/>
      </c>
      <c r="F28" s="68">
        <f>IF('固定資産台帳'!$H28="定額法",1,IF(OR('固定資産台帳'!$H28="定率法",'固定資産台帳'!$H28="定率法（200%）",'固定資産台帳'!$H28="定率法（250%）"),2,IF('固定資産台帳'!$H28="一括償却（3年）",3,IF('固定資産台帳'!$H28="少額特例",4,0))))</f>
        <v/>
      </c>
      <c r="G28" s="68">
        <f>IF('固定資産台帳'!$H28="定率法（250%）",250,IF('固定資産台帳'!$H28="定率法（200%）",200,IF($D28&gt;=DATE(2012,4,1),200,250)))</f>
        <v/>
      </c>
      <c r="H28" s="68">
        <f>IF(ISNUMBER('固定資産台帳'!$I28),IF(AND('固定資産台帳'!$I28&gt;=2,'固定資産台帳'!$I28&lt;=100,'固定資産台帳'!$I28=INT('固定資産台帳'!$I28)),'固定資産台帳'!$I28,0),0)</f>
        <v/>
      </c>
      <c r="I28" s="68">
        <f>IF('固定資産台帳'!$C28="無形固定資産",0,1)</f>
        <v/>
      </c>
      <c r="J28" s="68">
        <f>IF(OR($H28=0,$F28=0,$F28&gt;2),0,IF($F28=1,INDEX('償却率表'!$B$6:$B$104,$H28-1),IF($G28=200,INDEX('償却率表'!$C$6:$C$104,$H28-1),INDEX('償却率表'!$F$6:$F$104,$H28-1))))</f>
        <v/>
      </c>
      <c r="K28" s="68">
        <f>IF(AND($F28=2,$H28&gt;0),IF($G28=200,INDEX('償却率表'!$D$6:$D$104,$H28-1),INDEX('償却率表'!$G$6:$G$104,$H28-1)),0)</f>
        <v/>
      </c>
      <c r="L28" s="68">
        <f>IF(AND($F28=2,$H28&gt;0),IF($G28=200,INDEX('償却率表'!$E$6:$E$104,$H28-1),INDEX('償却率表'!$H$6:$H$104,$H28-1)),0)</f>
        <v/>
      </c>
      <c r="M28" s="68">
        <f>$C28*$L28</f>
        <v/>
      </c>
      <c r="N28" s="68">
        <f>IF($B$1=1,1,IF('固定資産台帳'!$J28="",1,IF(ISNUMBER('固定資産台帳'!$J28),IF(AND('固定資産台帳'!$J28&gt;0,'固定資産台帳'!$J28&lt;=1),'固定資産台帳'!$J28,0),0)))</f>
        <v/>
      </c>
      <c r="O28" s="68">
        <f>IF($E28=0,0,YEAR($E28)-IF(MONTH($E28)&lt;$B$2,1,0))</f>
        <v/>
      </c>
      <c r="P28" s="68">
        <f>IF($E28=0,0,12-MOD(MONTH($E28)-$B$2,12))</f>
        <v/>
      </c>
      <c r="Q28" s="84">
        <f>IF(ISNUMBER('固定資産台帳'!$K28),INT('固定資産台帳'!$K28),0)</f>
        <v/>
      </c>
      <c r="R28" s="68">
        <f>IF(OR($Q28=0,$E28=0),999,YEAR($Q28)-IF(MONTH($Q28)&lt;$B$2,1,0)-$O28)</f>
        <v/>
      </c>
      <c r="S28" s="68">
        <f>IF($R28=999,0,MOD(MONTH($Q28)-$B$2,12)+1-IF($R28=0,12-$P28,0))</f>
        <v/>
      </c>
      <c r="T28" s="68">
        <f>IF($B28=0,0,IF($C28&lt;=0,1,IF($D28=0,2,IF($F28=0,3,IF(AND($F28&lt;=2,$H28=0),4,IF(AND($F28&lt;=2,$D28&lt;DATE(2007,4,1)),5,IF($E28&lt;$D28,6,IF(AND($Q28&gt;0,$Q28&lt;$E28),7,IF($N28=0,8,IF($B$3=0,9,0))))))))))</f>
        <v/>
      </c>
      <c r="U28" s="68">
        <f>IF(AND($B28=1,$T28=0),1,0)</f>
        <v/>
      </c>
      <c r="V28" s="68">
        <f>$B$3-$O28</f>
        <v/>
      </c>
      <c r="W28" s="68">
        <f>IF(AND($U28=1,$V28&gt;=0),1,0)</f>
        <v/>
      </c>
      <c r="X28" s="68">
        <f>IF($W28=0,0,IF($V28=0,$C28,INDEX($AS28:$EP28,MIN($V28,102))))</f>
        <v/>
      </c>
      <c r="Y28" s="68">
        <f>IF($W28=0,0,INDEX($AS28:$EP28,MIN($V28,101)+1))</f>
        <v/>
      </c>
      <c r="Z28" s="68">
        <f>$X28-$Y28</f>
        <v/>
      </c>
      <c r="AA28" s="68">
        <f>IF(AND($W28=1,$F28=2,$V28&gt;=1),INDEX($ER28:$IN28,MIN($V28,101)),0)</f>
        <v/>
      </c>
      <c r="AB28" s="68">
        <f>IF(OR($W28=0,$F28&gt;2,$Z28=0),0,IF($V28=0,IF($R28=0,$S28,$P28),IF($V28=$R28,$S28,12)))</f>
        <v/>
      </c>
      <c r="AC28" s="68">
        <f>IF($W28=0,0,INT(ROUND($Z28*$N28,6)+$B$4))</f>
        <v/>
      </c>
      <c r="AD28" s="68">
        <f>IF(AND($W28=1,$F28&lt;=2,$V28=$R28),1,0)</f>
        <v/>
      </c>
      <c r="AE28" s="68">
        <f>IF(AND($W28=1,$F28&lt;=2,$V28&gt;$R28),1,0)</f>
        <v/>
      </c>
      <c r="AF28" s="68">
        <f>IF(AND($W28=1,$AE28=0,OR($Z28&gt;0,$AD28=1)),1,0)</f>
        <v/>
      </c>
      <c r="AG28" s="68">
        <f>IF($AF28=1,SUM($AF$6:$AF28),0)</f>
        <v/>
      </c>
      <c r="AH28" s="68">
        <f>IF($T28=0,"",CHOOSE($T28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28" s="68">
        <f>IF(AND($F28=2,OR('固定資産台帳'!$C28="建物",'固定資産台帳'!$C28="無形固定資産",AND(OR('固定資産台帳'!$C28="建物附属設備",'固定資産台帳'!$C28="構築物"),$D28&gt;=DATE(2016,4,1)))),"この資産は定額法だけです（定率法は使えません）。","")&amp;IF(AND($F28=3,$C28&gt;=200000),"一括償却は20万円未満の資産だけです。","")&amp;IF(AND($F28=3,$B$1=0,$C28&lt;100000),"10万円未満は一括償却にせず、全額をその年の経費にします。","")&amp;IF(AND($F28=4,$C28&lt;100000),"10万円未満は少額特例ではなく、全額をその年の経費にします。","")&amp;IF(AND($F28=4,$D28&lt;DATE(2026,4,1),$C28&gt;=300000),"2026年3月31日までの取得で少額特例が使えるのは30万円未満です。","")&amp;IF(AND($F28=4,$D28&gt;=DATE(2026,4,1),$C28&gt;=400000),"少額特例は40万円未満の資産だけです。","")&amp;IF(AND($F28=4,OR($D28&lt;DATE(2006,4,1),$D28&gt;DATE(2029,3,31))),"少額特例は2006年4月1日〜2029年3月31日に取得した資産だけです。","")&amp;IF(AND($F28=2,$G28=250,$D28&gt;DATE(2012,12,31)),"250%定率法は2012年12月31日までの取得だけです。","")</f>
        <v/>
      </c>
      <c r="AJ28" s="68">
        <f>IF(AND($F28=2,'固定資産台帳'!$H28="定率法（200%）",$D28&lt;DATE(2012,4,1)),"2012年3月31日までの取得に200%を使うのは、経過措置の届出をした場合です。","")&amp;IF(AND($F28=2,'固定資産台帳'!$H28="定率法（250%）",$D28&gt;=DATE(2012,4,1),$D28&lt;=DATE(2012,12,31)),"2012年4〜12月の取得に250%を使うのは、経過措置を選んだ場合です。","")</f>
        <v/>
      </c>
      <c r="AK28" s="68">
        <f>IF($U28=0,"",IF($V28&lt;0,"表示している年より後に使い始める資産です。",IF($AE28=1,"売却・除却済みです。",IF($AD28=1,"この年に売却・除却。期末の帳簿価額 "&amp;TEXT($Y28,"#,##0")&amp;"円を帳簿から外します。",IF($F28=4,IF($V28=0,"少額特例：この年に全額を経費にします。","少額特例で経費にした資産です。"),IF($F28=3,IF($V28&gt;2,"一括償却は終わっています。","一括償却 "&amp;($V28+1)&amp;"年目（3年のうち）。"),IF($Z28=0,"償却済み（帳簿価額 "&amp;TEXT($Y28,"#,##0")&amp;"円）。",IF($AA28&gt;0,"改定償却率で計算（改定取得価額 "&amp;TEXT($AA28,"#,##0")&amp;"円）。",IF($V28=0,"この年に使い始め（"&amp;$AB28&amp;"か月分）。","")))))))))</f>
        <v/>
      </c>
      <c r="AL28" s="68">
        <f>IF(AND($U28=1,$F28=4,$V28=0),$C28,0)</f>
        <v/>
      </c>
      <c r="AM28" s="68">
        <f>IF($F28=2,INT(ROUND($M28,6)+$B$4),0)</f>
        <v/>
      </c>
      <c r="AN28" s="68">
        <f>IF($W28=0,0,IF($F28=2,IF($AA28&gt;0,$AA28,$X28),$C28))</f>
        <v/>
      </c>
      <c r="AO28" s="68">
        <f>IF($W28=0,"",IF($F28=3,"1/3",IF($F28=4,"―",IF($AA28&gt;0,$K28,$J28))))</f>
        <v/>
      </c>
      <c r="AP28" s="68" t="n"/>
      <c r="AQ28" s="68" t="n"/>
      <c r="AR28" s="68" t="n"/>
      <c r="AS28" s="68">
        <f>IF($U28=0,0,IF($F28=4,0,IF($F28=3,MAX($C28-INT(ROUND($C28/3,6)+$B$4),0),$C28-MIN(INT(ROUND($C28*$J28*IF($R28=0,$S28,$P28)/12,6)+$B$4),MAX($C28-$I28,0)))))</f>
        <v/>
      </c>
      <c r="AT28" s="68">
        <f>IF($U28=0,0,IF($F28=4,0,IF($F28=3,AS28-MIN(INT(ROUND($C28/3,6)+$B$4),AS28),IF(OR(1&gt;$R28,AS28&lt;=$I28),AS28,AS28-MIN(INT(ROUND(IF($F28=1,$C28*$J28,IF(ER28&gt;0,ER28*$K28,AS28*$J28))*IF(1=$R28,$S28,12)/12,6)+$B$4),AS28-$I28)))))</f>
        <v/>
      </c>
      <c r="AU28" s="68">
        <f>IF($U28=0,0,IF($F28=4,0,IF($F28=3,0,IF(OR(2&gt;$R28,AT28&lt;=$I28),AT28,AT28-MIN(INT(ROUND(IF($F28=1,$C28*$J28,IF(ES28&gt;0,ES28*$K28,AT28*$J28))*IF(2=$R28,$S28,12)/12,6)+$B$4),AT28-$I28)))))</f>
        <v/>
      </c>
      <c r="AV28" s="68">
        <f>IF($U28=0,0,IF($F28=4,0,IF($F28=3,0,IF(OR(3&gt;$R28,AU28&lt;=$I28),AU28,AU28-MIN(INT(ROUND(IF($F28=1,$C28*$J28,IF(ET28&gt;0,ET28*$K28,AU28*$J28))*IF(3=$R28,$S28,12)/12,6)+$B$4),AU28-$I28)))))</f>
        <v/>
      </c>
      <c r="AW28" s="68">
        <f>IF($U28=0,0,IF($F28=4,0,IF($F28=3,0,IF(OR(4&gt;$R28,AV28&lt;=$I28),AV28,AV28-MIN(INT(ROUND(IF($F28=1,$C28*$J28,IF(EU28&gt;0,EU28*$K28,AV28*$J28))*IF(4=$R28,$S28,12)/12,6)+$B$4),AV28-$I28)))))</f>
        <v/>
      </c>
      <c r="AX28" s="68">
        <f>IF($U28=0,0,IF($F28=4,0,IF($F28=3,0,IF(OR(5&gt;$R28,AW28&lt;=$I28),AW28,AW28-MIN(INT(ROUND(IF($F28=1,$C28*$J28,IF(EV28&gt;0,EV28*$K28,AW28*$J28))*IF(5=$R28,$S28,12)/12,6)+$B$4),AW28-$I28)))))</f>
        <v/>
      </c>
      <c r="AY28" s="68">
        <f>IF($U28=0,0,IF($F28=4,0,IF($F28=3,0,IF(OR(6&gt;$R28,AX28&lt;=$I28),AX28,AX28-MIN(INT(ROUND(IF($F28=1,$C28*$J28,IF(EW28&gt;0,EW28*$K28,AX28*$J28))*IF(6=$R28,$S28,12)/12,6)+$B$4),AX28-$I28)))))</f>
        <v/>
      </c>
      <c r="AZ28" s="68">
        <f>IF($U28=0,0,IF($F28=4,0,IF($F28=3,0,IF(OR(7&gt;$R28,AY28&lt;=$I28),AY28,AY28-MIN(INT(ROUND(IF($F28=1,$C28*$J28,IF(EX28&gt;0,EX28*$K28,AY28*$J28))*IF(7=$R28,$S28,12)/12,6)+$B$4),AY28-$I28)))))</f>
        <v/>
      </c>
      <c r="BA28" s="68">
        <f>IF($U28=0,0,IF($F28=4,0,IF($F28=3,0,IF(OR(8&gt;$R28,AZ28&lt;=$I28),AZ28,AZ28-MIN(INT(ROUND(IF($F28=1,$C28*$J28,IF(EY28&gt;0,EY28*$K28,AZ28*$J28))*IF(8=$R28,$S28,12)/12,6)+$B$4),AZ28-$I28)))))</f>
        <v/>
      </c>
      <c r="BB28" s="68">
        <f>IF($U28=0,0,IF($F28=4,0,IF($F28=3,0,IF(OR(9&gt;$R28,BA28&lt;=$I28),BA28,BA28-MIN(INT(ROUND(IF($F28=1,$C28*$J28,IF(EZ28&gt;0,EZ28*$K28,BA28*$J28))*IF(9=$R28,$S28,12)/12,6)+$B$4),BA28-$I28)))))</f>
        <v/>
      </c>
      <c r="BC28" s="68">
        <f>IF($U28=0,0,IF($F28=4,0,IF($F28=3,0,IF(OR(10&gt;$R28,BB28&lt;=$I28),BB28,BB28-MIN(INT(ROUND(IF($F28=1,$C28*$J28,IF(FA28&gt;0,FA28*$K28,BB28*$J28))*IF(10=$R28,$S28,12)/12,6)+$B$4),BB28-$I28)))))</f>
        <v/>
      </c>
      <c r="BD28" s="68">
        <f>IF($U28=0,0,IF($F28=4,0,IF($F28=3,0,IF(OR(11&gt;$R28,BC28&lt;=$I28),BC28,BC28-MIN(INT(ROUND(IF($F28=1,$C28*$J28,IF(FB28&gt;0,FB28*$K28,BC28*$J28))*IF(11=$R28,$S28,12)/12,6)+$B$4),BC28-$I28)))))</f>
        <v/>
      </c>
      <c r="BE28" s="68">
        <f>IF($U28=0,0,IF($F28=4,0,IF($F28=3,0,IF(OR(12&gt;$R28,BD28&lt;=$I28),BD28,BD28-MIN(INT(ROUND(IF($F28=1,$C28*$J28,IF(FC28&gt;0,FC28*$K28,BD28*$J28))*IF(12=$R28,$S28,12)/12,6)+$B$4),BD28-$I28)))))</f>
        <v/>
      </c>
      <c r="BF28" s="68">
        <f>IF($U28=0,0,IF($F28=4,0,IF($F28=3,0,IF(OR(13&gt;$R28,BE28&lt;=$I28),BE28,BE28-MIN(INT(ROUND(IF($F28=1,$C28*$J28,IF(FD28&gt;0,FD28*$K28,BE28*$J28))*IF(13=$R28,$S28,12)/12,6)+$B$4),BE28-$I28)))))</f>
        <v/>
      </c>
      <c r="BG28" s="68">
        <f>IF($U28=0,0,IF($F28=4,0,IF($F28=3,0,IF(OR(14&gt;$R28,BF28&lt;=$I28),BF28,BF28-MIN(INT(ROUND(IF($F28=1,$C28*$J28,IF(FE28&gt;0,FE28*$K28,BF28*$J28))*IF(14=$R28,$S28,12)/12,6)+$B$4),BF28-$I28)))))</f>
        <v/>
      </c>
      <c r="BH28" s="68">
        <f>IF($U28=0,0,IF($F28=4,0,IF($F28=3,0,IF(OR(15&gt;$R28,BG28&lt;=$I28),BG28,BG28-MIN(INT(ROUND(IF($F28=1,$C28*$J28,IF(FF28&gt;0,FF28*$K28,BG28*$J28))*IF(15=$R28,$S28,12)/12,6)+$B$4),BG28-$I28)))))</f>
        <v/>
      </c>
      <c r="BI28" s="68">
        <f>IF($U28=0,0,IF($F28=4,0,IF($F28=3,0,IF(OR(16&gt;$R28,BH28&lt;=$I28),BH28,BH28-MIN(INT(ROUND(IF($F28=1,$C28*$J28,IF(FG28&gt;0,FG28*$K28,BH28*$J28))*IF(16=$R28,$S28,12)/12,6)+$B$4),BH28-$I28)))))</f>
        <v/>
      </c>
      <c r="BJ28" s="68">
        <f>IF($U28=0,0,IF($F28=4,0,IF($F28=3,0,IF(OR(17&gt;$R28,BI28&lt;=$I28),BI28,BI28-MIN(INT(ROUND(IF($F28=1,$C28*$J28,IF(FH28&gt;0,FH28*$K28,BI28*$J28))*IF(17=$R28,$S28,12)/12,6)+$B$4),BI28-$I28)))))</f>
        <v/>
      </c>
      <c r="BK28" s="68">
        <f>IF($U28=0,0,IF($F28=4,0,IF($F28=3,0,IF(OR(18&gt;$R28,BJ28&lt;=$I28),BJ28,BJ28-MIN(INT(ROUND(IF($F28=1,$C28*$J28,IF(FI28&gt;0,FI28*$K28,BJ28*$J28))*IF(18=$R28,$S28,12)/12,6)+$B$4),BJ28-$I28)))))</f>
        <v/>
      </c>
      <c r="BL28" s="68">
        <f>IF($U28=0,0,IF($F28=4,0,IF($F28=3,0,IF(OR(19&gt;$R28,BK28&lt;=$I28),BK28,BK28-MIN(INT(ROUND(IF($F28=1,$C28*$J28,IF(FJ28&gt;0,FJ28*$K28,BK28*$J28))*IF(19=$R28,$S28,12)/12,6)+$B$4),BK28-$I28)))))</f>
        <v/>
      </c>
      <c r="BM28" s="68">
        <f>IF($U28=0,0,IF($F28=4,0,IF($F28=3,0,IF(OR(20&gt;$R28,BL28&lt;=$I28),BL28,BL28-MIN(INT(ROUND(IF($F28=1,$C28*$J28,IF(FK28&gt;0,FK28*$K28,BL28*$J28))*IF(20=$R28,$S28,12)/12,6)+$B$4),BL28-$I28)))))</f>
        <v/>
      </c>
      <c r="BN28" s="68">
        <f>IF($U28=0,0,IF($F28=4,0,IF($F28=3,0,IF(OR(21&gt;$R28,BM28&lt;=$I28),BM28,BM28-MIN(INT(ROUND(IF($F28=1,$C28*$J28,IF(FL28&gt;0,FL28*$K28,BM28*$J28))*IF(21=$R28,$S28,12)/12,6)+$B$4),BM28-$I28)))))</f>
        <v/>
      </c>
      <c r="BO28" s="68">
        <f>IF($U28=0,0,IF($F28=4,0,IF($F28=3,0,IF(OR(22&gt;$R28,BN28&lt;=$I28),BN28,BN28-MIN(INT(ROUND(IF($F28=1,$C28*$J28,IF(FM28&gt;0,FM28*$K28,BN28*$J28))*IF(22=$R28,$S28,12)/12,6)+$B$4),BN28-$I28)))))</f>
        <v/>
      </c>
      <c r="BP28" s="68">
        <f>IF($U28=0,0,IF($F28=4,0,IF($F28=3,0,IF(OR(23&gt;$R28,BO28&lt;=$I28),BO28,BO28-MIN(INT(ROUND(IF($F28=1,$C28*$J28,IF(FN28&gt;0,FN28*$K28,BO28*$J28))*IF(23=$R28,$S28,12)/12,6)+$B$4),BO28-$I28)))))</f>
        <v/>
      </c>
      <c r="BQ28" s="68">
        <f>IF($U28=0,0,IF($F28=4,0,IF($F28=3,0,IF(OR(24&gt;$R28,BP28&lt;=$I28),BP28,BP28-MIN(INT(ROUND(IF($F28=1,$C28*$J28,IF(FO28&gt;0,FO28*$K28,BP28*$J28))*IF(24=$R28,$S28,12)/12,6)+$B$4),BP28-$I28)))))</f>
        <v/>
      </c>
      <c r="BR28" s="68">
        <f>IF($U28=0,0,IF($F28=4,0,IF($F28=3,0,IF(OR(25&gt;$R28,BQ28&lt;=$I28),BQ28,BQ28-MIN(INT(ROUND(IF($F28=1,$C28*$J28,IF(FP28&gt;0,FP28*$K28,BQ28*$J28))*IF(25=$R28,$S28,12)/12,6)+$B$4),BQ28-$I28)))))</f>
        <v/>
      </c>
      <c r="BS28" s="68">
        <f>IF($U28=0,0,IF($F28=4,0,IF($F28=3,0,IF(OR(26&gt;$R28,BR28&lt;=$I28),BR28,BR28-MIN(INT(ROUND(IF($F28=1,$C28*$J28,IF(FQ28&gt;0,FQ28*$K28,BR28*$J28))*IF(26=$R28,$S28,12)/12,6)+$B$4),BR28-$I28)))))</f>
        <v/>
      </c>
      <c r="BT28" s="68">
        <f>IF($U28=0,0,IF($F28=4,0,IF($F28=3,0,IF(OR(27&gt;$R28,BS28&lt;=$I28),BS28,BS28-MIN(INT(ROUND(IF($F28=1,$C28*$J28,IF(FR28&gt;0,FR28*$K28,BS28*$J28))*IF(27=$R28,$S28,12)/12,6)+$B$4),BS28-$I28)))))</f>
        <v/>
      </c>
      <c r="BU28" s="68">
        <f>IF($U28=0,0,IF($F28=4,0,IF($F28=3,0,IF(OR(28&gt;$R28,BT28&lt;=$I28),BT28,BT28-MIN(INT(ROUND(IF($F28=1,$C28*$J28,IF(FS28&gt;0,FS28*$K28,BT28*$J28))*IF(28=$R28,$S28,12)/12,6)+$B$4),BT28-$I28)))))</f>
        <v/>
      </c>
      <c r="BV28" s="68">
        <f>IF($U28=0,0,IF($F28=4,0,IF($F28=3,0,IF(OR(29&gt;$R28,BU28&lt;=$I28),BU28,BU28-MIN(INT(ROUND(IF($F28=1,$C28*$J28,IF(FT28&gt;0,FT28*$K28,BU28*$J28))*IF(29=$R28,$S28,12)/12,6)+$B$4),BU28-$I28)))))</f>
        <v/>
      </c>
      <c r="BW28" s="68">
        <f>IF($U28=0,0,IF($F28=4,0,IF($F28=3,0,IF(OR(30&gt;$R28,BV28&lt;=$I28),BV28,BV28-MIN(INT(ROUND(IF($F28=1,$C28*$J28,IF(FU28&gt;0,FU28*$K28,BV28*$J28))*IF(30=$R28,$S28,12)/12,6)+$B$4),BV28-$I28)))))</f>
        <v/>
      </c>
      <c r="BX28" s="68">
        <f>IF($U28=0,0,IF($F28=4,0,IF($F28=3,0,IF(OR(31&gt;$R28,BW28&lt;=$I28),BW28,BW28-MIN(INT(ROUND(IF($F28=1,$C28*$J28,IF(FV28&gt;0,FV28*$K28,BW28*$J28))*IF(31=$R28,$S28,12)/12,6)+$B$4),BW28-$I28)))))</f>
        <v/>
      </c>
      <c r="BY28" s="68">
        <f>IF($U28=0,0,IF($F28=4,0,IF($F28=3,0,IF(OR(32&gt;$R28,BX28&lt;=$I28),BX28,BX28-MIN(INT(ROUND(IF($F28=1,$C28*$J28,IF(FW28&gt;0,FW28*$K28,BX28*$J28))*IF(32=$R28,$S28,12)/12,6)+$B$4),BX28-$I28)))))</f>
        <v/>
      </c>
      <c r="BZ28" s="68">
        <f>IF($U28=0,0,IF($F28=4,0,IF($F28=3,0,IF(OR(33&gt;$R28,BY28&lt;=$I28),BY28,BY28-MIN(INT(ROUND(IF($F28=1,$C28*$J28,IF(FX28&gt;0,FX28*$K28,BY28*$J28))*IF(33=$R28,$S28,12)/12,6)+$B$4),BY28-$I28)))))</f>
        <v/>
      </c>
      <c r="CA28" s="68">
        <f>IF($U28=0,0,IF($F28=4,0,IF($F28=3,0,IF(OR(34&gt;$R28,BZ28&lt;=$I28),BZ28,BZ28-MIN(INT(ROUND(IF($F28=1,$C28*$J28,IF(FY28&gt;0,FY28*$K28,BZ28*$J28))*IF(34=$R28,$S28,12)/12,6)+$B$4),BZ28-$I28)))))</f>
        <v/>
      </c>
      <c r="CB28" s="68">
        <f>IF($U28=0,0,IF($F28=4,0,IF($F28=3,0,IF(OR(35&gt;$R28,CA28&lt;=$I28),CA28,CA28-MIN(INT(ROUND(IF($F28=1,$C28*$J28,IF(FZ28&gt;0,FZ28*$K28,CA28*$J28))*IF(35=$R28,$S28,12)/12,6)+$B$4),CA28-$I28)))))</f>
        <v/>
      </c>
      <c r="CC28" s="68">
        <f>IF($U28=0,0,IF($F28=4,0,IF($F28=3,0,IF(OR(36&gt;$R28,CB28&lt;=$I28),CB28,CB28-MIN(INT(ROUND(IF($F28=1,$C28*$J28,IF(GA28&gt;0,GA28*$K28,CB28*$J28))*IF(36=$R28,$S28,12)/12,6)+$B$4),CB28-$I28)))))</f>
        <v/>
      </c>
      <c r="CD28" s="68">
        <f>IF($U28=0,0,IF($F28=4,0,IF($F28=3,0,IF(OR(37&gt;$R28,CC28&lt;=$I28),CC28,CC28-MIN(INT(ROUND(IF($F28=1,$C28*$J28,IF(GB28&gt;0,GB28*$K28,CC28*$J28))*IF(37=$R28,$S28,12)/12,6)+$B$4),CC28-$I28)))))</f>
        <v/>
      </c>
      <c r="CE28" s="68">
        <f>IF($U28=0,0,IF($F28=4,0,IF($F28=3,0,IF(OR(38&gt;$R28,CD28&lt;=$I28),CD28,CD28-MIN(INT(ROUND(IF($F28=1,$C28*$J28,IF(GC28&gt;0,GC28*$K28,CD28*$J28))*IF(38=$R28,$S28,12)/12,6)+$B$4),CD28-$I28)))))</f>
        <v/>
      </c>
      <c r="CF28" s="68">
        <f>IF($U28=0,0,IF($F28=4,0,IF($F28=3,0,IF(OR(39&gt;$R28,CE28&lt;=$I28),CE28,CE28-MIN(INT(ROUND(IF($F28=1,$C28*$J28,IF(GD28&gt;0,GD28*$K28,CE28*$J28))*IF(39=$R28,$S28,12)/12,6)+$B$4),CE28-$I28)))))</f>
        <v/>
      </c>
      <c r="CG28" s="68">
        <f>IF($U28=0,0,IF($F28=4,0,IF($F28=3,0,IF(OR(40&gt;$R28,CF28&lt;=$I28),CF28,CF28-MIN(INT(ROUND(IF($F28=1,$C28*$J28,IF(GE28&gt;0,GE28*$K28,CF28*$J28))*IF(40=$R28,$S28,12)/12,6)+$B$4),CF28-$I28)))))</f>
        <v/>
      </c>
      <c r="CH28" s="68">
        <f>IF($U28=0,0,IF($F28=4,0,IF($F28=3,0,IF(OR(41&gt;$R28,CG28&lt;=$I28),CG28,CG28-MIN(INT(ROUND(IF($F28=1,$C28*$J28,IF(GF28&gt;0,GF28*$K28,CG28*$J28))*IF(41=$R28,$S28,12)/12,6)+$B$4),CG28-$I28)))))</f>
        <v/>
      </c>
      <c r="CI28" s="68">
        <f>IF($U28=0,0,IF($F28=4,0,IF($F28=3,0,IF(OR(42&gt;$R28,CH28&lt;=$I28),CH28,CH28-MIN(INT(ROUND(IF($F28=1,$C28*$J28,IF(GG28&gt;0,GG28*$K28,CH28*$J28))*IF(42=$R28,$S28,12)/12,6)+$B$4),CH28-$I28)))))</f>
        <v/>
      </c>
      <c r="CJ28" s="68">
        <f>IF($U28=0,0,IF($F28=4,0,IF($F28=3,0,IF(OR(43&gt;$R28,CI28&lt;=$I28),CI28,CI28-MIN(INT(ROUND(IF($F28=1,$C28*$J28,IF(GH28&gt;0,GH28*$K28,CI28*$J28))*IF(43=$R28,$S28,12)/12,6)+$B$4),CI28-$I28)))))</f>
        <v/>
      </c>
      <c r="CK28" s="68">
        <f>IF($U28=0,0,IF($F28=4,0,IF($F28=3,0,IF(OR(44&gt;$R28,CJ28&lt;=$I28),CJ28,CJ28-MIN(INT(ROUND(IF($F28=1,$C28*$J28,IF(GI28&gt;0,GI28*$K28,CJ28*$J28))*IF(44=$R28,$S28,12)/12,6)+$B$4),CJ28-$I28)))))</f>
        <v/>
      </c>
      <c r="CL28" s="68">
        <f>IF($U28=0,0,IF($F28=4,0,IF($F28=3,0,IF(OR(45&gt;$R28,CK28&lt;=$I28),CK28,CK28-MIN(INT(ROUND(IF($F28=1,$C28*$J28,IF(GJ28&gt;0,GJ28*$K28,CK28*$J28))*IF(45=$R28,$S28,12)/12,6)+$B$4),CK28-$I28)))))</f>
        <v/>
      </c>
      <c r="CM28" s="68">
        <f>IF($U28=0,0,IF($F28=4,0,IF($F28=3,0,IF(OR(46&gt;$R28,CL28&lt;=$I28),CL28,CL28-MIN(INT(ROUND(IF($F28=1,$C28*$J28,IF(GK28&gt;0,GK28*$K28,CL28*$J28))*IF(46=$R28,$S28,12)/12,6)+$B$4),CL28-$I28)))))</f>
        <v/>
      </c>
      <c r="CN28" s="68">
        <f>IF($U28=0,0,IF($F28=4,0,IF($F28=3,0,IF(OR(47&gt;$R28,CM28&lt;=$I28),CM28,CM28-MIN(INT(ROUND(IF($F28=1,$C28*$J28,IF(GL28&gt;0,GL28*$K28,CM28*$J28))*IF(47=$R28,$S28,12)/12,6)+$B$4),CM28-$I28)))))</f>
        <v/>
      </c>
      <c r="CO28" s="68">
        <f>IF($U28=0,0,IF($F28=4,0,IF($F28=3,0,IF(OR(48&gt;$R28,CN28&lt;=$I28),CN28,CN28-MIN(INT(ROUND(IF($F28=1,$C28*$J28,IF(GM28&gt;0,GM28*$K28,CN28*$J28))*IF(48=$R28,$S28,12)/12,6)+$B$4),CN28-$I28)))))</f>
        <v/>
      </c>
      <c r="CP28" s="68">
        <f>IF($U28=0,0,IF($F28=4,0,IF($F28=3,0,IF(OR(49&gt;$R28,CO28&lt;=$I28),CO28,CO28-MIN(INT(ROUND(IF($F28=1,$C28*$J28,IF(GN28&gt;0,GN28*$K28,CO28*$J28))*IF(49=$R28,$S28,12)/12,6)+$B$4),CO28-$I28)))))</f>
        <v/>
      </c>
      <c r="CQ28" s="68">
        <f>IF($U28=0,0,IF($F28=4,0,IF($F28=3,0,IF(OR(50&gt;$R28,CP28&lt;=$I28),CP28,CP28-MIN(INT(ROUND(IF($F28=1,$C28*$J28,IF(GO28&gt;0,GO28*$K28,CP28*$J28))*IF(50=$R28,$S28,12)/12,6)+$B$4),CP28-$I28)))))</f>
        <v/>
      </c>
      <c r="CR28" s="68">
        <f>IF($U28=0,0,IF($F28=4,0,IF($F28=3,0,IF(OR(51&gt;$R28,CQ28&lt;=$I28),CQ28,CQ28-MIN(INT(ROUND(IF($F28=1,$C28*$J28,IF(GP28&gt;0,GP28*$K28,CQ28*$J28))*IF(51=$R28,$S28,12)/12,6)+$B$4),CQ28-$I28)))))</f>
        <v/>
      </c>
      <c r="CS28" s="68">
        <f>IF($U28=0,0,IF($F28=4,0,IF($F28=3,0,IF(OR(52&gt;$R28,CR28&lt;=$I28),CR28,CR28-MIN(INT(ROUND(IF($F28=1,$C28*$J28,IF(GQ28&gt;0,GQ28*$K28,CR28*$J28))*IF(52=$R28,$S28,12)/12,6)+$B$4),CR28-$I28)))))</f>
        <v/>
      </c>
      <c r="CT28" s="68">
        <f>IF($U28=0,0,IF($F28=4,0,IF($F28=3,0,IF(OR(53&gt;$R28,CS28&lt;=$I28),CS28,CS28-MIN(INT(ROUND(IF($F28=1,$C28*$J28,IF(GR28&gt;0,GR28*$K28,CS28*$J28))*IF(53=$R28,$S28,12)/12,6)+$B$4),CS28-$I28)))))</f>
        <v/>
      </c>
      <c r="CU28" s="68">
        <f>IF($U28=0,0,IF($F28=4,0,IF($F28=3,0,IF(OR(54&gt;$R28,CT28&lt;=$I28),CT28,CT28-MIN(INT(ROUND(IF($F28=1,$C28*$J28,IF(GS28&gt;0,GS28*$K28,CT28*$J28))*IF(54=$R28,$S28,12)/12,6)+$B$4),CT28-$I28)))))</f>
        <v/>
      </c>
      <c r="CV28" s="68">
        <f>IF($U28=0,0,IF($F28=4,0,IF($F28=3,0,IF(OR(55&gt;$R28,CU28&lt;=$I28),CU28,CU28-MIN(INT(ROUND(IF($F28=1,$C28*$J28,IF(GT28&gt;0,GT28*$K28,CU28*$J28))*IF(55=$R28,$S28,12)/12,6)+$B$4),CU28-$I28)))))</f>
        <v/>
      </c>
      <c r="CW28" s="68">
        <f>IF($U28=0,0,IF($F28=4,0,IF($F28=3,0,IF(OR(56&gt;$R28,CV28&lt;=$I28),CV28,CV28-MIN(INT(ROUND(IF($F28=1,$C28*$J28,IF(GU28&gt;0,GU28*$K28,CV28*$J28))*IF(56=$R28,$S28,12)/12,6)+$B$4),CV28-$I28)))))</f>
        <v/>
      </c>
      <c r="CX28" s="68">
        <f>IF($U28=0,0,IF($F28=4,0,IF($F28=3,0,IF(OR(57&gt;$R28,CW28&lt;=$I28),CW28,CW28-MIN(INT(ROUND(IF($F28=1,$C28*$J28,IF(GV28&gt;0,GV28*$K28,CW28*$J28))*IF(57=$R28,$S28,12)/12,6)+$B$4),CW28-$I28)))))</f>
        <v/>
      </c>
      <c r="CY28" s="68">
        <f>IF($U28=0,0,IF($F28=4,0,IF($F28=3,0,IF(OR(58&gt;$R28,CX28&lt;=$I28),CX28,CX28-MIN(INT(ROUND(IF($F28=1,$C28*$J28,IF(GW28&gt;0,GW28*$K28,CX28*$J28))*IF(58=$R28,$S28,12)/12,6)+$B$4),CX28-$I28)))))</f>
        <v/>
      </c>
      <c r="CZ28" s="68">
        <f>IF($U28=0,0,IF($F28=4,0,IF($F28=3,0,IF(OR(59&gt;$R28,CY28&lt;=$I28),CY28,CY28-MIN(INT(ROUND(IF($F28=1,$C28*$J28,IF(GX28&gt;0,GX28*$K28,CY28*$J28))*IF(59=$R28,$S28,12)/12,6)+$B$4),CY28-$I28)))))</f>
        <v/>
      </c>
      <c r="DA28" s="68">
        <f>IF($U28=0,0,IF($F28=4,0,IF($F28=3,0,IF(OR(60&gt;$R28,CZ28&lt;=$I28),CZ28,CZ28-MIN(INT(ROUND(IF($F28=1,$C28*$J28,IF(GY28&gt;0,GY28*$K28,CZ28*$J28))*IF(60=$R28,$S28,12)/12,6)+$B$4),CZ28-$I28)))))</f>
        <v/>
      </c>
      <c r="DB28" s="68">
        <f>IF($U28=0,0,IF($F28=4,0,IF($F28=3,0,IF(OR(61&gt;$R28,DA28&lt;=$I28),DA28,DA28-MIN(INT(ROUND(IF($F28=1,$C28*$J28,IF(GZ28&gt;0,GZ28*$K28,DA28*$J28))*IF(61=$R28,$S28,12)/12,6)+$B$4),DA28-$I28)))))</f>
        <v/>
      </c>
      <c r="DC28" s="68">
        <f>IF($U28=0,0,IF($F28=4,0,IF($F28=3,0,IF(OR(62&gt;$R28,DB28&lt;=$I28),DB28,DB28-MIN(INT(ROUND(IF($F28=1,$C28*$J28,IF(HA28&gt;0,HA28*$K28,DB28*$J28))*IF(62=$R28,$S28,12)/12,6)+$B$4),DB28-$I28)))))</f>
        <v/>
      </c>
      <c r="DD28" s="68">
        <f>IF($U28=0,0,IF($F28=4,0,IF($F28=3,0,IF(OR(63&gt;$R28,DC28&lt;=$I28),DC28,DC28-MIN(INT(ROUND(IF($F28=1,$C28*$J28,IF(HB28&gt;0,HB28*$K28,DC28*$J28))*IF(63=$R28,$S28,12)/12,6)+$B$4),DC28-$I28)))))</f>
        <v/>
      </c>
      <c r="DE28" s="68">
        <f>IF($U28=0,0,IF($F28=4,0,IF($F28=3,0,IF(OR(64&gt;$R28,DD28&lt;=$I28),DD28,DD28-MIN(INT(ROUND(IF($F28=1,$C28*$J28,IF(HC28&gt;0,HC28*$K28,DD28*$J28))*IF(64=$R28,$S28,12)/12,6)+$B$4),DD28-$I28)))))</f>
        <v/>
      </c>
      <c r="DF28" s="68">
        <f>IF($U28=0,0,IF($F28=4,0,IF($F28=3,0,IF(OR(65&gt;$R28,DE28&lt;=$I28),DE28,DE28-MIN(INT(ROUND(IF($F28=1,$C28*$J28,IF(HD28&gt;0,HD28*$K28,DE28*$J28))*IF(65=$R28,$S28,12)/12,6)+$B$4),DE28-$I28)))))</f>
        <v/>
      </c>
      <c r="DG28" s="68">
        <f>IF($U28=0,0,IF($F28=4,0,IF($F28=3,0,IF(OR(66&gt;$R28,DF28&lt;=$I28),DF28,DF28-MIN(INT(ROUND(IF($F28=1,$C28*$J28,IF(HE28&gt;0,HE28*$K28,DF28*$J28))*IF(66=$R28,$S28,12)/12,6)+$B$4),DF28-$I28)))))</f>
        <v/>
      </c>
      <c r="DH28" s="68">
        <f>IF($U28=0,0,IF($F28=4,0,IF($F28=3,0,IF(OR(67&gt;$R28,DG28&lt;=$I28),DG28,DG28-MIN(INT(ROUND(IF($F28=1,$C28*$J28,IF(HF28&gt;0,HF28*$K28,DG28*$J28))*IF(67=$R28,$S28,12)/12,6)+$B$4),DG28-$I28)))))</f>
        <v/>
      </c>
      <c r="DI28" s="68">
        <f>IF($U28=0,0,IF($F28=4,0,IF($F28=3,0,IF(OR(68&gt;$R28,DH28&lt;=$I28),DH28,DH28-MIN(INT(ROUND(IF($F28=1,$C28*$J28,IF(HG28&gt;0,HG28*$K28,DH28*$J28))*IF(68=$R28,$S28,12)/12,6)+$B$4),DH28-$I28)))))</f>
        <v/>
      </c>
      <c r="DJ28" s="68">
        <f>IF($U28=0,0,IF($F28=4,0,IF($F28=3,0,IF(OR(69&gt;$R28,DI28&lt;=$I28),DI28,DI28-MIN(INT(ROUND(IF($F28=1,$C28*$J28,IF(HH28&gt;0,HH28*$K28,DI28*$J28))*IF(69=$R28,$S28,12)/12,6)+$B$4),DI28-$I28)))))</f>
        <v/>
      </c>
      <c r="DK28" s="68">
        <f>IF($U28=0,0,IF($F28=4,0,IF($F28=3,0,IF(OR(70&gt;$R28,DJ28&lt;=$I28),DJ28,DJ28-MIN(INT(ROUND(IF($F28=1,$C28*$J28,IF(HI28&gt;0,HI28*$K28,DJ28*$J28))*IF(70=$R28,$S28,12)/12,6)+$B$4),DJ28-$I28)))))</f>
        <v/>
      </c>
      <c r="DL28" s="68">
        <f>IF($U28=0,0,IF($F28=4,0,IF($F28=3,0,IF(OR(71&gt;$R28,DK28&lt;=$I28),DK28,DK28-MIN(INT(ROUND(IF($F28=1,$C28*$J28,IF(HJ28&gt;0,HJ28*$K28,DK28*$J28))*IF(71=$R28,$S28,12)/12,6)+$B$4),DK28-$I28)))))</f>
        <v/>
      </c>
      <c r="DM28" s="68">
        <f>IF($U28=0,0,IF($F28=4,0,IF($F28=3,0,IF(OR(72&gt;$R28,DL28&lt;=$I28),DL28,DL28-MIN(INT(ROUND(IF($F28=1,$C28*$J28,IF(HK28&gt;0,HK28*$K28,DL28*$J28))*IF(72=$R28,$S28,12)/12,6)+$B$4),DL28-$I28)))))</f>
        <v/>
      </c>
      <c r="DN28" s="68">
        <f>IF($U28=0,0,IF($F28=4,0,IF($F28=3,0,IF(OR(73&gt;$R28,DM28&lt;=$I28),DM28,DM28-MIN(INT(ROUND(IF($F28=1,$C28*$J28,IF(HL28&gt;0,HL28*$K28,DM28*$J28))*IF(73=$R28,$S28,12)/12,6)+$B$4),DM28-$I28)))))</f>
        <v/>
      </c>
      <c r="DO28" s="68">
        <f>IF($U28=0,0,IF($F28=4,0,IF($F28=3,0,IF(OR(74&gt;$R28,DN28&lt;=$I28),DN28,DN28-MIN(INT(ROUND(IF($F28=1,$C28*$J28,IF(HM28&gt;0,HM28*$K28,DN28*$J28))*IF(74=$R28,$S28,12)/12,6)+$B$4),DN28-$I28)))))</f>
        <v/>
      </c>
      <c r="DP28" s="68">
        <f>IF($U28=0,0,IF($F28=4,0,IF($F28=3,0,IF(OR(75&gt;$R28,DO28&lt;=$I28),DO28,DO28-MIN(INT(ROUND(IF($F28=1,$C28*$J28,IF(HN28&gt;0,HN28*$K28,DO28*$J28))*IF(75=$R28,$S28,12)/12,6)+$B$4),DO28-$I28)))))</f>
        <v/>
      </c>
      <c r="DQ28" s="68">
        <f>IF($U28=0,0,IF($F28=4,0,IF($F28=3,0,IF(OR(76&gt;$R28,DP28&lt;=$I28),DP28,DP28-MIN(INT(ROUND(IF($F28=1,$C28*$J28,IF(HO28&gt;0,HO28*$K28,DP28*$J28))*IF(76=$R28,$S28,12)/12,6)+$B$4),DP28-$I28)))))</f>
        <v/>
      </c>
      <c r="DR28" s="68">
        <f>IF($U28=0,0,IF($F28=4,0,IF($F28=3,0,IF(OR(77&gt;$R28,DQ28&lt;=$I28),DQ28,DQ28-MIN(INT(ROUND(IF($F28=1,$C28*$J28,IF(HP28&gt;0,HP28*$K28,DQ28*$J28))*IF(77=$R28,$S28,12)/12,6)+$B$4),DQ28-$I28)))))</f>
        <v/>
      </c>
      <c r="DS28" s="68">
        <f>IF($U28=0,0,IF($F28=4,0,IF($F28=3,0,IF(OR(78&gt;$R28,DR28&lt;=$I28),DR28,DR28-MIN(INT(ROUND(IF($F28=1,$C28*$J28,IF(HQ28&gt;0,HQ28*$K28,DR28*$J28))*IF(78=$R28,$S28,12)/12,6)+$B$4),DR28-$I28)))))</f>
        <v/>
      </c>
      <c r="DT28" s="68">
        <f>IF($U28=0,0,IF($F28=4,0,IF($F28=3,0,IF(OR(79&gt;$R28,DS28&lt;=$I28),DS28,DS28-MIN(INT(ROUND(IF($F28=1,$C28*$J28,IF(HR28&gt;0,HR28*$K28,DS28*$J28))*IF(79=$R28,$S28,12)/12,6)+$B$4),DS28-$I28)))))</f>
        <v/>
      </c>
      <c r="DU28" s="68">
        <f>IF($U28=0,0,IF($F28=4,0,IF($F28=3,0,IF(OR(80&gt;$R28,DT28&lt;=$I28),DT28,DT28-MIN(INT(ROUND(IF($F28=1,$C28*$J28,IF(HS28&gt;0,HS28*$K28,DT28*$J28))*IF(80=$R28,$S28,12)/12,6)+$B$4),DT28-$I28)))))</f>
        <v/>
      </c>
      <c r="DV28" s="68">
        <f>IF($U28=0,0,IF($F28=4,0,IF($F28=3,0,IF(OR(81&gt;$R28,DU28&lt;=$I28),DU28,DU28-MIN(INT(ROUND(IF($F28=1,$C28*$J28,IF(HT28&gt;0,HT28*$K28,DU28*$J28))*IF(81=$R28,$S28,12)/12,6)+$B$4),DU28-$I28)))))</f>
        <v/>
      </c>
      <c r="DW28" s="68">
        <f>IF($U28=0,0,IF($F28=4,0,IF($F28=3,0,IF(OR(82&gt;$R28,DV28&lt;=$I28),DV28,DV28-MIN(INT(ROUND(IF($F28=1,$C28*$J28,IF(HU28&gt;0,HU28*$K28,DV28*$J28))*IF(82=$R28,$S28,12)/12,6)+$B$4),DV28-$I28)))))</f>
        <v/>
      </c>
      <c r="DX28" s="68">
        <f>IF($U28=0,0,IF($F28=4,0,IF($F28=3,0,IF(OR(83&gt;$R28,DW28&lt;=$I28),DW28,DW28-MIN(INT(ROUND(IF($F28=1,$C28*$J28,IF(HV28&gt;0,HV28*$K28,DW28*$J28))*IF(83=$R28,$S28,12)/12,6)+$B$4),DW28-$I28)))))</f>
        <v/>
      </c>
      <c r="DY28" s="68">
        <f>IF($U28=0,0,IF($F28=4,0,IF($F28=3,0,IF(OR(84&gt;$R28,DX28&lt;=$I28),DX28,DX28-MIN(INT(ROUND(IF($F28=1,$C28*$J28,IF(HW28&gt;0,HW28*$K28,DX28*$J28))*IF(84=$R28,$S28,12)/12,6)+$B$4),DX28-$I28)))))</f>
        <v/>
      </c>
      <c r="DZ28" s="68">
        <f>IF($U28=0,0,IF($F28=4,0,IF($F28=3,0,IF(OR(85&gt;$R28,DY28&lt;=$I28),DY28,DY28-MIN(INT(ROUND(IF($F28=1,$C28*$J28,IF(HX28&gt;0,HX28*$K28,DY28*$J28))*IF(85=$R28,$S28,12)/12,6)+$B$4),DY28-$I28)))))</f>
        <v/>
      </c>
      <c r="EA28" s="68">
        <f>IF($U28=0,0,IF($F28=4,0,IF($F28=3,0,IF(OR(86&gt;$R28,DZ28&lt;=$I28),DZ28,DZ28-MIN(INT(ROUND(IF($F28=1,$C28*$J28,IF(HY28&gt;0,HY28*$K28,DZ28*$J28))*IF(86=$R28,$S28,12)/12,6)+$B$4),DZ28-$I28)))))</f>
        <v/>
      </c>
      <c r="EB28" s="68">
        <f>IF($U28=0,0,IF($F28=4,0,IF($F28=3,0,IF(OR(87&gt;$R28,EA28&lt;=$I28),EA28,EA28-MIN(INT(ROUND(IF($F28=1,$C28*$J28,IF(HZ28&gt;0,HZ28*$K28,EA28*$J28))*IF(87=$R28,$S28,12)/12,6)+$B$4),EA28-$I28)))))</f>
        <v/>
      </c>
      <c r="EC28" s="68">
        <f>IF($U28=0,0,IF($F28=4,0,IF($F28=3,0,IF(OR(88&gt;$R28,EB28&lt;=$I28),EB28,EB28-MIN(INT(ROUND(IF($F28=1,$C28*$J28,IF(IA28&gt;0,IA28*$K28,EB28*$J28))*IF(88=$R28,$S28,12)/12,6)+$B$4),EB28-$I28)))))</f>
        <v/>
      </c>
      <c r="ED28" s="68">
        <f>IF($U28=0,0,IF($F28=4,0,IF($F28=3,0,IF(OR(89&gt;$R28,EC28&lt;=$I28),EC28,EC28-MIN(INT(ROUND(IF($F28=1,$C28*$J28,IF(IB28&gt;0,IB28*$K28,EC28*$J28))*IF(89=$R28,$S28,12)/12,6)+$B$4),EC28-$I28)))))</f>
        <v/>
      </c>
      <c r="EE28" s="68">
        <f>IF($U28=0,0,IF($F28=4,0,IF($F28=3,0,IF(OR(90&gt;$R28,ED28&lt;=$I28),ED28,ED28-MIN(INT(ROUND(IF($F28=1,$C28*$J28,IF(IC28&gt;0,IC28*$K28,ED28*$J28))*IF(90=$R28,$S28,12)/12,6)+$B$4),ED28-$I28)))))</f>
        <v/>
      </c>
      <c r="EF28" s="68">
        <f>IF($U28=0,0,IF($F28=4,0,IF($F28=3,0,IF(OR(91&gt;$R28,EE28&lt;=$I28),EE28,EE28-MIN(INT(ROUND(IF($F28=1,$C28*$J28,IF(ID28&gt;0,ID28*$K28,EE28*$J28))*IF(91=$R28,$S28,12)/12,6)+$B$4),EE28-$I28)))))</f>
        <v/>
      </c>
      <c r="EG28" s="68">
        <f>IF($U28=0,0,IF($F28=4,0,IF($F28=3,0,IF(OR(92&gt;$R28,EF28&lt;=$I28),EF28,EF28-MIN(INT(ROUND(IF($F28=1,$C28*$J28,IF(IE28&gt;0,IE28*$K28,EF28*$J28))*IF(92=$R28,$S28,12)/12,6)+$B$4),EF28-$I28)))))</f>
        <v/>
      </c>
      <c r="EH28" s="68">
        <f>IF($U28=0,0,IF($F28=4,0,IF($F28=3,0,IF(OR(93&gt;$R28,EG28&lt;=$I28),EG28,EG28-MIN(INT(ROUND(IF($F28=1,$C28*$J28,IF(IF28&gt;0,IF28*$K28,EG28*$J28))*IF(93=$R28,$S28,12)/12,6)+$B$4),EG28-$I28)))))</f>
        <v/>
      </c>
      <c r="EI28" s="68">
        <f>IF($U28=0,0,IF($F28=4,0,IF($F28=3,0,IF(OR(94&gt;$R28,EH28&lt;=$I28),EH28,EH28-MIN(INT(ROUND(IF($F28=1,$C28*$J28,IF(IG28&gt;0,IG28*$K28,EH28*$J28))*IF(94=$R28,$S28,12)/12,6)+$B$4),EH28-$I28)))))</f>
        <v/>
      </c>
      <c r="EJ28" s="68">
        <f>IF($U28=0,0,IF($F28=4,0,IF($F28=3,0,IF(OR(95&gt;$R28,EI28&lt;=$I28),EI28,EI28-MIN(INT(ROUND(IF($F28=1,$C28*$J28,IF(IH28&gt;0,IH28*$K28,EI28*$J28))*IF(95=$R28,$S28,12)/12,6)+$B$4),EI28-$I28)))))</f>
        <v/>
      </c>
      <c r="EK28" s="68">
        <f>IF($U28=0,0,IF($F28=4,0,IF($F28=3,0,IF(OR(96&gt;$R28,EJ28&lt;=$I28),EJ28,EJ28-MIN(INT(ROUND(IF($F28=1,$C28*$J28,IF(II28&gt;0,II28*$K28,EJ28*$J28))*IF(96=$R28,$S28,12)/12,6)+$B$4),EJ28-$I28)))))</f>
        <v/>
      </c>
      <c r="EL28" s="68">
        <f>IF($U28=0,0,IF($F28=4,0,IF($F28=3,0,IF(OR(97&gt;$R28,EK28&lt;=$I28),EK28,EK28-MIN(INT(ROUND(IF($F28=1,$C28*$J28,IF(IJ28&gt;0,IJ28*$K28,EK28*$J28))*IF(97=$R28,$S28,12)/12,6)+$B$4),EK28-$I28)))))</f>
        <v/>
      </c>
      <c r="EM28" s="68">
        <f>IF($U28=0,0,IF($F28=4,0,IF($F28=3,0,IF(OR(98&gt;$R28,EL28&lt;=$I28),EL28,EL28-MIN(INT(ROUND(IF($F28=1,$C28*$J28,IF(IK28&gt;0,IK28*$K28,EL28*$J28))*IF(98=$R28,$S28,12)/12,6)+$B$4),EL28-$I28)))))</f>
        <v/>
      </c>
      <c r="EN28" s="68">
        <f>IF($U28=0,0,IF($F28=4,0,IF($F28=3,0,IF(OR(99&gt;$R28,EM28&lt;=$I28),EM28,EM28-MIN(INT(ROUND(IF($F28=1,$C28*$J28,IF(IL28&gt;0,IL28*$K28,EM28*$J28))*IF(99=$R28,$S28,12)/12,6)+$B$4),EM28-$I28)))))</f>
        <v/>
      </c>
      <c r="EO28" s="68">
        <f>IF($U28=0,0,IF($F28=4,0,IF($F28=3,0,IF(OR(100&gt;$R28,EN28&lt;=$I28),EN28,EN28-MIN(INT(ROUND(IF($F28=1,$C28*$J28,IF(IM28&gt;0,IM28*$K28,EN28*$J28))*IF(100=$R28,$S28,12)/12,6)+$B$4),EN28-$I28)))))</f>
        <v/>
      </c>
      <c r="EP28" s="68">
        <f>IF($U28=0,0,IF($F28=4,0,IF($F28=3,0,IF(OR(101&gt;$R28,EO28&lt;=$I28),EO28,EO28-MIN(INT(ROUND(IF($F28=1,$C28*$J28,IF(IN28&gt;0,IN28*$K28,EO28*$J28))*IF(101=$R28,$S28,12)/12,6)+$B$4),EO28-$I28)))))</f>
        <v/>
      </c>
      <c r="EQ28" s="68" t="n"/>
      <c r="ER28" s="68">
        <f>IF(OR($U28=0,$F28&lt;&gt;2),0,IF(ROUND(AS28*$J28,6)&lt;ROUND($M28,6),AS28,0))</f>
        <v/>
      </c>
      <c r="ES28" s="68">
        <f>IF(OR($U28=0,$F28&lt;&gt;2),0,IF(ER28&gt;0,ER28,IF(ROUND(AT28*$J28,6)&lt;ROUND($M28,6),AT28,0)))</f>
        <v/>
      </c>
      <c r="ET28" s="68">
        <f>IF(OR($U28=0,$F28&lt;&gt;2),0,IF(ES28&gt;0,ES28,IF(ROUND(AU28*$J28,6)&lt;ROUND($M28,6),AU28,0)))</f>
        <v/>
      </c>
      <c r="EU28" s="68">
        <f>IF(OR($U28=0,$F28&lt;&gt;2),0,IF(ET28&gt;0,ET28,IF(ROUND(AV28*$J28,6)&lt;ROUND($M28,6),AV28,0)))</f>
        <v/>
      </c>
      <c r="EV28" s="68">
        <f>IF(OR($U28=0,$F28&lt;&gt;2),0,IF(EU28&gt;0,EU28,IF(ROUND(AW28*$J28,6)&lt;ROUND($M28,6),AW28,0)))</f>
        <v/>
      </c>
      <c r="EW28" s="68">
        <f>IF(OR($U28=0,$F28&lt;&gt;2),0,IF(EV28&gt;0,EV28,IF(ROUND(AX28*$J28,6)&lt;ROUND($M28,6),AX28,0)))</f>
        <v/>
      </c>
      <c r="EX28" s="68">
        <f>IF(OR($U28=0,$F28&lt;&gt;2),0,IF(EW28&gt;0,EW28,IF(ROUND(AY28*$J28,6)&lt;ROUND($M28,6),AY28,0)))</f>
        <v/>
      </c>
      <c r="EY28" s="68">
        <f>IF(OR($U28=0,$F28&lt;&gt;2),0,IF(EX28&gt;0,EX28,IF(ROUND(AZ28*$J28,6)&lt;ROUND($M28,6),AZ28,0)))</f>
        <v/>
      </c>
      <c r="EZ28" s="68">
        <f>IF(OR($U28=0,$F28&lt;&gt;2),0,IF(EY28&gt;0,EY28,IF(ROUND(BA28*$J28,6)&lt;ROUND($M28,6),BA28,0)))</f>
        <v/>
      </c>
      <c r="FA28" s="68">
        <f>IF(OR($U28=0,$F28&lt;&gt;2),0,IF(EZ28&gt;0,EZ28,IF(ROUND(BB28*$J28,6)&lt;ROUND($M28,6),BB28,0)))</f>
        <v/>
      </c>
      <c r="FB28" s="68">
        <f>IF(OR($U28=0,$F28&lt;&gt;2),0,IF(FA28&gt;0,FA28,IF(ROUND(BC28*$J28,6)&lt;ROUND($M28,6),BC28,0)))</f>
        <v/>
      </c>
      <c r="FC28" s="68">
        <f>IF(OR($U28=0,$F28&lt;&gt;2),0,IF(FB28&gt;0,FB28,IF(ROUND(BD28*$J28,6)&lt;ROUND($M28,6),BD28,0)))</f>
        <v/>
      </c>
      <c r="FD28" s="68">
        <f>IF(OR($U28=0,$F28&lt;&gt;2),0,IF(FC28&gt;0,FC28,IF(ROUND(BE28*$J28,6)&lt;ROUND($M28,6),BE28,0)))</f>
        <v/>
      </c>
      <c r="FE28" s="68">
        <f>IF(OR($U28=0,$F28&lt;&gt;2),0,IF(FD28&gt;0,FD28,IF(ROUND(BF28*$J28,6)&lt;ROUND($M28,6),BF28,0)))</f>
        <v/>
      </c>
      <c r="FF28" s="68">
        <f>IF(OR($U28=0,$F28&lt;&gt;2),0,IF(FE28&gt;0,FE28,IF(ROUND(BG28*$J28,6)&lt;ROUND($M28,6),BG28,0)))</f>
        <v/>
      </c>
      <c r="FG28" s="68">
        <f>IF(OR($U28=0,$F28&lt;&gt;2),0,IF(FF28&gt;0,FF28,IF(ROUND(BH28*$J28,6)&lt;ROUND($M28,6),BH28,0)))</f>
        <v/>
      </c>
      <c r="FH28" s="68">
        <f>IF(OR($U28=0,$F28&lt;&gt;2),0,IF(FG28&gt;0,FG28,IF(ROUND(BI28*$J28,6)&lt;ROUND($M28,6),BI28,0)))</f>
        <v/>
      </c>
      <c r="FI28" s="68">
        <f>IF(OR($U28=0,$F28&lt;&gt;2),0,IF(FH28&gt;0,FH28,IF(ROUND(BJ28*$J28,6)&lt;ROUND($M28,6),BJ28,0)))</f>
        <v/>
      </c>
      <c r="FJ28" s="68">
        <f>IF(OR($U28=0,$F28&lt;&gt;2),0,IF(FI28&gt;0,FI28,IF(ROUND(BK28*$J28,6)&lt;ROUND($M28,6),BK28,0)))</f>
        <v/>
      </c>
      <c r="FK28" s="68">
        <f>IF(OR($U28=0,$F28&lt;&gt;2),0,IF(FJ28&gt;0,FJ28,IF(ROUND(BL28*$J28,6)&lt;ROUND($M28,6),BL28,0)))</f>
        <v/>
      </c>
      <c r="FL28" s="68">
        <f>IF(OR($U28=0,$F28&lt;&gt;2),0,IF(FK28&gt;0,FK28,IF(ROUND(BM28*$J28,6)&lt;ROUND($M28,6),BM28,0)))</f>
        <v/>
      </c>
      <c r="FM28" s="68">
        <f>IF(OR($U28=0,$F28&lt;&gt;2),0,IF(FL28&gt;0,FL28,IF(ROUND(BN28*$J28,6)&lt;ROUND($M28,6),BN28,0)))</f>
        <v/>
      </c>
      <c r="FN28" s="68">
        <f>IF(OR($U28=0,$F28&lt;&gt;2),0,IF(FM28&gt;0,FM28,IF(ROUND(BO28*$J28,6)&lt;ROUND($M28,6),BO28,0)))</f>
        <v/>
      </c>
      <c r="FO28" s="68">
        <f>IF(OR($U28=0,$F28&lt;&gt;2),0,IF(FN28&gt;0,FN28,IF(ROUND(BP28*$J28,6)&lt;ROUND($M28,6),BP28,0)))</f>
        <v/>
      </c>
      <c r="FP28" s="68">
        <f>IF(OR($U28=0,$F28&lt;&gt;2),0,IF(FO28&gt;0,FO28,IF(ROUND(BQ28*$J28,6)&lt;ROUND($M28,6),BQ28,0)))</f>
        <v/>
      </c>
      <c r="FQ28" s="68">
        <f>IF(OR($U28=0,$F28&lt;&gt;2),0,IF(FP28&gt;0,FP28,IF(ROUND(BR28*$J28,6)&lt;ROUND($M28,6),BR28,0)))</f>
        <v/>
      </c>
      <c r="FR28" s="68">
        <f>IF(OR($U28=0,$F28&lt;&gt;2),0,IF(FQ28&gt;0,FQ28,IF(ROUND(BS28*$J28,6)&lt;ROUND($M28,6),BS28,0)))</f>
        <v/>
      </c>
      <c r="FS28" s="68">
        <f>IF(OR($U28=0,$F28&lt;&gt;2),0,IF(FR28&gt;0,FR28,IF(ROUND(BT28*$J28,6)&lt;ROUND($M28,6),BT28,0)))</f>
        <v/>
      </c>
      <c r="FT28" s="68">
        <f>IF(OR($U28=0,$F28&lt;&gt;2),0,IF(FS28&gt;0,FS28,IF(ROUND(BU28*$J28,6)&lt;ROUND($M28,6),BU28,0)))</f>
        <v/>
      </c>
      <c r="FU28" s="68">
        <f>IF(OR($U28=0,$F28&lt;&gt;2),0,IF(FT28&gt;0,FT28,IF(ROUND(BV28*$J28,6)&lt;ROUND($M28,6),BV28,0)))</f>
        <v/>
      </c>
      <c r="FV28" s="68">
        <f>IF(OR($U28=0,$F28&lt;&gt;2),0,IF(FU28&gt;0,FU28,IF(ROUND(BW28*$J28,6)&lt;ROUND($M28,6),BW28,0)))</f>
        <v/>
      </c>
      <c r="FW28" s="68">
        <f>IF(OR($U28=0,$F28&lt;&gt;2),0,IF(FV28&gt;0,FV28,IF(ROUND(BX28*$J28,6)&lt;ROUND($M28,6),BX28,0)))</f>
        <v/>
      </c>
      <c r="FX28" s="68">
        <f>IF(OR($U28=0,$F28&lt;&gt;2),0,IF(FW28&gt;0,FW28,IF(ROUND(BY28*$J28,6)&lt;ROUND($M28,6),BY28,0)))</f>
        <v/>
      </c>
      <c r="FY28" s="68">
        <f>IF(OR($U28=0,$F28&lt;&gt;2),0,IF(FX28&gt;0,FX28,IF(ROUND(BZ28*$J28,6)&lt;ROUND($M28,6),BZ28,0)))</f>
        <v/>
      </c>
      <c r="FZ28" s="68">
        <f>IF(OR($U28=0,$F28&lt;&gt;2),0,IF(FY28&gt;0,FY28,IF(ROUND(CA28*$J28,6)&lt;ROUND($M28,6),CA28,0)))</f>
        <v/>
      </c>
      <c r="GA28" s="68">
        <f>IF(OR($U28=0,$F28&lt;&gt;2),0,IF(FZ28&gt;0,FZ28,IF(ROUND(CB28*$J28,6)&lt;ROUND($M28,6),CB28,0)))</f>
        <v/>
      </c>
      <c r="GB28" s="68">
        <f>IF(OR($U28=0,$F28&lt;&gt;2),0,IF(GA28&gt;0,GA28,IF(ROUND(CC28*$J28,6)&lt;ROUND($M28,6),CC28,0)))</f>
        <v/>
      </c>
      <c r="GC28" s="68">
        <f>IF(OR($U28=0,$F28&lt;&gt;2),0,IF(GB28&gt;0,GB28,IF(ROUND(CD28*$J28,6)&lt;ROUND($M28,6),CD28,0)))</f>
        <v/>
      </c>
      <c r="GD28" s="68">
        <f>IF(OR($U28=0,$F28&lt;&gt;2),0,IF(GC28&gt;0,GC28,IF(ROUND(CE28*$J28,6)&lt;ROUND($M28,6),CE28,0)))</f>
        <v/>
      </c>
      <c r="GE28" s="68">
        <f>IF(OR($U28=0,$F28&lt;&gt;2),0,IF(GD28&gt;0,GD28,IF(ROUND(CF28*$J28,6)&lt;ROUND($M28,6),CF28,0)))</f>
        <v/>
      </c>
      <c r="GF28" s="68">
        <f>IF(OR($U28=0,$F28&lt;&gt;2),0,IF(GE28&gt;0,GE28,IF(ROUND(CG28*$J28,6)&lt;ROUND($M28,6),CG28,0)))</f>
        <v/>
      </c>
      <c r="GG28" s="68">
        <f>IF(OR($U28=0,$F28&lt;&gt;2),0,IF(GF28&gt;0,GF28,IF(ROUND(CH28*$J28,6)&lt;ROUND($M28,6),CH28,0)))</f>
        <v/>
      </c>
      <c r="GH28" s="68">
        <f>IF(OR($U28=0,$F28&lt;&gt;2),0,IF(GG28&gt;0,GG28,IF(ROUND(CI28*$J28,6)&lt;ROUND($M28,6),CI28,0)))</f>
        <v/>
      </c>
      <c r="GI28" s="68">
        <f>IF(OR($U28=0,$F28&lt;&gt;2),0,IF(GH28&gt;0,GH28,IF(ROUND(CJ28*$J28,6)&lt;ROUND($M28,6),CJ28,0)))</f>
        <v/>
      </c>
      <c r="GJ28" s="68">
        <f>IF(OR($U28=0,$F28&lt;&gt;2),0,IF(GI28&gt;0,GI28,IF(ROUND(CK28*$J28,6)&lt;ROUND($M28,6),CK28,0)))</f>
        <v/>
      </c>
      <c r="GK28" s="68">
        <f>IF(OR($U28=0,$F28&lt;&gt;2),0,IF(GJ28&gt;0,GJ28,IF(ROUND(CL28*$J28,6)&lt;ROUND($M28,6),CL28,0)))</f>
        <v/>
      </c>
      <c r="GL28" s="68">
        <f>IF(OR($U28=0,$F28&lt;&gt;2),0,IF(GK28&gt;0,GK28,IF(ROUND(CM28*$J28,6)&lt;ROUND($M28,6),CM28,0)))</f>
        <v/>
      </c>
      <c r="GM28" s="68">
        <f>IF(OR($U28=0,$F28&lt;&gt;2),0,IF(GL28&gt;0,GL28,IF(ROUND(CN28*$J28,6)&lt;ROUND($M28,6),CN28,0)))</f>
        <v/>
      </c>
      <c r="GN28" s="68">
        <f>IF(OR($U28=0,$F28&lt;&gt;2),0,IF(GM28&gt;0,GM28,IF(ROUND(CO28*$J28,6)&lt;ROUND($M28,6),CO28,0)))</f>
        <v/>
      </c>
      <c r="GO28" s="68">
        <f>IF(OR($U28=0,$F28&lt;&gt;2),0,IF(GN28&gt;0,GN28,IF(ROUND(CP28*$J28,6)&lt;ROUND($M28,6),CP28,0)))</f>
        <v/>
      </c>
      <c r="GP28" s="68">
        <f>IF(OR($U28=0,$F28&lt;&gt;2),0,IF(GO28&gt;0,GO28,IF(ROUND(CQ28*$J28,6)&lt;ROUND($M28,6),CQ28,0)))</f>
        <v/>
      </c>
      <c r="GQ28" s="68">
        <f>IF(OR($U28=0,$F28&lt;&gt;2),0,IF(GP28&gt;0,GP28,IF(ROUND(CR28*$J28,6)&lt;ROUND($M28,6),CR28,0)))</f>
        <v/>
      </c>
      <c r="GR28" s="68">
        <f>IF(OR($U28=0,$F28&lt;&gt;2),0,IF(GQ28&gt;0,GQ28,IF(ROUND(CS28*$J28,6)&lt;ROUND($M28,6),CS28,0)))</f>
        <v/>
      </c>
      <c r="GS28" s="68">
        <f>IF(OR($U28=0,$F28&lt;&gt;2),0,IF(GR28&gt;0,GR28,IF(ROUND(CT28*$J28,6)&lt;ROUND($M28,6),CT28,0)))</f>
        <v/>
      </c>
      <c r="GT28" s="68">
        <f>IF(OR($U28=0,$F28&lt;&gt;2),0,IF(GS28&gt;0,GS28,IF(ROUND(CU28*$J28,6)&lt;ROUND($M28,6),CU28,0)))</f>
        <v/>
      </c>
      <c r="GU28" s="68">
        <f>IF(OR($U28=0,$F28&lt;&gt;2),0,IF(GT28&gt;0,GT28,IF(ROUND(CV28*$J28,6)&lt;ROUND($M28,6),CV28,0)))</f>
        <v/>
      </c>
      <c r="GV28" s="68">
        <f>IF(OR($U28=0,$F28&lt;&gt;2),0,IF(GU28&gt;0,GU28,IF(ROUND(CW28*$J28,6)&lt;ROUND($M28,6),CW28,0)))</f>
        <v/>
      </c>
      <c r="GW28" s="68">
        <f>IF(OR($U28=0,$F28&lt;&gt;2),0,IF(GV28&gt;0,GV28,IF(ROUND(CX28*$J28,6)&lt;ROUND($M28,6),CX28,0)))</f>
        <v/>
      </c>
      <c r="GX28" s="68">
        <f>IF(OR($U28=0,$F28&lt;&gt;2),0,IF(GW28&gt;0,GW28,IF(ROUND(CY28*$J28,6)&lt;ROUND($M28,6),CY28,0)))</f>
        <v/>
      </c>
      <c r="GY28" s="68">
        <f>IF(OR($U28=0,$F28&lt;&gt;2),0,IF(GX28&gt;0,GX28,IF(ROUND(CZ28*$J28,6)&lt;ROUND($M28,6),CZ28,0)))</f>
        <v/>
      </c>
      <c r="GZ28" s="68">
        <f>IF(OR($U28=0,$F28&lt;&gt;2),0,IF(GY28&gt;0,GY28,IF(ROUND(DA28*$J28,6)&lt;ROUND($M28,6),DA28,0)))</f>
        <v/>
      </c>
      <c r="HA28" s="68">
        <f>IF(OR($U28=0,$F28&lt;&gt;2),0,IF(GZ28&gt;0,GZ28,IF(ROUND(DB28*$J28,6)&lt;ROUND($M28,6),DB28,0)))</f>
        <v/>
      </c>
      <c r="HB28" s="68">
        <f>IF(OR($U28=0,$F28&lt;&gt;2),0,IF(HA28&gt;0,HA28,IF(ROUND(DC28*$J28,6)&lt;ROUND($M28,6),DC28,0)))</f>
        <v/>
      </c>
      <c r="HC28" s="68">
        <f>IF(OR($U28=0,$F28&lt;&gt;2),0,IF(HB28&gt;0,HB28,IF(ROUND(DD28*$J28,6)&lt;ROUND($M28,6),DD28,0)))</f>
        <v/>
      </c>
      <c r="HD28" s="68">
        <f>IF(OR($U28=0,$F28&lt;&gt;2),0,IF(HC28&gt;0,HC28,IF(ROUND(DE28*$J28,6)&lt;ROUND($M28,6),DE28,0)))</f>
        <v/>
      </c>
      <c r="HE28" s="68">
        <f>IF(OR($U28=0,$F28&lt;&gt;2),0,IF(HD28&gt;0,HD28,IF(ROUND(DF28*$J28,6)&lt;ROUND($M28,6),DF28,0)))</f>
        <v/>
      </c>
      <c r="HF28" s="68">
        <f>IF(OR($U28=0,$F28&lt;&gt;2),0,IF(HE28&gt;0,HE28,IF(ROUND(DG28*$J28,6)&lt;ROUND($M28,6),DG28,0)))</f>
        <v/>
      </c>
      <c r="HG28" s="68">
        <f>IF(OR($U28=0,$F28&lt;&gt;2),0,IF(HF28&gt;0,HF28,IF(ROUND(DH28*$J28,6)&lt;ROUND($M28,6),DH28,0)))</f>
        <v/>
      </c>
      <c r="HH28" s="68">
        <f>IF(OR($U28=0,$F28&lt;&gt;2),0,IF(HG28&gt;0,HG28,IF(ROUND(DI28*$J28,6)&lt;ROUND($M28,6),DI28,0)))</f>
        <v/>
      </c>
      <c r="HI28" s="68">
        <f>IF(OR($U28=0,$F28&lt;&gt;2),0,IF(HH28&gt;0,HH28,IF(ROUND(DJ28*$J28,6)&lt;ROUND($M28,6),DJ28,0)))</f>
        <v/>
      </c>
      <c r="HJ28" s="68">
        <f>IF(OR($U28=0,$F28&lt;&gt;2),0,IF(HI28&gt;0,HI28,IF(ROUND(DK28*$J28,6)&lt;ROUND($M28,6),DK28,0)))</f>
        <v/>
      </c>
      <c r="HK28" s="68">
        <f>IF(OR($U28=0,$F28&lt;&gt;2),0,IF(HJ28&gt;0,HJ28,IF(ROUND(DL28*$J28,6)&lt;ROUND($M28,6),DL28,0)))</f>
        <v/>
      </c>
      <c r="HL28" s="68">
        <f>IF(OR($U28=0,$F28&lt;&gt;2),0,IF(HK28&gt;0,HK28,IF(ROUND(DM28*$J28,6)&lt;ROUND($M28,6),DM28,0)))</f>
        <v/>
      </c>
      <c r="HM28" s="68">
        <f>IF(OR($U28=0,$F28&lt;&gt;2),0,IF(HL28&gt;0,HL28,IF(ROUND(DN28*$J28,6)&lt;ROUND($M28,6),DN28,0)))</f>
        <v/>
      </c>
      <c r="HN28" s="68">
        <f>IF(OR($U28=0,$F28&lt;&gt;2),0,IF(HM28&gt;0,HM28,IF(ROUND(DO28*$J28,6)&lt;ROUND($M28,6),DO28,0)))</f>
        <v/>
      </c>
      <c r="HO28" s="68">
        <f>IF(OR($U28=0,$F28&lt;&gt;2),0,IF(HN28&gt;0,HN28,IF(ROUND(DP28*$J28,6)&lt;ROUND($M28,6),DP28,0)))</f>
        <v/>
      </c>
      <c r="HP28" s="68">
        <f>IF(OR($U28=0,$F28&lt;&gt;2),0,IF(HO28&gt;0,HO28,IF(ROUND(DQ28*$J28,6)&lt;ROUND($M28,6),DQ28,0)))</f>
        <v/>
      </c>
      <c r="HQ28" s="68">
        <f>IF(OR($U28=0,$F28&lt;&gt;2),0,IF(HP28&gt;0,HP28,IF(ROUND(DR28*$J28,6)&lt;ROUND($M28,6),DR28,0)))</f>
        <v/>
      </c>
      <c r="HR28" s="68">
        <f>IF(OR($U28=0,$F28&lt;&gt;2),0,IF(HQ28&gt;0,HQ28,IF(ROUND(DS28*$J28,6)&lt;ROUND($M28,6),DS28,0)))</f>
        <v/>
      </c>
      <c r="HS28" s="68">
        <f>IF(OR($U28=0,$F28&lt;&gt;2),0,IF(HR28&gt;0,HR28,IF(ROUND(DT28*$J28,6)&lt;ROUND($M28,6),DT28,0)))</f>
        <v/>
      </c>
      <c r="HT28" s="68">
        <f>IF(OR($U28=0,$F28&lt;&gt;2),0,IF(HS28&gt;0,HS28,IF(ROUND(DU28*$J28,6)&lt;ROUND($M28,6),DU28,0)))</f>
        <v/>
      </c>
      <c r="HU28" s="68">
        <f>IF(OR($U28=0,$F28&lt;&gt;2),0,IF(HT28&gt;0,HT28,IF(ROUND(DV28*$J28,6)&lt;ROUND($M28,6),DV28,0)))</f>
        <v/>
      </c>
      <c r="HV28" s="68">
        <f>IF(OR($U28=0,$F28&lt;&gt;2),0,IF(HU28&gt;0,HU28,IF(ROUND(DW28*$J28,6)&lt;ROUND($M28,6),DW28,0)))</f>
        <v/>
      </c>
      <c r="HW28" s="68">
        <f>IF(OR($U28=0,$F28&lt;&gt;2),0,IF(HV28&gt;0,HV28,IF(ROUND(DX28*$J28,6)&lt;ROUND($M28,6),DX28,0)))</f>
        <v/>
      </c>
      <c r="HX28" s="68">
        <f>IF(OR($U28=0,$F28&lt;&gt;2),0,IF(HW28&gt;0,HW28,IF(ROUND(DY28*$J28,6)&lt;ROUND($M28,6),DY28,0)))</f>
        <v/>
      </c>
      <c r="HY28" s="68">
        <f>IF(OR($U28=0,$F28&lt;&gt;2),0,IF(HX28&gt;0,HX28,IF(ROUND(DZ28*$J28,6)&lt;ROUND($M28,6),DZ28,0)))</f>
        <v/>
      </c>
      <c r="HZ28" s="68">
        <f>IF(OR($U28=0,$F28&lt;&gt;2),0,IF(HY28&gt;0,HY28,IF(ROUND(EA28*$J28,6)&lt;ROUND($M28,6),EA28,0)))</f>
        <v/>
      </c>
      <c r="IA28" s="68">
        <f>IF(OR($U28=0,$F28&lt;&gt;2),0,IF(HZ28&gt;0,HZ28,IF(ROUND(EB28*$J28,6)&lt;ROUND($M28,6),EB28,0)))</f>
        <v/>
      </c>
      <c r="IB28" s="68">
        <f>IF(OR($U28=0,$F28&lt;&gt;2),0,IF(IA28&gt;0,IA28,IF(ROUND(EC28*$J28,6)&lt;ROUND($M28,6),EC28,0)))</f>
        <v/>
      </c>
      <c r="IC28" s="68">
        <f>IF(OR($U28=0,$F28&lt;&gt;2),0,IF(IB28&gt;0,IB28,IF(ROUND(ED28*$J28,6)&lt;ROUND($M28,6),ED28,0)))</f>
        <v/>
      </c>
      <c r="ID28" s="68">
        <f>IF(OR($U28=0,$F28&lt;&gt;2),0,IF(IC28&gt;0,IC28,IF(ROUND(EE28*$J28,6)&lt;ROUND($M28,6),EE28,0)))</f>
        <v/>
      </c>
      <c r="IE28" s="68">
        <f>IF(OR($U28=0,$F28&lt;&gt;2),0,IF(ID28&gt;0,ID28,IF(ROUND(EF28*$J28,6)&lt;ROUND($M28,6),EF28,0)))</f>
        <v/>
      </c>
      <c r="IF28" s="68">
        <f>IF(OR($U28=0,$F28&lt;&gt;2),0,IF(IE28&gt;0,IE28,IF(ROUND(EG28*$J28,6)&lt;ROUND($M28,6),EG28,0)))</f>
        <v/>
      </c>
      <c r="IG28" s="68">
        <f>IF(OR($U28=0,$F28&lt;&gt;2),0,IF(IF28&gt;0,IF28,IF(ROUND(EH28*$J28,6)&lt;ROUND($M28,6),EH28,0)))</f>
        <v/>
      </c>
      <c r="IH28" s="68">
        <f>IF(OR($U28=0,$F28&lt;&gt;2),0,IF(IG28&gt;0,IG28,IF(ROUND(EI28*$J28,6)&lt;ROUND($M28,6),EI28,0)))</f>
        <v/>
      </c>
      <c r="II28" s="68">
        <f>IF(OR($U28=0,$F28&lt;&gt;2),0,IF(IH28&gt;0,IH28,IF(ROUND(EJ28*$J28,6)&lt;ROUND($M28,6),EJ28,0)))</f>
        <v/>
      </c>
      <c r="IJ28" s="68">
        <f>IF(OR($U28=0,$F28&lt;&gt;2),0,IF(II28&gt;0,II28,IF(ROUND(EK28*$J28,6)&lt;ROUND($M28,6),EK28,0)))</f>
        <v/>
      </c>
      <c r="IK28" s="68">
        <f>IF(OR($U28=0,$F28&lt;&gt;2),0,IF(IJ28&gt;0,IJ28,IF(ROUND(EL28*$J28,6)&lt;ROUND($M28,6),EL28,0)))</f>
        <v/>
      </c>
      <c r="IL28" s="68">
        <f>IF(OR($U28=0,$F28&lt;&gt;2),0,IF(IK28&gt;0,IK28,IF(ROUND(EM28*$J28,6)&lt;ROUND($M28,6),EM28,0)))</f>
        <v/>
      </c>
      <c r="IM28" s="68">
        <f>IF(OR($U28=0,$F28&lt;&gt;2),0,IF(IL28&gt;0,IL28,IF(ROUND(EN28*$J28,6)&lt;ROUND($M28,6),EN28,0)))</f>
        <v/>
      </c>
      <c r="IN28" s="68">
        <f>IF(OR($U28=0,$F28&lt;&gt;2),0,IF(IM28&gt;0,IM28,IF(ROUND(EO28*$J28,6)&lt;ROUND($M28,6),EO28,0)))</f>
        <v/>
      </c>
    </row>
    <row r="29">
      <c r="A29" s="68" t="n">
        <v>24</v>
      </c>
      <c r="B29" s="68">
        <f>IF(OR(TRIM('固定資産台帳'!$B29)&lt;&gt;"",'固定資産台帳'!$E29&lt;&gt;"",'固定資産台帳'!$G29&lt;&gt;"",'固定資産台帳'!$H29&lt;&gt;""),1,0)</f>
        <v/>
      </c>
      <c r="C29" s="68">
        <f>IF(ISNUMBER('固定資産台帳'!$G29),MAX(ROUND('固定資産台帳'!$G29,0),0),0)</f>
        <v/>
      </c>
      <c r="D29" s="84">
        <f>IF(ISNUMBER('固定資産台帳'!$E29),INT('固定資産台帳'!$E29),0)</f>
        <v/>
      </c>
      <c r="E29" s="84">
        <f>IF(ISNUMBER('固定資産台帳'!$F29),INT('固定資産台帳'!$F29),$D29)</f>
        <v/>
      </c>
      <c r="F29" s="68">
        <f>IF('固定資産台帳'!$H29="定額法",1,IF(OR('固定資産台帳'!$H29="定率法",'固定資産台帳'!$H29="定率法（200%）",'固定資産台帳'!$H29="定率法（250%）"),2,IF('固定資産台帳'!$H29="一括償却（3年）",3,IF('固定資産台帳'!$H29="少額特例",4,0))))</f>
        <v/>
      </c>
      <c r="G29" s="68">
        <f>IF('固定資産台帳'!$H29="定率法（250%）",250,IF('固定資産台帳'!$H29="定率法（200%）",200,IF($D29&gt;=DATE(2012,4,1),200,250)))</f>
        <v/>
      </c>
      <c r="H29" s="68">
        <f>IF(ISNUMBER('固定資産台帳'!$I29),IF(AND('固定資産台帳'!$I29&gt;=2,'固定資産台帳'!$I29&lt;=100,'固定資産台帳'!$I29=INT('固定資産台帳'!$I29)),'固定資産台帳'!$I29,0),0)</f>
        <v/>
      </c>
      <c r="I29" s="68">
        <f>IF('固定資産台帳'!$C29="無形固定資産",0,1)</f>
        <v/>
      </c>
      <c r="J29" s="68">
        <f>IF(OR($H29=0,$F29=0,$F29&gt;2),0,IF($F29=1,INDEX('償却率表'!$B$6:$B$104,$H29-1),IF($G29=200,INDEX('償却率表'!$C$6:$C$104,$H29-1),INDEX('償却率表'!$F$6:$F$104,$H29-1))))</f>
        <v/>
      </c>
      <c r="K29" s="68">
        <f>IF(AND($F29=2,$H29&gt;0),IF($G29=200,INDEX('償却率表'!$D$6:$D$104,$H29-1),INDEX('償却率表'!$G$6:$G$104,$H29-1)),0)</f>
        <v/>
      </c>
      <c r="L29" s="68">
        <f>IF(AND($F29=2,$H29&gt;0),IF($G29=200,INDEX('償却率表'!$E$6:$E$104,$H29-1),INDEX('償却率表'!$H$6:$H$104,$H29-1)),0)</f>
        <v/>
      </c>
      <c r="M29" s="68">
        <f>$C29*$L29</f>
        <v/>
      </c>
      <c r="N29" s="68">
        <f>IF($B$1=1,1,IF('固定資産台帳'!$J29="",1,IF(ISNUMBER('固定資産台帳'!$J29),IF(AND('固定資産台帳'!$J29&gt;0,'固定資産台帳'!$J29&lt;=1),'固定資産台帳'!$J29,0),0)))</f>
        <v/>
      </c>
      <c r="O29" s="68">
        <f>IF($E29=0,0,YEAR($E29)-IF(MONTH($E29)&lt;$B$2,1,0))</f>
        <v/>
      </c>
      <c r="P29" s="68">
        <f>IF($E29=0,0,12-MOD(MONTH($E29)-$B$2,12))</f>
        <v/>
      </c>
      <c r="Q29" s="84">
        <f>IF(ISNUMBER('固定資産台帳'!$K29),INT('固定資産台帳'!$K29),0)</f>
        <v/>
      </c>
      <c r="R29" s="68">
        <f>IF(OR($Q29=0,$E29=0),999,YEAR($Q29)-IF(MONTH($Q29)&lt;$B$2,1,0)-$O29)</f>
        <v/>
      </c>
      <c r="S29" s="68">
        <f>IF($R29=999,0,MOD(MONTH($Q29)-$B$2,12)+1-IF($R29=0,12-$P29,0))</f>
        <v/>
      </c>
      <c r="T29" s="68">
        <f>IF($B29=0,0,IF($C29&lt;=0,1,IF($D29=0,2,IF($F29=0,3,IF(AND($F29&lt;=2,$H29=0),4,IF(AND($F29&lt;=2,$D29&lt;DATE(2007,4,1)),5,IF($E29&lt;$D29,6,IF(AND($Q29&gt;0,$Q29&lt;$E29),7,IF($N29=0,8,IF($B$3=0,9,0))))))))))</f>
        <v/>
      </c>
      <c r="U29" s="68">
        <f>IF(AND($B29=1,$T29=0),1,0)</f>
        <v/>
      </c>
      <c r="V29" s="68">
        <f>$B$3-$O29</f>
        <v/>
      </c>
      <c r="W29" s="68">
        <f>IF(AND($U29=1,$V29&gt;=0),1,0)</f>
        <v/>
      </c>
      <c r="X29" s="68">
        <f>IF($W29=0,0,IF($V29=0,$C29,INDEX($AS29:$EP29,MIN($V29,102))))</f>
        <v/>
      </c>
      <c r="Y29" s="68">
        <f>IF($W29=0,0,INDEX($AS29:$EP29,MIN($V29,101)+1))</f>
        <v/>
      </c>
      <c r="Z29" s="68">
        <f>$X29-$Y29</f>
        <v/>
      </c>
      <c r="AA29" s="68">
        <f>IF(AND($W29=1,$F29=2,$V29&gt;=1),INDEX($ER29:$IN29,MIN($V29,101)),0)</f>
        <v/>
      </c>
      <c r="AB29" s="68">
        <f>IF(OR($W29=0,$F29&gt;2,$Z29=0),0,IF($V29=0,IF($R29=0,$S29,$P29),IF($V29=$R29,$S29,12)))</f>
        <v/>
      </c>
      <c r="AC29" s="68">
        <f>IF($W29=0,0,INT(ROUND($Z29*$N29,6)+$B$4))</f>
        <v/>
      </c>
      <c r="AD29" s="68">
        <f>IF(AND($W29=1,$F29&lt;=2,$V29=$R29),1,0)</f>
        <v/>
      </c>
      <c r="AE29" s="68">
        <f>IF(AND($W29=1,$F29&lt;=2,$V29&gt;$R29),1,0)</f>
        <v/>
      </c>
      <c r="AF29" s="68">
        <f>IF(AND($W29=1,$AE29=0,OR($Z29&gt;0,$AD29=1)),1,0)</f>
        <v/>
      </c>
      <c r="AG29" s="68">
        <f>IF($AF29=1,SUM($AF$6:$AF29),0)</f>
        <v/>
      </c>
      <c r="AH29" s="68">
        <f>IF($T29=0,"",CHOOSE($T29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29" s="68">
        <f>IF(AND($F29=2,OR('固定資産台帳'!$C29="建物",'固定資産台帳'!$C29="無形固定資産",AND(OR('固定資産台帳'!$C29="建物附属設備",'固定資産台帳'!$C29="構築物"),$D29&gt;=DATE(2016,4,1)))),"この資産は定額法だけです（定率法は使えません）。","")&amp;IF(AND($F29=3,$C29&gt;=200000),"一括償却は20万円未満の資産だけです。","")&amp;IF(AND($F29=3,$B$1=0,$C29&lt;100000),"10万円未満は一括償却にせず、全額をその年の経費にします。","")&amp;IF(AND($F29=4,$C29&lt;100000),"10万円未満は少額特例ではなく、全額をその年の経費にします。","")&amp;IF(AND($F29=4,$D29&lt;DATE(2026,4,1),$C29&gt;=300000),"2026年3月31日までの取得で少額特例が使えるのは30万円未満です。","")&amp;IF(AND($F29=4,$D29&gt;=DATE(2026,4,1),$C29&gt;=400000),"少額特例は40万円未満の資産だけです。","")&amp;IF(AND($F29=4,OR($D29&lt;DATE(2006,4,1),$D29&gt;DATE(2029,3,31))),"少額特例は2006年4月1日〜2029年3月31日に取得した資産だけです。","")&amp;IF(AND($F29=2,$G29=250,$D29&gt;DATE(2012,12,31)),"250%定率法は2012年12月31日までの取得だけです。","")</f>
        <v/>
      </c>
      <c r="AJ29" s="68">
        <f>IF(AND($F29=2,'固定資産台帳'!$H29="定率法（200%）",$D29&lt;DATE(2012,4,1)),"2012年3月31日までの取得に200%を使うのは、経過措置の届出をした場合です。","")&amp;IF(AND($F29=2,'固定資産台帳'!$H29="定率法（250%）",$D29&gt;=DATE(2012,4,1),$D29&lt;=DATE(2012,12,31)),"2012年4〜12月の取得に250%を使うのは、経過措置を選んだ場合です。","")</f>
        <v/>
      </c>
      <c r="AK29" s="68">
        <f>IF($U29=0,"",IF($V29&lt;0,"表示している年より後に使い始める資産です。",IF($AE29=1,"売却・除却済みです。",IF($AD29=1,"この年に売却・除却。期末の帳簿価額 "&amp;TEXT($Y29,"#,##0")&amp;"円を帳簿から外します。",IF($F29=4,IF($V29=0,"少額特例：この年に全額を経費にします。","少額特例で経費にした資産です。"),IF($F29=3,IF($V29&gt;2,"一括償却は終わっています。","一括償却 "&amp;($V29+1)&amp;"年目（3年のうち）。"),IF($Z29=0,"償却済み（帳簿価額 "&amp;TEXT($Y29,"#,##0")&amp;"円）。",IF($AA29&gt;0,"改定償却率で計算（改定取得価額 "&amp;TEXT($AA29,"#,##0")&amp;"円）。",IF($V29=0,"この年に使い始め（"&amp;$AB29&amp;"か月分）。","")))))))))</f>
        <v/>
      </c>
      <c r="AL29" s="68">
        <f>IF(AND($U29=1,$F29=4,$V29=0),$C29,0)</f>
        <v/>
      </c>
      <c r="AM29" s="68">
        <f>IF($F29=2,INT(ROUND($M29,6)+$B$4),0)</f>
        <v/>
      </c>
      <c r="AN29" s="68">
        <f>IF($W29=0,0,IF($F29=2,IF($AA29&gt;0,$AA29,$X29),$C29))</f>
        <v/>
      </c>
      <c r="AO29" s="68">
        <f>IF($W29=0,"",IF($F29=3,"1/3",IF($F29=4,"―",IF($AA29&gt;0,$K29,$J29))))</f>
        <v/>
      </c>
      <c r="AP29" s="68" t="n"/>
      <c r="AQ29" s="68" t="n"/>
      <c r="AR29" s="68" t="n"/>
      <c r="AS29" s="68">
        <f>IF($U29=0,0,IF($F29=4,0,IF($F29=3,MAX($C29-INT(ROUND($C29/3,6)+$B$4),0),$C29-MIN(INT(ROUND($C29*$J29*IF($R29=0,$S29,$P29)/12,6)+$B$4),MAX($C29-$I29,0)))))</f>
        <v/>
      </c>
      <c r="AT29" s="68">
        <f>IF($U29=0,0,IF($F29=4,0,IF($F29=3,AS29-MIN(INT(ROUND($C29/3,6)+$B$4),AS29),IF(OR(1&gt;$R29,AS29&lt;=$I29),AS29,AS29-MIN(INT(ROUND(IF($F29=1,$C29*$J29,IF(ER29&gt;0,ER29*$K29,AS29*$J29))*IF(1=$R29,$S29,12)/12,6)+$B$4),AS29-$I29)))))</f>
        <v/>
      </c>
      <c r="AU29" s="68">
        <f>IF($U29=0,0,IF($F29=4,0,IF($F29=3,0,IF(OR(2&gt;$R29,AT29&lt;=$I29),AT29,AT29-MIN(INT(ROUND(IF($F29=1,$C29*$J29,IF(ES29&gt;0,ES29*$K29,AT29*$J29))*IF(2=$R29,$S29,12)/12,6)+$B$4),AT29-$I29)))))</f>
        <v/>
      </c>
      <c r="AV29" s="68">
        <f>IF($U29=0,0,IF($F29=4,0,IF($F29=3,0,IF(OR(3&gt;$R29,AU29&lt;=$I29),AU29,AU29-MIN(INT(ROUND(IF($F29=1,$C29*$J29,IF(ET29&gt;0,ET29*$K29,AU29*$J29))*IF(3=$R29,$S29,12)/12,6)+$B$4),AU29-$I29)))))</f>
        <v/>
      </c>
      <c r="AW29" s="68">
        <f>IF($U29=0,0,IF($F29=4,0,IF($F29=3,0,IF(OR(4&gt;$R29,AV29&lt;=$I29),AV29,AV29-MIN(INT(ROUND(IF($F29=1,$C29*$J29,IF(EU29&gt;0,EU29*$K29,AV29*$J29))*IF(4=$R29,$S29,12)/12,6)+$B$4),AV29-$I29)))))</f>
        <v/>
      </c>
      <c r="AX29" s="68">
        <f>IF($U29=0,0,IF($F29=4,0,IF($F29=3,0,IF(OR(5&gt;$R29,AW29&lt;=$I29),AW29,AW29-MIN(INT(ROUND(IF($F29=1,$C29*$J29,IF(EV29&gt;0,EV29*$K29,AW29*$J29))*IF(5=$R29,$S29,12)/12,6)+$B$4),AW29-$I29)))))</f>
        <v/>
      </c>
      <c r="AY29" s="68">
        <f>IF($U29=0,0,IF($F29=4,0,IF($F29=3,0,IF(OR(6&gt;$R29,AX29&lt;=$I29),AX29,AX29-MIN(INT(ROUND(IF($F29=1,$C29*$J29,IF(EW29&gt;0,EW29*$K29,AX29*$J29))*IF(6=$R29,$S29,12)/12,6)+$B$4),AX29-$I29)))))</f>
        <v/>
      </c>
      <c r="AZ29" s="68">
        <f>IF($U29=0,0,IF($F29=4,0,IF($F29=3,0,IF(OR(7&gt;$R29,AY29&lt;=$I29),AY29,AY29-MIN(INT(ROUND(IF($F29=1,$C29*$J29,IF(EX29&gt;0,EX29*$K29,AY29*$J29))*IF(7=$R29,$S29,12)/12,6)+$B$4),AY29-$I29)))))</f>
        <v/>
      </c>
      <c r="BA29" s="68">
        <f>IF($U29=0,0,IF($F29=4,0,IF($F29=3,0,IF(OR(8&gt;$R29,AZ29&lt;=$I29),AZ29,AZ29-MIN(INT(ROUND(IF($F29=1,$C29*$J29,IF(EY29&gt;0,EY29*$K29,AZ29*$J29))*IF(8=$R29,$S29,12)/12,6)+$B$4),AZ29-$I29)))))</f>
        <v/>
      </c>
      <c r="BB29" s="68">
        <f>IF($U29=0,0,IF($F29=4,0,IF($F29=3,0,IF(OR(9&gt;$R29,BA29&lt;=$I29),BA29,BA29-MIN(INT(ROUND(IF($F29=1,$C29*$J29,IF(EZ29&gt;0,EZ29*$K29,BA29*$J29))*IF(9=$R29,$S29,12)/12,6)+$B$4),BA29-$I29)))))</f>
        <v/>
      </c>
      <c r="BC29" s="68">
        <f>IF($U29=0,0,IF($F29=4,0,IF($F29=3,0,IF(OR(10&gt;$R29,BB29&lt;=$I29),BB29,BB29-MIN(INT(ROUND(IF($F29=1,$C29*$J29,IF(FA29&gt;0,FA29*$K29,BB29*$J29))*IF(10=$R29,$S29,12)/12,6)+$B$4),BB29-$I29)))))</f>
        <v/>
      </c>
      <c r="BD29" s="68">
        <f>IF($U29=0,0,IF($F29=4,0,IF($F29=3,0,IF(OR(11&gt;$R29,BC29&lt;=$I29),BC29,BC29-MIN(INT(ROUND(IF($F29=1,$C29*$J29,IF(FB29&gt;0,FB29*$K29,BC29*$J29))*IF(11=$R29,$S29,12)/12,6)+$B$4),BC29-$I29)))))</f>
        <v/>
      </c>
      <c r="BE29" s="68">
        <f>IF($U29=0,0,IF($F29=4,0,IF($F29=3,0,IF(OR(12&gt;$R29,BD29&lt;=$I29),BD29,BD29-MIN(INT(ROUND(IF($F29=1,$C29*$J29,IF(FC29&gt;0,FC29*$K29,BD29*$J29))*IF(12=$R29,$S29,12)/12,6)+$B$4),BD29-$I29)))))</f>
        <v/>
      </c>
      <c r="BF29" s="68">
        <f>IF($U29=0,0,IF($F29=4,0,IF($F29=3,0,IF(OR(13&gt;$R29,BE29&lt;=$I29),BE29,BE29-MIN(INT(ROUND(IF($F29=1,$C29*$J29,IF(FD29&gt;0,FD29*$K29,BE29*$J29))*IF(13=$R29,$S29,12)/12,6)+$B$4),BE29-$I29)))))</f>
        <v/>
      </c>
      <c r="BG29" s="68">
        <f>IF($U29=0,0,IF($F29=4,0,IF($F29=3,0,IF(OR(14&gt;$R29,BF29&lt;=$I29),BF29,BF29-MIN(INT(ROUND(IF($F29=1,$C29*$J29,IF(FE29&gt;0,FE29*$K29,BF29*$J29))*IF(14=$R29,$S29,12)/12,6)+$B$4),BF29-$I29)))))</f>
        <v/>
      </c>
      <c r="BH29" s="68">
        <f>IF($U29=0,0,IF($F29=4,0,IF($F29=3,0,IF(OR(15&gt;$R29,BG29&lt;=$I29),BG29,BG29-MIN(INT(ROUND(IF($F29=1,$C29*$J29,IF(FF29&gt;0,FF29*$K29,BG29*$J29))*IF(15=$R29,$S29,12)/12,6)+$B$4),BG29-$I29)))))</f>
        <v/>
      </c>
      <c r="BI29" s="68">
        <f>IF($U29=0,0,IF($F29=4,0,IF($F29=3,0,IF(OR(16&gt;$R29,BH29&lt;=$I29),BH29,BH29-MIN(INT(ROUND(IF($F29=1,$C29*$J29,IF(FG29&gt;0,FG29*$K29,BH29*$J29))*IF(16=$R29,$S29,12)/12,6)+$B$4),BH29-$I29)))))</f>
        <v/>
      </c>
      <c r="BJ29" s="68">
        <f>IF($U29=0,0,IF($F29=4,0,IF($F29=3,0,IF(OR(17&gt;$R29,BI29&lt;=$I29),BI29,BI29-MIN(INT(ROUND(IF($F29=1,$C29*$J29,IF(FH29&gt;0,FH29*$K29,BI29*$J29))*IF(17=$R29,$S29,12)/12,6)+$B$4),BI29-$I29)))))</f>
        <v/>
      </c>
      <c r="BK29" s="68">
        <f>IF($U29=0,0,IF($F29=4,0,IF($F29=3,0,IF(OR(18&gt;$R29,BJ29&lt;=$I29),BJ29,BJ29-MIN(INT(ROUND(IF($F29=1,$C29*$J29,IF(FI29&gt;0,FI29*$K29,BJ29*$J29))*IF(18=$R29,$S29,12)/12,6)+$B$4),BJ29-$I29)))))</f>
        <v/>
      </c>
      <c r="BL29" s="68">
        <f>IF($U29=0,0,IF($F29=4,0,IF($F29=3,0,IF(OR(19&gt;$R29,BK29&lt;=$I29),BK29,BK29-MIN(INT(ROUND(IF($F29=1,$C29*$J29,IF(FJ29&gt;0,FJ29*$K29,BK29*$J29))*IF(19=$R29,$S29,12)/12,6)+$B$4),BK29-$I29)))))</f>
        <v/>
      </c>
      <c r="BM29" s="68">
        <f>IF($U29=0,0,IF($F29=4,0,IF($F29=3,0,IF(OR(20&gt;$R29,BL29&lt;=$I29),BL29,BL29-MIN(INT(ROUND(IF($F29=1,$C29*$J29,IF(FK29&gt;0,FK29*$K29,BL29*$J29))*IF(20=$R29,$S29,12)/12,6)+$B$4),BL29-$I29)))))</f>
        <v/>
      </c>
      <c r="BN29" s="68">
        <f>IF($U29=0,0,IF($F29=4,0,IF($F29=3,0,IF(OR(21&gt;$R29,BM29&lt;=$I29),BM29,BM29-MIN(INT(ROUND(IF($F29=1,$C29*$J29,IF(FL29&gt;0,FL29*$K29,BM29*$J29))*IF(21=$R29,$S29,12)/12,6)+$B$4),BM29-$I29)))))</f>
        <v/>
      </c>
      <c r="BO29" s="68">
        <f>IF($U29=0,0,IF($F29=4,0,IF($F29=3,0,IF(OR(22&gt;$R29,BN29&lt;=$I29),BN29,BN29-MIN(INT(ROUND(IF($F29=1,$C29*$J29,IF(FM29&gt;0,FM29*$K29,BN29*$J29))*IF(22=$R29,$S29,12)/12,6)+$B$4),BN29-$I29)))))</f>
        <v/>
      </c>
      <c r="BP29" s="68">
        <f>IF($U29=0,0,IF($F29=4,0,IF($F29=3,0,IF(OR(23&gt;$R29,BO29&lt;=$I29),BO29,BO29-MIN(INT(ROUND(IF($F29=1,$C29*$J29,IF(FN29&gt;0,FN29*$K29,BO29*$J29))*IF(23=$R29,$S29,12)/12,6)+$B$4),BO29-$I29)))))</f>
        <v/>
      </c>
      <c r="BQ29" s="68">
        <f>IF($U29=0,0,IF($F29=4,0,IF($F29=3,0,IF(OR(24&gt;$R29,BP29&lt;=$I29),BP29,BP29-MIN(INT(ROUND(IF($F29=1,$C29*$J29,IF(FO29&gt;0,FO29*$K29,BP29*$J29))*IF(24=$R29,$S29,12)/12,6)+$B$4),BP29-$I29)))))</f>
        <v/>
      </c>
      <c r="BR29" s="68">
        <f>IF($U29=0,0,IF($F29=4,0,IF($F29=3,0,IF(OR(25&gt;$R29,BQ29&lt;=$I29),BQ29,BQ29-MIN(INT(ROUND(IF($F29=1,$C29*$J29,IF(FP29&gt;0,FP29*$K29,BQ29*$J29))*IF(25=$R29,$S29,12)/12,6)+$B$4),BQ29-$I29)))))</f>
        <v/>
      </c>
      <c r="BS29" s="68">
        <f>IF($U29=0,0,IF($F29=4,0,IF($F29=3,0,IF(OR(26&gt;$R29,BR29&lt;=$I29),BR29,BR29-MIN(INT(ROUND(IF($F29=1,$C29*$J29,IF(FQ29&gt;0,FQ29*$K29,BR29*$J29))*IF(26=$R29,$S29,12)/12,6)+$B$4),BR29-$I29)))))</f>
        <v/>
      </c>
      <c r="BT29" s="68">
        <f>IF($U29=0,0,IF($F29=4,0,IF($F29=3,0,IF(OR(27&gt;$R29,BS29&lt;=$I29),BS29,BS29-MIN(INT(ROUND(IF($F29=1,$C29*$J29,IF(FR29&gt;0,FR29*$K29,BS29*$J29))*IF(27=$R29,$S29,12)/12,6)+$B$4),BS29-$I29)))))</f>
        <v/>
      </c>
      <c r="BU29" s="68">
        <f>IF($U29=0,0,IF($F29=4,0,IF($F29=3,0,IF(OR(28&gt;$R29,BT29&lt;=$I29),BT29,BT29-MIN(INT(ROUND(IF($F29=1,$C29*$J29,IF(FS29&gt;0,FS29*$K29,BT29*$J29))*IF(28=$R29,$S29,12)/12,6)+$B$4),BT29-$I29)))))</f>
        <v/>
      </c>
      <c r="BV29" s="68">
        <f>IF($U29=0,0,IF($F29=4,0,IF($F29=3,0,IF(OR(29&gt;$R29,BU29&lt;=$I29),BU29,BU29-MIN(INT(ROUND(IF($F29=1,$C29*$J29,IF(FT29&gt;0,FT29*$K29,BU29*$J29))*IF(29=$R29,$S29,12)/12,6)+$B$4),BU29-$I29)))))</f>
        <v/>
      </c>
      <c r="BW29" s="68">
        <f>IF($U29=0,0,IF($F29=4,0,IF($F29=3,0,IF(OR(30&gt;$R29,BV29&lt;=$I29),BV29,BV29-MIN(INT(ROUND(IF($F29=1,$C29*$J29,IF(FU29&gt;0,FU29*$K29,BV29*$J29))*IF(30=$R29,$S29,12)/12,6)+$B$4),BV29-$I29)))))</f>
        <v/>
      </c>
      <c r="BX29" s="68">
        <f>IF($U29=0,0,IF($F29=4,0,IF($F29=3,0,IF(OR(31&gt;$R29,BW29&lt;=$I29),BW29,BW29-MIN(INT(ROUND(IF($F29=1,$C29*$J29,IF(FV29&gt;0,FV29*$K29,BW29*$J29))*IF(31=$R29,$S29,12)/12,6)+$B$4),BW29-$I29)))))</f>
        <v/>
      </c>
      <c r="BY29" s="68">
        <f>IF($U29=0,0,IF($F29=4,0,IF($F29=3,0,IF(OR(32&gt;$R29,BX29&lt;=$I29),BX29,BX29-MIN(INT(ROUND(IF($F29=1,$C29*$J29,IF(FW29&gt;0,FW29*$K29,BX29*$J29))*IF(32=$R29,$S29,12)/12,6)+$B$4),BX29-$I29)))))</f>
        <v/>
      </c>
      <c r="BZ29" s="68">
        <f>IF($U29=0,0,IF($F29=4,0,IF($F29=3,0,IF(OR(33&gt;$R29,BY29&lt;=$I29),BY29,BY29-MIN(INT(ROUND(IF($F29=1,$C29*$J29,IF(FX29&gt;0,FX29*$K29,BY29*$J29))*IF(33=$R29,$S29,12)/12,6)+$B$4),BY29-$I29)))))</f>
        <v/>
      </c>
      <c r="CA29" s="68">
        <f>IF($U29=0,0,IF($F29=4,0,IF($F29=3,0,IF(OR(34&gt;$R29,BZ29&lt;=$I29),BZ29,BZ29-MIN(INT(ROUND(IF($F29=1,$C29*$J29,IF(FY29&gt;0,FY29*$K29,BZ29*$J29))*IF(34=$R29,$S29,12)/12,6)+$B$4),BZ29-$I29)))))</f>
        <v/>
      </c>
      <c r="CB29" s="68">
        <f>IF($U29=0,0,IF($F29=4,0,IF($F29=3,0,IF(OR(35&gt;$R29,CA29&lt;=$I29),CA29,CA29-MIN(INT(ROUND(IF($F29=1,$C29*$J29,IF(FZ29&gt;0,FZ29*$K29,CA29*$J29))*IF(35=$R29,$S29,12)/12,6)+$B$4),CA29-$I29)))))</f>
        <v/>
      </c>
      <c r="CC29" s="68">
        <f>IF($U29=0,0,IF($F29=4,0,IF($F29=3,0,IF(OR(36&gt;$R29,CB29&lt;=$I29),CB29,CB29-MIN(INT(ROUND(IF($F29=1,$C29*$J29,IF(GA29&gt;0,GA29*$K29,CB29*$J29))*IF(36=$R29,$S29,12)/12,6)+$B$4),CB29-$I29)))))</f>
        <v/>
      </c>
      <c r="CD29" s="68">
        <f>IF($U29=0,0,IF($F29=4,0,IF($F29=3,0,IF(OR(37&gt;$R29,CC29&lt;=$I29),CC29,CC29-MIN(INT(ROUND(IF($F29=1,$C29*$J29,IF(GB29&gt;0,GB29*$K29,CC29*$J29))*IF(37=$R29,$S29,12)/12,6)+$B$4),CC29-$I29)))))</f>
        <v/>
      </c>
      <c r="CE29" s="68">
        <f>IF($U29=0,0,IF($F29=4,0,IF($F29=3,0,IF(OR(38&gt;$R29,CD29&lt;=$I29),CD29,CD29-MIN(INT(ROUND(IF($F29=1,$C29*$J29,IF(GC29&gt;0,GC29*$K29,CD29*$J29))*IF(38=$R29,$S29,12)/12,6)+$B$4),CD29-$I29)))))</f>
        <v/>
      </c>
      <c r="CF29" s="68">
        <f>IF($U29=0,0,IF($F29=4,0,IF($F29=3,0,IF(OR(39&gt;$R29,CE29&lt;=$I29),CE29,CE29-MIN(INT(ROUND(IF($F29=1,$C29*$J29,IF(GD29&gt;0,GD29*$K29,CE29*$J29))*IF(39=$R29,$S29,12)/12,6)+$B$4),CE29-$I29)))))</f>
        <v/>
      </c>
      <c r="CG29" s="68">
        <f>IF($U29=0,0,IF($F29=4,0,IF($F29=3,0,IF(OR(40&gt;$R29,CF29&lt;=$I29),CF29,CF29-MIN(INT(ROUND(IF($F29=1,$C29*$J29,IF(GE29&gt;0,GE29*$K29,CF29*$J29))*IF(40=$R29,$S29,12)/12,6)+$B$4),CF29-$I29)))))</f>
        <v/>
      </c>
      <c r="CH29" s="68">
        <f>IF($U29=0,0,IF($F29=4,0,IF($F29=3,0,IF(OR(41&gt;$R29,CG29&lt;=$I29),CG29,CG29-MIN(INT(ROUND(IF($F29=1,$C29*$J29,IF(GF29&gt;0,GF29*$K29,CG29*$J29))*IF(41=$R29,$S29,12)/12,6)+$B$4),CG29-$I29)))))</f>
        <v/>
      </c>
      <c r="CI29" s="68">
        <f>IF($U29=0,0,IF($F29=4,0,IF($F29=3,0,IF(OR(42&gt;$R29,CH29&lt;=$I29),CH29,CH29-MIN(INT(ROUND(IF($F29=1,$C29*$J29,IF(GG29&gt;0,GG29*$K29,CH29*$J29))*IF(42=$R29,$S29,12)/12,6)+$B$4),CH29-$I29)))))</f>
        <v/>
      </c>
      <c r="CJ29" s="68">
        <f>IF($U29=0,0,IF($F29=4,0,IF($F29=3,0,IF(OR(43&gt;$R29,CI29&lt;=$I29),CI29,CI29-MIN(INT(ROUND(IF($F29=1,$C29*$J29,IF(GH29&gt;0,GH29*$K29,CI29*$J29))*IF(43=$R29,$S29,12)/12,6)+$B$4),CI29-$I29)))))</f>
        <v/>
      </c>
      <c r="CK29" s="68">
        <f>IF($U29=0,0,IF($F29=4,0,IF($F29=3,0,IF(OR(44&gt;$R29,CJ29&lt;=$I29),CJ29,CJ29-MIN(INT(ROUND(IF($F29=1,$C29*$J29,IF(GI29&gt;0,GI29*$K29,CJ29*$J29))*IF(44=$R29,$S29,12)/12,6)+$B$4),CJ29-$I29)))))</f>
        <v/>
      </c>
      <c r="CL29" s="68">
        <f>IF($U29=0,0,IF($F29=4,0,IF($F29=3,0,IF(OR(45&gt;$R29,CK29&lt;=$I29),CK29,CK29-MIN(INT(ROUND(IF($F29=1,$C29*$J29,IF(GJ29&gt;0,GJ29*$K29,CK29*$J29))*IF(45=$R29,$S29,12)/12,6)+$B$4),CK29-$I29)))))</f>
        <v/>
      </c>
      <c r="CM29" s="68">
        <f>IF($U29=0,0,IF($F29=4,0,IF($F29=3,0,IF(OR(46&gt;$R29,CL29&lt;=$I29),CL29,CL29-MIN(INT(ROUND(IF($F29=1,$C29*$J29,IF(GK29&gt;0,GK29*$K29,CL29*$J29))*IF(46=$R29,$S29,12)/12,6)+$B$4),CL29-$I29)))))</f>
        <v/>
      </c>
      <c r="CN29" s="68">
        <f>IF($U29=0,0,IF($F29=4,0,IF($F29=3,0,IF(OR(47&gt;$R29,CM29&lt;=$I29),CM29,CM29-MIN(INT(ROUND(IF($F29=1,$C29*$J29,IF(GL29&gt;0,GL29*$K29,CM29*$J29))*IF(47=$R29,$S29,12)/12,6)+$B$4),CM29-$I29)))))</f>
        <v/>
      </c>
      <c r="CO29" s="68">
        <f>IF($U29=0,0,IF($F29=4,0,IF($F29=3,0,IF(OR(48&gt;$R29,CN29&lt;=$I29),CN29,CN29-MIN(INT(ROUND(IF($F29=1,$C29*$J29,IF(GM29&gt;0,GM29*$K29,CN29*$J29))*IF(48=$R29,$S29,12)/12,6)+$B$4),CN29-$I29)))))</f>
        <v/>
      </c>
      <c r="CP29" s="68">
        <f>IF($U29=0,0,IF($F29=4,0,IF($F29=3,0,IF(OR(49&gt;$R29,CO29&lt;=$I29),CO29,CO29-MIN(INT(ROUND(IF($F29=1,$C29*$J29,IF(GN29&gt;0,GN29*$K29,CO29*$J29))*IF(49=$R29,$S29,12)/12,6)+$B$4),CO29-$I29)))))</f>
        <v/>
      </c>
      <c r="CQ29" s="68">
        <f>IF($U29=0,0,IF($F29=4,0,IF($F29=3,0,IF(OR(50&gt;$R29,CP29&lt;=$I29),CP29,CP29-MIN(INT(ROUND(IF($F29=1,$C29*$J29,IF(GO29&gt;0,GO29*$K29,CP29*$J29))*IF(50=$R29,$S29,12)/12,6)+$B$4),CP29-$I29)))))</f>
        <v/>
      </c>
      <c r="CR29" s="68">
        <f>IF($U29=0,0,IF($F29=4,0,IF($F29=3,0,IF(OR(51&gt;$R29,CQ29&lt;=$I29),CQ29,CQ29-MIN(INT(ROUND(IF($F29=1,$C29*$J29,IF(GP29&gt;0,GP29*$K29,CQ29*$J29))*IF(51=$R29,$S29,12)/12,6)+$B$4),CQ29-$I29)))))</f>
        <v/>
      </c>
      <c r="CS29" s="68">
        <f>IF($U29=0,0,IF($F29=4,0,IF($F29=3,0,IF(OR(52&gt;$R29,CR29&lt;=$I29),CR29,CR29-MIN(INT(ROUND(IF($F29=1,$C29*$J29,IF(GQ29&gt;0,GQ29*$K29,CR29*$J29))*IF(52=$R29,$S29,12)/12,6)+$B$4),CR29-$I29)))))</f>
        <v/>
      </c>
      <c r="CT29" s="68">
        <f>IF($U29=0,0,IF($F29=4,0,IF($F29=3,0,IF(OR(53&gt;$R29,CS29&lt;=$I29),CS29,CS29-MIN(INT(ROUND(IF($F29=1,$C29*$J29,IF(GR29&gt;0,GR29*$K29,CS29*$J29))*IF(53=$R29,$S29,12)/12,6)+$B$4),CS29-$I29)))))</f>
        <v/>
      </c>
      <c r="CU29" s="68">
        <f>IF($U29=0,0,IF($F29=4,0,IF($F29=3,0,IF(OR(54&gt;$R29,CT29&lt;=$I29),CT29,CT29-MIN(INT(ROUND(IF($F29=1,$C29*$J29,IF(GS29&gt;0,GS29*$K29,CT29*$J29))*IF(54=$R29,$S29,12)/12,6)+$B$4),CT29-$I29)))))</f>
        <v/>
      </c>
      <c r="CV29" s="68">
        <f>IF($U29=0,0,IF($F29=4,0,IF($F29=3,0,IF(OR(55&gt;$R29,CU29&lt;=$I29),CU29,CU29-MIN(INT(ROUND(IF($F29=1,$C29*$J29,IF(GT29&gt;0,GT29*$K29,CU29*$J29))*IF(55=$R29,$S29,12)/12,6)+$B$4),CU29-$I29)))))</f>
        <v/>
      </c>
      <c r="CW29" s="68">
        <f>IF($U29=0,0,IF($F29=4,0,IF($F29=3,0,IF(OR(56&gt;$R29,CV29&lt;=$I29),CV29,CV29-MIN(INT(ROUND(IF($F29=1,$C29*$J29,IF(GU29&gt;0,GU29*$K29,CV29*$J29))*IF(56=$R29,$S29,12)/12,6)+$B$4),CV29-$I29)))))</f>
        <v/>
      </c>
      <c r="CX29" s="68">
        <f>IF($U29=0,0,IF($F29=4,0,IF($F29=3,0,IF(OR(57&gt;$R29,CW29&lt;=$I29),CW29,CW29-MIN(INT(ROUND(IF($F29=1,$C29*$J29,IF(GV29&gt;0,GV29*$K29,CW29*$J29))*IF(57=$R29,$S29,12)/12,6)+$B$4),CW29-$I29)))))</f>
        <v/>
      </c>
      <c r="CY29" s="68">
        <f>IF($U29=0,0,IF($F29=4,0,IF($F29=3,0,IF(OR(58&gt;$R29,CX29&lt;=$I29),CX29,CX29-MIN(INT(ROUND(IF($F29=1,$C29*$J29,IF(GW29&gt;0,GW29*$K29,CX29*$J29))*IF(58=$R29,$S29,12)/12,6)+$B$4),CX29-$I29)))))</f>
        <v/>
      </c>
      <c r="CZ29" s="68">
        <f>IF($U29=0,0,IF($F29=4,0,IF($F29=3,0,IF(OR(59&gt;$R29,CY29&lt;=$I29),CY29,CY29-MIN(INT(ROUND(IF($F29=1,$C29*$J29,IF(GX29&gt;0,GX29*$K29,CY29*$J29))*IF(59=$R29,$S29,12)/12,6)+$B$4),CY29-$I29)))))</f>
        <v/>
      </c>
      <c r="DA29" s="68">
        <f>IF($U29=0,0,IF($F29=4,0,IF($F29=3,0,IF(OR(60&gt;$R29,CZ29&lt;=$I29),CZ29,CZ29-MIN(INT(ROUND(IF($F29=1,$C29*$J29,IF(GY29&gt;0,GY29*$K29,CZ29*$J29))*IF(60=$R29,$S29,12)/12,6)+$B$4),CZ29-$I29)))))</f>
        <v/>
      </c>
      <c r="DB29" s="68">
        <f>IF($U29=0,0,IF($F29=4,0,IF($F29=3,0,IF(OR(61&gt;$R29,DA29&lt;=$I29),DA29,DA29-MIN(INT(ROUND(IF($F29=1,$C29*$J29,IF(GZ29&gt;0,GZ29*$K29,DA29*$J29))*IF(61=$R29,$S29,12)/12,6)+$B$4),DA29-$I29)))))</f>
        <v/>
      </c>
      <c r="DC29" s="68">
        <f>IF($U29=0,0,IF($F29=4,0,IF($F29=3,0,IF(OR(62&gt;$R29,DB29&lt;=$I29),DB29,DB29-MIN(INT(ROUND(IF($F29=1,$C29*$J29,IF(HA29&gt;0,HA29*$K29,DB29*$J29))*IF(62=$R29,$S29,12)/12,6)+$B$4),DB29-$I29)))))</f>
        <v/>
      </c>
      <c r="DD29" s="68">
        <f>IF($U29=0,0,IF($F29=4,0,IF($F29=3,0,IF(OR(63&gt;$R29,DC29&lt;=$I29),DC29,DC29-MIN(INT(ROUND(IF($F29=1,$C29*$J29,IF(HB29&gt;0,HB29*$K29,DC29*$J29))*IF(63=$R29,$S29,12)/12,6)+$B$4),DC29-$I29)))))</f>
        <v/>
      </c>
      <c r="DE29" s="68">
        <f>IF($U29=0,0,IF($F29=4,0,IF($F29=3,0,IF(OR(64&gt;$R29,DD29&lt;=$I29),DD29,DD29-MIN(INT(ROUND(IF($F29=1,$C29*$J29,IF(HC29&gt;0,HC29*$K29,DD29*$J29))*IF(64=$R29,$S29,12)/12,6)+$B$4),DD29-$I29)))))</f>
        <v/>
      </c>
      <c r="DF29" s="68">
        <f>IF($U29=0,0,IF($F29=4,0,IF($F29=3,0,IF(OR(65&gt;$R29,DE29&lt;=$I29),DE29,DE29-MIN(INT(ROUND(IF($F29=1,$C29*$J29,IF(HD29&gt;0,HD29*$K29,DE29*$J29))*IF(65=$R29,$S29,12)/12,6)+$B$4),DE29-$I29)))))</f>
        <v/>
      </c>
      <c r="DG29" s="68">
        <f>IF($U29=0,0,IF($F29=4,0,IF($F29=3,0,IF(OR(66&gt;$R29,DF29&lt;=$I29),DF29,DF29-MIN(INT(ROUND(IF($F29=1,$C29*$J29,IF(HE29&gt;0,HE29*$K29,DF29*$J29))*IF(66=$R29,$S29,12)/12,6)+$B$4),DF29-$I29)))))</f>
        <v/>
      </c>
      <c r="DH29" s="68">
        <f>IF($U29=0,0,IF($F29=4,0,IF($F29=3,0,IF(OR(67&gt;$R29,DG29&lt;=$I29),DG29,DG29-MIN(INT(ROUND(IF($F29=1,$C29*$J29,IF(HF29&gt;0,HF29*$K29,DG29*$J29))*IF(67=$R29,$S29,12)/12,6)+$B$4),DG29-$I29)))))</f>
        <v/>
      </c>
      <c r="DI29" s="68">
        <f>IF($U29=0,0,IF($F29=4,0,IF($F29=3,0,IF(OR(68&gt;$R29,DH29&lt;=$I29),DH29,DH29-MIN(INT(ROUND(IF($F29=1,$C29*$J29,IF(HG29&gt;0,HG29*$K29,DH29*$J29))*IF(68=$R29,$S29,12)/12,6)+$B$4),DH29-$I29)))))</f>
        <v/>
      </c>
      <c r="DJ29" s="68">
        <f>IF($U29=0,0,IF($F29=4,0,IF($F29=3,0,IF(OR(69&gt;$R29,DI29&lt;=$I29),DI29,DI29-MIN(INT(ROUND(IF($F29=1,$C29*$J29,IF(HH29&gt;0,HH29*$K29,DI29*$J29))*IF(69=$R29,$S29,12)/12,6)+$B$4),DI29-$I29)))))</f>
        <v/>
      </c>
      <c r="DK29" s="68">
        <f>IF($U29=0,0,IF($F29=4,0,IF($F29=3,0,IF(OR(70&gt;$R29,DJ29&lt;=$I29),DJ29,DJ29-MIN(INT(ROUND(IF($F29=1,$C29*$J29,IF(HI29&gt;0,HI29*$K29,DJ29*$J29))*IF(70=$R29,$S29,12)/12,6)+$B$4),DJ29-$I29)))))</f>
        <v/>
      </c>
      <c r="DL29" s="68">
        <f>IF($U29=0,0,IF($F29=4,0,IF($F29=3,0,IF(OR(71&gt;$R29,DK29&lt;=$I29),DK29,DK29-MIN(INT(ROUND(IF($F29=1,$C29*$J29,IF(HJ29&gt;0,HJ29*$K29,DK29*$J29))*IF(71=$R29,$S29,12)/12,6)+$B$4),DK29-$I29)))))</f>
        <v/>
      </c>
      <c r="DM29" s="68">
        <f>IF($U29=0,0,IF($F29=4,0,IF($F29=3,0,IF(OR(72&gt;$R29,DL29&lt;=$I29),DL29,DL29-MIN(INT(ROUND(IF($F29=1,$C29*$J29,IF(HK29&gt;0,HK29*$K29,DL29*$J29))*IF(72=$R29,$S29,12)/12,6)+$B$4),DL29-$I29)))))</f>
        <v/>
      </c>
      <c r="DN29" s="68">
        <f>IF($U29=0,0,IF($F29=4,0,IF($F29=3,0,IF(OR(73&gt;$R29,DM29&lt;=$I29),DM29,DM29-MIN(INT(ROUND(IF($F29=1,$C29*$J29,IF(HL29&gt;0,HL29*$K29,DM29*$J29))*IF(73=$R29,$S29,12)/12,6)+$B$4),DM29-$I29)))))</f>
        <v/>
      </c>
      <c r="DO29" s="68">
        <f>IF($U29=0,0,IF($F29=4,0,IF($F29=3,0,IF(OR(74&gt;$R29,DN29&lt;=$I29),DN29,DN29-MIN(INT(ROUND(IF($F29=1,$C29*$J29,IF(HM29&gt;0,HM29*$K29,DN29*$J29))*IF(74=$R29,$S29,12)/12,6)+$B$4),DN29-$I29)))))</f>
        <v/>
      </c>
      <c r="DP29" s="68">
        <f>IF($U29=0,0,IF($F29=4,0,IF($F29=3,0,IF(OR(75&gt;$R29,DO29&lt;=$I29),DO29,DO29-MIN(INT(ROUND(IF($F29=1,$C29*$J29,IF(HN29&gt;0,HN29*$K29,DO29*$J29))*IF(75=$R29,$S29,12)/12,6)+$B$4),DO29-$I29)))))</f>
        <v/>
      </c>
      <c r="DQ29" s="68">
        <f>IF($U29=0,0,IF($F29=4,0,IF($F29=3,0,IF(OR(76&gt;$R29,DP29&lt;=$I29),DP29,DP29-MIN(INT(ROUND(IF($F29=1,$C29*$J29,IF(HO29&gt;0,HO29*$K29,DP29*$J29))*IF(76=$R29,$S29,12)/12,6)+$B$4),DP29-$I29)))))</f>
        <v/>
      </c>
      <c r="DR29" s="68">
        <f>IF($U29=0,0,IF($F29=4,0,IF($F29=3,0,IF(OR(77&gt;$R29,DQ29&lt;=$I29),DQ29,DQ29-MIN(INT(ROUND(IF($F29=1,$C29*$J29,IF(HP29&gt;0,HP29*$K29,DQ29*$J29))*IF(77=$R29,$S29,12)/12,6)+$B$4),DQ29-$I29)))))</f>
        <v/>
      </c>
      <c r="DS29" s="68">
        <f>IF($U29=0,0,IF($F29=4,0,IF($F29=3,0,IF(OR(78&gt;$R29,DR29&lt;=$I29),DR29,DR29-MIN(INT(ROUND(IF($F29=1,$C29*$J29,IF(HQ29&gt;0,HQ29*$K29,DR29*$J29))*IF(78=$R29,$S29,12)/12,6)+$B$4),DR29-$I29)))))</f>
        <v/>
      </c>
      <c r="DT29" s="68">
        <f>IF($U29=0,0,IF($F29=4,0,IF($F29=3,0,IF(OR(79&gt;$R29,DS29&lt;=$I29),DS29,DS29-MIN(INT(ROUND(IF($F29=1,$C29*$J29,IF(HR29&gt;0,HR29*$K29,DS29*$J29))*IF(79=$R29,$S29,12)/12,6)+$B$4),DS29-$I29)))))</f>
        <v/>
      </c>
      <c r="DU29" s="68">
        <f>IF($U29=0,0,IF($F29=4,0,IF($F29=3,0,IF(OR(80&gt;$R29,DT29&lt;=$I29),DT29,DT29-MIN(INT(ROUND(IF($F29=1,$C29*$J29,IF(HS29&gt;0,HS29*$K29,DT29*$J29))*IF(80=$R29,$S29,12)/12,6)+$B$4),DT29-$I29)))))</f>
        <v/>
      </c>
      <c r="DV29" s="68">
        <f>IF($U29=0,0,IF($F29=4,0,IF($F29=3,0,IF(OR(81&gt;$R29,DU29&lt;=$I29),DU29,DU29-MIN(INT(ROUND(IF($F29=1,$C29*$J29,IF(HT29&gt;0,HT29*$K29,DU29*$J29))*IF(81=$R29,$S29,12)/12,6)+$B$4),DU29-$I29)))))</f>
        <v/>
      </c>
      <c r="DW29" s="68">
        <f>IF($U29=0,0,IF($F29=4,0,IF($F29=3,0,IF(OR(82&gt;$R29,DV29&lt;=$I29),DV29,DV29-MIN(INT(ROUND(IF($F29=1,$C29*$J29,IF(HU29&gt;0,HU29*$K29,DV29*$J29))*IF(82=$R29,$S29,12)/12,6)+$B$4),DV29-$I29)))))</f>
        <v/>
      </c>
      <c r="DX29" s="68">
        <f>IF($U29=0,0,IF($F29=4,0,IF($F29=3,0,IF(OR(83&gt;$R29,DW29&lt;=$I29),DW29,DW29-MIN(INT(ROUND(IF($F29=1,$C29*$J29,IF(HV29&gt;0,HV29*$K29,DW29*$J29))*IF(83=$R29,$S29,12)/12,6)+$B$4),DW29-$I29)))))</f>
        <v/>
      </c>
      <c r="DY29" s="68">
        <f>IF($U29=0,0,IF($F29=4,0,IF($F29=3,0,IF(OR(84&gt;$R29,DX29&lt;=$I29),DX29,DX29-MIN(INT(ROUND(IF($F29=1,$C29*$J29,IF(HW29&gt;0,HW29*$K29,DX29*$J29))*IF(84=$R29,$S29,12)/12,6)+$B$4),DX29-$I29)))))</f>
        <v/>
      </c>
      <c r="DZ29" s="68">
        <f>IF($U29=0,0,IF($F29=4,0,IF($F29=3,0,IF(OR(85&gt;$R29,DY29&lt;=$I29),DY29,DY29-MIN(INT(ROUND(IF($F29=1,$C29*$J29,IF(HX29&gt;0,HX29*$K29,DY29*$J29))*IF(85=$R29,$S29,12)/12,6)+$B$4),DY29-$I29)))))</f>
        <v/>
      </c>
      <c r="EA29" s="68">
        <f>IF($U29=0,0,IF($F29=4,0,IF($F29=3,0,IF(OR(86&gt;$R29,DZ29&lt;=$I29),DZ29,DZ29-MIN(INT(ROUND(IF($F29=1,$C29*$J29,IF(HY29&gt;0,HY29*$K29,DZ29*$J29))*IF(86=$R29,$S29,12)/12,6)+$B$4),DZ29-$I29)))))</f>
        <v/>
      </c>
      <c r="EB29" s="68">
        <f>IF($U29=0,0,IF($F29=4,0,IF($F29=3,0,IF(OR(87&gt;$R29,EA29&lt;=$I29),EA29,EA29-MIN(INT(ROUND(IF($F29=1,$C29*$J29,IF(HZ29&gt;0,HZ29*$K29,EA29*$J29))*IF(87=$R29,$S29,12)/12,6)+$B$4),EA29-$I29)))))</f>
        <v/>
      </c>
      <c r="EC29" s="68">
        <f>IF($U29=0,0,IF($F29=4,0,IF($F29=3,0,IF(OR(88&gt;$R29,EB29&lt;=$I29),EB29,EB29-MIN(INT(ROUND(IF($F29=1,$C29*$J29,IF(IA29&gt;0,IA29*$K29,EB29*$J29))*IF(88=$R29,$S29,12)/12,6)+$B$4),EB29-$I29)))))</f>
        <v/>
      </c>
      <c r="ED29" s="68">
        <f>IF($U29=0,0,IF($F29=4,0,IF($F29=3,0,IF(OR(89&gt;$R29,EC29&lt;=$I29),EC29,EC29-MIN(INT(ROUND(IF($F29=1,$C29*$J29,IF(IB29&gt;0,IB29*$K29,EC29*$J29))*IF(89=$R29,$S29,12)/12,6)+$B$4),EC29-$I29)))))</f>
        <v/>
      </c>
      <c r="EE29" s="68">
        <f>IF($U29=0,0,IF($F29=4,0,IF($F29=3,0,IF(OR(90&gt;$R29,ED29&lt;=$I29),ED29,ED29-MIN(INT(ROUND(IF($F29=1,$C29*$J29,IF(IC29&gt;0,IC29*$K29,ED29*$J29))*IF(90=$R29,$S29,12)/12,6)+$B$4),ED29-$I29)))))</f>
        <v/>
      </c>
      <c r="EF29" s="68">
        <f>IF($U29=0,0,IF($F29=4,0,IF($F29=3,0,IF(OR(91&gt;$R29,EE29&lt;=$I29),EE29,EE29-MIN(INT(ROUND(IF($F29=1,$C29*$J29,IF(ID29&gt;0,ID29*$K29,EE29*$J29))*IF(91=$R29,$S29,12)/12,6)+$B$4),EE29-$I29)))))</f>
        <v/>
      </c>
      <c r="EG29" s="68">
        <f>IF($U29=0,0,IF($F29=4,0,IF($F29=3,0,IF(OR(92&gt;$R29,EF29&lt;=$I29),EF29,EF29-MIN(INT(ROUND(IF($F29=1,$C29*$J29,IF(IE29&gt;0,IE29*$K29,EF29*$J29))*IF(92=$R29,$S29,12)/12,6)+$B$4),EF29-$I29)))))</f>
        <v/>
      </c>
      <c r="EH29" s="68">
        <f>IF($U29=0,0,IF($F29=4,0,IF($F29=3,0,IF(OR(93&gt;$R29,EG29&lt;=$I29),EG29,EG29-MIN(INT(ROUND(IF($F29=1,$C29*$J29,IF(IF29&gt;0,IF29*$K29,EG29*$J29))*IF(93=$R29,$S29,12)/12,6)+$B$4),EG29-$I29)))))</f>
        <v/>
      </c>
      <c r="EI29" s="68">
        <f>IF($U29=0,0,IF($F29=4,0,IF($F29=3,0,IF(OR(94&gt;$R29,EH29&lt;=$I29),EH29,EH29-MIN(INT(ROUND(IF($F29=1,$C29*$J29,IF(IG29&gt;0,IG29*$K29,EH29*$J29))*IF(94=$R29,$S29,12)/12,6)+$B$4),EH29-$I29)))))</f>
        <v/>
      </c>
      <c r="EJ29" s="68">
        <f>IF($U29=0,0,IF($F29=4,0,IF($F29=3,0,IF(OR(95&gt;$R29,EI29&lt;=$I29),EI29,EI29-MIN(INT(ROUND(IF($F29=1,$C29*$J29,IF(IH29&gt;0,IH29*$K29,EI29*$J29))*IF(95=$R29,$S29,12)/12,6)+$B$4),EI29-$I29)))))</f>
        <v/>
      </c>
      <c r="EK29" s="68">
        <f>IF($U29=0,0,IF($F29=4,0,IF($F29=3,0,IF(OR(96&gt;$R29,EJ29&lt;=$I29),EJ29,EJ29-MIN(INT(ROUND(IF($F29=1,$C29*$J29,IF(II29&gt;0,II29*$K29,EJ29*$J29))*IF(96=$R29,$S29,12)/12,6)+$B$4),EJ29-$I29)))))</f>
        <v/>
      </c>
      <c r="EL29" s="68">
        <f>IF($U29=0,0,IF($F29=4,0,IF($F29=3,0,IF(OR(97&gt;$R29,EK29&lt;=$I29),EK29,EK29-MIN(INT(ROUND(IF($F29=1,$C29*$J29,IF(IJ29&gt;0,IJ29*$K29,EK29*$J29))*IF(97=$R29,$S29,12)/12,6)+$B$4),EK29-$I29)))))</f>
        <v/>
      </c>
      <c r="EM29" s="68">
        <f>IF($U29=0,0,IF($F29=4,0,IF($F29=3,0,IF(OR(98&gt;$R29,EL29&lt;=$I29),EL29,EL29-MIN(INT(ROUND(IF($F29=1,$C29*$J29,IF(IK29&gt;0,IK29*$K29,EL29*$J29))*IF(98=$R29,$S29,12)/12,6)+$B$4),EL29-$I29)))))</f>
        <v/>
      </c>
      <c r="EN29" s="68">
        <f>IF($U29=0,0,IF($F29=4,0,IF($F29=3,0,IF(OR(99&gt;$R29,EM29&lt;=$I29),EM29,EM29-MIN(INT(ROUND(IF($F29=1,$C29*$J29,IF(IL29&gt;0,IL29*$K29,EM29*$J29))*IF(99=$R29,$S29,12)/12,6)+$B$4),EM29-$I29)))))</f>
        <v/>
      </c>
      <c r="EO29" s="68">
        <f>IF($U29=0,0,IF($F29=4,0,IF($F29=3,0,IF(OR(100&gt;$R29,EN29&lt;=$I29),EN29,EN29-MIN(INT(ROUND(IF($F29=1,$C29*$J29,IF(IM29&gt;0,IM29*$K29,EN29*$J29))*IF(100=$R29,$S29,12)/12,6)+$B$4),EN29-$I29)))))</f>
        <v/>
      </c>
      <c r="EP29" s="68">
        <f>IF($U29=0,0,IF($F29=4,0,IF($F29=3,0,IF(OR(101&gt;$R29,EO29&lt;=$I29),EO29,EO29-MIN(INT(ROUND(IF($F29=1,$C29*$J29,IF(IN29&gt;0,IN29*$K29,EO29*$J29))*IF(101=$R29,$S29,12)/12,6)+$B$4),EO29-$I29)))))</f>
        <v/>
      </c>
      <c r="EQ29" s="68" t="n"/>
      <c r="ER29" s="68">
        <f>IF(OR($U29=0,$F29&lt;&gt;2),0,IF(ROUND(AS29*$J29,6)&lt;ROUND($M29,6),AS29,0))</f>
        <v/>
      </c>
      <c r="ES29" s="68">
        <f>IF(OR($U29=0,$F29&lt;&gt;2),0,IF(ER29&gt;0,ER29,IF(ROUND(AT29*$J29,6)&lt;ROUND($M29,6),AT29,0)))</f>
        <v/>
      </c>
      <c r="ET29" s="68">
        <f>IF(OR($U29=0,$F29&lt;&gt;2),0,IF(ES29&gt;0,ES29,IF(ROUND(AU29*$J29,6)&lt;ROUND($M29,6),AU29,0)))</f>
        <v/>
      </c>
      <c r="EU29" s="68">
        <f>IF(OR($U29=0,$F29&lt;&gt;2),0,IF(ET29&gt;0,ET29,IF(ROUND(AV29*$J29,6)&lt;ROUND($M29,6),AV29,0)))</f>
        <v/>
      </c>
      <c r="EV29" s="68">
        <f>IF(OR($U29=0,$F29&lt;&gt;2),0,IF(EU29&gt;0,EU29,IF(ROUND(AW29*$J29,6)&lt;ROUND($M29,6),AW29,0)))</f>
        <v/>
      </c>
      <c r="EW29" s="68">
        <f>IF(OR($U29=0,$F29&lt;&gt;2),0,IF(EV29&gt;0,EV29,IF(ROUND(AX29*$J29,6)&lt;ROUND($M29,6),AX29,0)))</f>
        <v/>
      </c>
      <c r="EX29" s="68">
        <f>IF(OR($U29=0,$F29&lt;&gt;2),0,IF(EW29&gt;0,EW29,IF(ROUND(AY29*$J29,6)&lt;ROUND($M29,6),AY29,0)))</f>
        <v/>
      </c>
      <c r="EY29" s="68">
        <f>IF(OR($U29=0,$F29&lt;&gt;2),0,IF(EX29&gt;0,EX29,IF(ROUND(AZ29*$J29,6)&lt;ROUND($M29,6),AZ29,0)))</f>
        <v/>
      </c>
      <c r="EZ29" s="68">
        <f>IF(OR($U29=0,$F29&lt;&gt;2),0,IF(EY29&gt;0,EY29,IF(ROUND(BA29*$J29,6)&lt;ROUND($M29,6),BA29,0)))</f>
        <v/>
      </c>
      <c r="FA29" s="68">
        <f>IF(OR($U29=0,$F29&lt;&gt;2),0,IF(EZ29&gt;0,EZ29,IF(ROUND(BB29*$J29,6)&lt;ROUND($M29,6),BB29,0)))</f>
        <v/>
      </c>
      <c r="FB29" s="68">
        <f>IF(OR($U29=0,$F29&lt;&gt;2),0,IF(FA29&gt;0,FA29,IF(ROUND(BC29*$J29,6)&lt;ROUND($M29,6),BC29,0)))</f>
        <v/>
      </c>
      <c r="FC29" s="68">
        <f>IF(OR($U29=0,$F29&lt;&gt;2),0,IF(FB29&gt;0,FB29,IF(ROUND(BD29*$J29,6)&lt;ROUND($M29,6),BD29,0)))</f>
        <v/>
      </c>
      <c r="FD29" s="68">
        <f>IF(OR($U29=0,$F29&lt;&gt;2),0,IF(FC29&gt;0,FC29,IF(ROUND(BE29*$J29,6)&lt;ROUND($M29,6),BE29,0)))</f>
        <v/>
      </c>
      <c r="FE29" s="68">
        <f>IF(OR($U29=0,$F29&lt;&gt;2),0,IF(FD29&gt;0,FD29,IF(ROUND(BF29*$J29,6)&lt;ROUND($M29,6),BF29,0)))</f>
        <v/>
      </c>
      <c r="FF29" s="68">
        <f>IF(OR($U29=0,$F29&lt;&gt;2),0,IF(FE29&gt;0,FE29,IF(ROUND(BG29*$J29,6)&lt;ROUND($M29,6),BG29,0)))</f>
        <v/>
      </c>
      <c r="FG29" s="68">
        <f>IF(OR($U29=0,$F29&lt;&gt;2),0,IF(FF29&gt;0,FF29,IF(ROUND(BH29*$J29,6)&lt;ROUND($M29,6),BH29,0)))</f>
        <v/>
      </c>
      <c r="FH29" s="68">
        <f>IF(OR($U29=0,$F29&lt;&gt;2),0,IF(FG29&gt;0,FG29,IF(ROUND(BI29*$J29,6)&lt;ROUND($M29,6),BI29,0)))</f>
        <v/>
      </c>
      <c r="FI29" s="68">
        <f>IF(OR($U29=0,$F29&lt;&gt;2),0,IF(FH29&gt;0,FH29,IF(ROUND(BJ29*$J29,6)&lt;ROUND($M29,6),BJ29,0)))</f>
        <v/>
      </c>
      <c r="FJ29" s="68">
        <f>IF(OR($U29=0,$F29&lt;&gt;2),0,IF(FI29&gt;0,FI29,IF(ROUND(BK29*$J29,6)&lt;ROUND($M29,6),BK29,0)))</f>
        <v/>
      </c>
      <c r="FK29" s="68">
        <f>IF(OR($U29=0,$F29&lt;&gt;2),0,IF(FJ29&gt;0,FJ29,IF(ROUND(BL29*$J29,6)&lt;ROUND($M29,6),BL29,0)))</f>
        <v/>
      </c>
      <c r="FL29" s="68">
        <f>IF(OR($U29=0,$F29&lt;&gt;2),0,IF(FK29&gt;0,FK29,IF(ROUND(BM29*$J29,6)&lt;ROUND($M29,6),BM29,0)))</f>
        <v/>
      </c>
      <c r="FM29" s="68">
        <f>IF(OR($U29=0,$F29&lt;&gt;2),0,IF(FL29&gt;0,FL29,IF(ROUND(BN29*$J29,6)&lt;ROUND($M29,6),BN29,0)))</f>
        <v/>
      </c>
      <c r="FN29" s="68">
        <f>IF(OR($U29=0,$F29&lt;&gt;2),0,IF(FM29&gt;0,FM29,IF(ROUND(BO29*$J29,6)&lt;ROUND($M29,6),BO29,0)))</f>
        <v/>
      </c>
      <c r="FO29" s="68">
        <f>IF(OR($U29=0,$F29&lt;&gt;2),0,IF(FN29&gt;0,FN29,IF(ROUND(BP29*$J29,6)&lt;ROUND($M29,6),BP29,0)))</f>
        <v/>
      </c>
      <c r="FP29" s="68">
        <f>IF(OR($U29=0,$F29&lt;&gt;2),0,IF(FO29&gt;0,FO29,IF(ROUND(BQ29*$J29,6)&lt;ROUND($M29,6),BQ29,0)))</f>
        <v/>
      </c>
      <c r="FQ29" s="68">
        <f>IF(OR($U29=0,$F29&lt;&gt;2),0,IF(FP29&gt;0,FP29,IF(ROUND(BR29*$J29,6)&lt;ROUND($M29,6),BR29,0)))</f>
        <v/>
      </c>
      <c r="FR29" s="68">
        <f>IF(OR($U29=0,$F29&lt;&gt;2),0,IF(FQ29&gt;0,FQ29,IF(ROUND(BS29*$J29,6)&lt;ROUND($M29,6),BS29,0)))</f>
        <v/>
      </c>
      <c r="FS29" s="68">
        <f>IF(OR($U29=0,$F29&lt;&gt;2),0,IF(FR29&gt;0,FR29,IF(ROUND(BT29*$J29,6)&lt;ROUND($M29,6),BT29,0)))</f>
        <v/>
      </c>
      <c r="FT29" s="68">
        <f>IF(OR($U29=0,$F29&lt;&gt;2),0,IF(FS29&gt;0,FS29,IF(ROUND(BU29*$J29,6)&lt;ROUND($M29,6),BU29,0)))</f>
        <v/>
      </c>
      <c r="FU29" s="68">
        <f>IF(OR($U29=0,$F29&lt;&gt;2),0,IF(FT29&gt;0,FT29,IF(ROUND(BV29*$J29,6)&lt;ROUND($M29,6),BV29,0)))</f>
        <v/>
      </c>
      <c r="FV29" s="68">
        <f>IF(OR($U29=0,$F29&lt;&gt;2),0,IF(FU29&gt;0,FU29,IF(ROUND(BW29*$J29,6)&lt;ROUND($M29,6),BW29,0)))</f>
        <v/>
      </c>
      <c r="FW29" s="68">
        <f>IF(OR($U29=0,$F29&lt;&gt;2),0,IF(FV29&gt;0,FV29,IF(ROUND(BX29*$J29,6)&lt;ROUND($M29,6),BX29,0)))</f>
        <v/>
      </c>
      <c r="FX29" s="68">
        <f>IF(OR($U29=0,$F29&lt;&gt;2),0,IF(FW29&gt;0,FW29,IF(ROUND(BY29*$J29,6)&lt;ROUND($M29,6),BY29,0)))</f>
        <v/>
      </c>
      <c r="FY29" s="68">
        <f>IF(OR($U29=0,$F29&lt;&gt;2),0,IF(FX29&gt;0,FX29,IF(ROUND(BZ29*$J29,6)&lt;ROUND($M29,6),BZ29,0)))</f>
        <v/>
      </c>
      <c r="FZ29" s="68">
        <f>IF(OR($U29=0,$F29&lt;&gt;2),0,IF(FY29&gt;0,FY29,IF(ROUND(CA29*$J29,6)&lt;ROUND($M29,6),CA29,0)))</f>
        <v/>
      </c>
      <c r="GA29" s="68">
        <f>IF(OR($U29=0,$F29&lt;&gt;2),0,IF(FZ29&gt;0,FZ29,IF(ROUND(CB29*$J29,6)&lt;ROUND($M29,6),CB29,0)))</f>
        <v/>
      </c>
      <c r="GB29" s="68">
        <f>IF(OR($U29=0,$F29&lt;&gt;2),0,IF(GA29&gt;0,GA29,IF(ROUND(CC29*$J29,6)&lt;ROUND($M29,6),CC29,0)))</f>
        <v/>
      </c>
      <c r="GC29" s="68">
        <f>IF(OR($U29=0,$F29&lt;&gt;2),0,IF(GB29&gt;0,GB29,IF(ROUND(CD29*$J29,6)&lt;ROUND($M29,6),CD29,0)))</f>
        <v/>
      </c>
      <c r="GD29" s="68">
        <f>IF(OR($U29=0,$F29&lt;&gt;2),0,IF(GC29&gt;0,GC29,IF(ROUND(CE29*$J29,6)&lt;ROUND($M29,6),CE29,0)))</f>
        <v/>
      </c>
      <c r="GE29" s="68">
        <f>IF(OR($U29=0,$F29&lt;&gt;2),0,IF(GD29&gt;0,GD29,IF(ROUND(CF29*$J29,6)&lt;ROUND($M29,6),CF29,0)))</f>
        <v/>
      </c>
      <c r="GF29" s="68">
        <f>IF(OR($U29=0,$F29&lt;&gt;2),0,IF(GE29&gt;0,GE29,IF(ROUND(CG29*$J29,6)&lt;ROUND($M29,6),CG29,0)))</f>
        <v/>
      </c>
      <c r="GG29" s="68">
        <f>IF(OR($U29=0,$F29&lt;&gt;2),0,IF(GF29&gt;0,GF29,IF(ROUND(CH29*$J29,6)&lt;ROUND($M29,6),CH29,0)))</f>
        <v/>
      </c>
      <c r="GH29" s="68">
        <f>IF(OR($U29=0,$F29&lt;&gt;2),0,IF(GG29&gt;0,GG29,IF(ROUND(CI29*$J29,6)&lt;ROUND($M29,6),CI29,0)))</f>
        <v/>
      </c>
      <c r="GI29" s="68">
        <f>IF(OR($U29=0,$F29&lt;&gt;2),0,IF(GH29&gt;0,GH29,IF(ROUND(CJ29*$J29,6)&lt;ROUND($M29,6),CJ29,0)))</f>
        <v/>
      </c>
      <c r="GJ29" s="68">
        <f>IF(OR($U29=0,$F29&lt;&gt;2),0,IF(GI29&gt;0,GI29,IF(ROUND(CK29*$J29,6)&lt;ROUND($M29,6),CK29,0)))</f>
        <v/>
      </c>
      <c r="GK29" s="68">
        <f>IF(OR($U29=0,$F29&lt;&gt;2),0,IF(GJ29&gt;0,GJ29,IF(ROUND(CL29*$J29,6)&lt;ROUND($M29,6),CL29,0)))</f>
        <v/>
      </c>
      <c r="GL29" s="68">
        <f>IF(OR($U29=0,$F29&lt;&gt;2),0,IF(GK29&gt;0,GK29,IF(ROUND(CM29*$J29,6)&lt;ROUND($M29,6),CM29,0)))</f>
        <v/>
      </c>
      <c r="GM29" s="68">
        <f>IF(OR($U29=0,$F29&lt;&gt;2),0,IF(GL29&gt;0,GL29,IF(ROUND(CN29*$J29,6)&lt;ROUND($M29,6),CN29,0)))</f>
        <v/>
      </c>
      <c r="GN29" s="68">
        <f>IF(OR($U29=0,$F29&lt;&gt;2),0,IF(GM29&gt;0,GM29,IF(ROUND(CO29*$J29,6)&lt;ROUND($M29,6),CO29,0)))</f>
        <v/>
      </c>
      <c r="GO29" s="68">
        <f>IF(OR($U29=0,$F29&lt;&gt;2),0,IF(GN29&gt;0,GN29,IF(ROUND(CP29*$J29,6)&lt;ROUND($M29,6),CP29,0)))</f>
        <v/>
      </c>
      <c r="GP29" s="68">
        <f>IF(OR($U29=0,$F29&lt;&gt;2),0,IF(GO29&gt;0,GO29,IF(ROUND(CQ29*$J29,6)&lt;ROUND($M29,6),CQ29,0)))</f>
        <v/>
      </c>
      <c r="GQ29" s="68">
        <f>IF(OR($U29=0,$F29&lt;&gt;2),0,IF(GP29&gt;0,GP29,IF(ROUND(CR29*$J29,6)&lt;ROUND($M29,6),CR29,0)))</f>
        <v/>
      </c>
      <c r="GR29" s="68">
        <f>IF(OR($U29=0,$F29&lt;&gt;2),0,IF(GQ29&gt;0,GQ29,IF(ROUND(CS29*$J29,6)&lt;ROUND($M29,6),CS29,0)))</f>
        <v/>
      </c>
      <c r="GS29" s="68">
        <f>IF(OR($U29=0,$F29&lt;&gt;2),0,IF(GR29&gt;0,GR29,IF(ROUND(CT29*$J29,6)&lt;ROUND($M29,6),CT29,0)))</f>
        <v/>
      </c>
      <c r="GT29" s="68">
        <f>IF(OR($U29=0,$F29&lt;&gt;2),0,IF(GS29&gt;0,GS29,IF(ROUND(CU29*$J29,6)&lt;ROUND($M29,6),CU29,0)))</f>
        <v/>
      </c>
      <c r="GU29" s="68">
        <f>IF(OR($U29=0,$F29&lt;&gt;2),0,IF(GT29&gt;0,GT29,IF(ROUND(CV29*$J29,6)&lt;ROUND($M29,6),CV29,0)))</f>
        <v/>
      </c>
      <c r="GV29" s="68">
        <f>IF(OR($U29=0,$F29&lt;&gt;2),0,IF(GU29&gt;0,GU29,IF(ROUND(CW29*$J29,6)&lt;ROUND($M29,6),CW29,0)))</f>
        <v/>
      </c>
      <c r="GW29" s="68">
        <f>IF(OR($U29=0,$F29&lt;&gt;2),0,IF(GV29&gt;0,GV29,IF(ROUND(CX29*$J29,6)&lt;ROUND($M29,6),CX29,0)))</f>
        <v/>
      </c>
      <c r="GX29" s="68">
        <f>IF(OR($U29=0,$F29&lt;&gt;2),0,IF(GW29&gt;0,GW29,IF(ROUND(CY29*$J29,6)&lt;ROUND($M29,6),CY29,0)))</f>
        <v/>
      </c>
      <c r="GY29" s="68">
        <f>IF(OR($U29=0,$F29&lt;&gt;2),0,IF(GX29&gt;0,GX29,IF(ROUND(CZ29*$J29,6)&lt;ROUND($M29,6),CZ29,0)))</f>
        <v/>
      </c>
      <c r="GZ29" s="68">
        <f>IF(OR($U29=0,$F29&lt;&gt;2),0,IF(GY29&gt;0,GY29,IF(ROUND(DA29*$J29,6)&lt;ROUND($M29,6),DA29,0)))</f>
        <v/>
      </c>
      <c r="HA29" s="68">
        <f>IF(OR($U29=0,$F29&lt;&gt;2),0,IF(GZ29&gt;0,GZ29,IF(ROUND(DB29*$J29,6)&lt;ROUND($M29,6),DB29,0)))</f>
        <v/>
      </c>
      <c r="HB29" s="68">
        <f>IF(OR($U29=0,$F29&lt;&gt;2),0,IF(HA29&gt;0,HA29,IF(ROUND(DC29*$J29,6)&lt;ROUND($M29,6),DC29,0)))</f>
        <v/>
      </c>
      <c r="HC29" s="68">
        <f>IF(OR($U29=0,$F29&lt;&gt;2),0,IF(HB29&gt;0,HB29,IF(ROUND(DD29*$J29,6)&lt;ROUND($M29,6),DD29,0)))</f>
        <v/>
      </c>
      <c r="HD29" s="68">
        <f>IF(OR($U29=0,$F29&lt;&gt;2),0,IF(HC29&gt;0,HC29,IF(ROUND(DE29*$J29,6)&lt;ROUND($M29,6),DE29,0)))</f>
        <v/>
      </c>
      <c r="HE29" s="68">
        <f>IF(OR($U29=0,$F29&lt;&gt;2),0,IF(HD29&gt;0,HD29,IF(ROUND(DF29*$J29,6)&lt;ROUND($M29,6),DF29,0)))</f>
        <v/>
      </c>
      <c r="HF29" s="68">
        <f>IF(OR($U29=0,$F29&lt;&gt;2),0,IF(HE29&gt;0,HE29,IF(ROUND(DG29*$J29,6)&lt;ROUND($M29,6),DG29,0)))</f>
        <v/>
      </c>
      <c r="HG29" s="68">
        <f>IF(OR($U29=0,$F29&lt;&gt;2),0,IF(HF29&gt;0,HF29,IF(ROUND(DH29*$J29,6)&lt;ROUND($M29,6),DH29,0)))</f>
        <v/>
      </c>
      <c r="HH29" s="68">
        <f>IF(OR($U29=0,$F29&lt;&gt;2),0,IF(HG29&gt;0,HG29,IF(ROUND(DI29*$J29,6)&lt;ROUND($M29,6),DI29,0)))</f>
        <v/>
      </c>
      <c r="HI29" s="68">
        <f>IF(OR($U29=0,$F29&lt;&gt;2),0,IF(HH29&gt;0,HH29,IF(ROUND(DJ29*$J29,6)&lt;ROUND($M29,6),DJ29,0)))</f>
        <v/>
      </c>
      <c r="HJ29" s="68">
        <f>IF(OR($U29=0,$F29&lt;&gt;2),0,IF(HI29&gt;0,HI29,IF(ROUND(DK29*$J29,6)&lt;ROUND($M29,6),DK29,0)))</f>
        <v/>
      </c>
      <c r="HK29" s="68">
        <f>IF(OR($U29=0,$F29&lt;&gt;2),0,IF(HJ29&gt;0,HJ29,IF(ROUND(DL29*$J29,6)&lt;ROUND($M29,6),DL29,0)))</f>
        <v/>
      </c>
      <c r="HL29" s="68">
        <f>IF(OR($U29=0,$F29&lt;&gt;2),0,IF(HK29&gt;0,HK29,IF(ROUND(DM29*$J29,6)&lt;ROUND($M29,6),DM29,0)))</f>
        <v/>
      </c>
      <c r="HM29" s="68">
        <f>IF(OR($U29=0,$F29&lt;&gt;2),0,IF(HL29&gt;0,HL29,IF(ROUND(DN29*$J29,6)&lt;ROUND($M29,6),DN29,0)))</f>
        <v/>
      </c>
      <c r="HN29" s="68">
        <f>IF(OR($U29=0,$F29&lt;&gt;2),0,IF(HM29&gt;0,HM29,IF(ROUND(DO29*$J29,6)&lt;ROUND($M29,6),DO29,0)))</f>
        <v/>
      </c>
      <c r="HO29" s="68">
        <f>IF(OR($U29=0,$F29&lt;&gt;2),0,IF(HN29&gt;0,HN29,IF(ROUND(DP29*$J29,6)&lt;ROUND($M29,6),DP29,0)))</f>
        <v/>
      </c>
      <c r="HP29" s="68">
        <f>IF(OR($U29=0,$F29&lt;&gt;2),0,IF(HO29&gt;0,HO29,IF(ROUND(DQ29*$J29,6)&lt;ROUND($M29,6),DQ29,0)))</f>
        <v/>
      </c>
      <c r="HQ29" s="68">
        <f>IF(OR($U29=0,$F29&lt;&gt;2),0,IF(HP29&gt;0,HP29,IF(ROUND(DR29*$J29,6)&lt;ROUND($M29,6),DR29,0)))</f>
        <v/>
      </c>
      <c r="HR29" s="68">
        <f>IF(OR($U29=0,$F29&lt;&gt;2),0,IF(HQ29&gt;0,HQ29,IF(ROUND(DS29*$J29,6)&lt;ROUND($M29,6),DS29,0)))</f>
        <v/>
      </c>
      <c r="HS29" s="68">
        <f>IF(OR($U29=0,$F29&lt;&gt;2),0,IF(HR29&gt;0,HR29,IF(ROUND(DT29*$J29,6)&lt;ROUND($M29,6),DT29,0)))</f>
        <v/>
      </c>
      <c r="HT29" s="68">
        <f>IF(OR($U29=0,$F29&lt;&gt;2),0,IF(HS29&gt;0,HS29,IF(ROUND(DU29*$J29,6)&lt;ROUND($M29,6),DU29,0)))</f>
        <v/>
      </c>
      <c r="HU29" s="68">
        <f>IF(OR($U29=0,$F29&lt;&gt;2),0,IF(HT29&gt;0,HT29,IF(ROUND(DV29*$J29,6)&lt;ROUND($M29,6),DV29,0)))</f>
        <v/>
      </c>
      <c r="HV29" s="68">
        <f>IF(OR($U29=0,$F29&lt;&gt;2),0,IF(HU29&gt;0,HU29,IF(ROUND(DW29*$J29,6)&lt;ROUND($M29,6),DW29,0)))</f>
        <v/>
      </c>
      <c r="HW29" s="68">
        <f>IF(OR($U29=0,$F29&lt;&gt;2),0,IF(HV29&gt;0,HV29,IF(ROUND(DX29*$J29,6)&lt;ROUND($M29,6),DX29,0)))</f>
        <v/>
      </c>
      <c r="HX29" s="68">
        <f>IF(OR($U29=0,$F29&lt;&gt;2),0,IF(HW29&gt;0,HW29,IF(ROUND(DY29*$J29,6)&lt;ROUND($M29,6),DY29,0)))</f>
        <v/>
      </c>
      <c r="HY29" s="68">
        <f>IF(OR($U29=0,$F29&lt;&gt;2),0,IF(HX29&gt;0,HX29,IF(ROUND(DZ29*$J29,6)&lt;ROUND($M29,6),DZ29,0)))</f>
        <v/>
      </c>
      <c r="HZ29" s="68">
        <f>IF(OR($U29=0,$F29&lt;&gt;2),0,IF(HY29&gt;0,HY29,IF(ROUND(EA29*$J29,6)&lt;ROUND($M29,6),EA29,0)))</f>
        <v/>
      </c>
      <c r="IA29" s="68">
        <f>IF(OR($U29=0,$F29&lt;&gt;2),0,IF(HZ29&gt;0,HZ29,IF(ROUND(EB29*$J29,6)&lt;ROUND($M29,6),EB29,0)))</f>
        <v/>
      </c>
      <c r="IB29" s="68">
        <f>IF(OR($U29=0,$F29&lt;&gt;2),0,IF(IA29&gt;0,IA29,IF(ROUND(EC29*$J29,6)&lt;ROUND($M29,6),EC29,0)))</f>
        <v/>
      </c>
      <c r="IC29" s="68">
        <f>IF(OR($U29=0,$F29&lt;&gt;2),0,IF(IB29&gt;0,IB29,IF(ROUND(ED29*$J29,6)&lt;ROUND($M29,6),ED29,0)))</f>
        <v/>
      </c>
      <c r="ID29" s="68">
        <f>IF(OR($U29=0,$F29&lt;&gt;2),0,IF(IC29&gt;0,IC29,IF(ROUND(EE29*$J29,6)&lt;ROUND($M29,6),EE29,0)))</f>
        <v/>
      </c>
      <c r="IE29" s="68">
        <f>IF(OR($U29=0,$F29&lt;&gt;2),0,IF(ID29&gt;0,ID29,IF(ROUND(EF29*$J29,6)&lt;ROUND($M29,6),EF29,0)))</f>
        <v/>
      </c>
      <c r="IF29" s="68">
        <f>IF(OR($U29=0,$F29&lt;&gt;2),0,IF(IE29&gt;0,IE29,IF(ROUND(EG29*$J29,6)&lt;ROUND($M29,6),EG29,0)))</f>
        <v/>
      </c>
      <c r="IG29" s="68">
        <f>IF(OR($U29=0,$F29&lt;&gt;2),0,IF(IF29&gt;0,IF29,IF(ROUND(EH29*$J29,6)&lt;ROUND($M29,6),EH29,0)))</f>
        <v/>
      </c>
      <c r="IH29" s="68">
        <f>IF(OR($U29=0,$F29&lt;&gt;2),0,IF(IG29&gt;0,IG29,IF(ROUND(EI29*$J29,6)&lt;ROUND($M29,6),EI29,0)))</f>
        <v/>
      </c>
      <c r="II29" s="68">
        <f>IF(OR($U29=0,$F29&lt;&gt;2),0,IF(IH29&gt;0,IH29,IF(ROUND(EJ29*$J29,6)&lt;ROUND($M29,6),EJ29,0)))</f>
        <v/>
      </c>
      <c r="IJ29" s="68">
        <f>IF(OR($U29=0,$F29&lt;&gt;2),0,IF(II29&gt;0,II29,IF(ROUND(EK29*$J29,6)&lt;ROUND($M29,6),EK29,0)))</f>
        <v/>
      </c>
      <c r="IK29" s="68">
        <f>IF(OR($U29=0,$F29&lt;&gt;2),0,IF(IJ29&gt;0,IJ29,IF(ROUND(EL29*$J29,6)&lt;ROUND($M29,6),EL29,0)))</f>
        <v/>
      </c>
      <c r="IL29" s="68">
        <f>IF(OR($U29=0,$F29&lt;&gt;2),0,IF(IK29&gt;0,IK29,IF(ROUND(EM29*$J29,6)&lt;ROUND($M29,6),EM29,0)))</f>
        <v/>
      </c>
      <c r="IM29" s="68">
        <f>IF(OR($U29=0,$F29&lt;&gt;2),0,IF(IL29&gt;0,IL29,IF(ROUND(EN29*$J29,6)&lt;ROUND($M29,6),EN29,0)))</f>
        <v/>
      </c>
      <c r="IN29" s="68">
        <f>IF(OR($U29=0,$F29&lt;&gt;2),0,IF(IM29&gt;0,IM29,IF(ROUND(EO29*$J29,6)&lt;ROUND($M29,6),EO29,0)))</f>
        <v/>
      </c>
    </row>
    <row r="30">
      <c r="A30" s="68" t="n">
        <v>25</v>
      </c>
      <c r="B30" s="68">
        <f>IF(OR(TRIM('固定資産台帳'!$B30)&lt;&gt;"",'固定資産台帳'!$E30&lt;&gt;"",'固定資産台帳'!$G30&lt;&gt;"",'固定資産台帳'!$H30&lt;&gt;""),1,0)</f>
        <v/>
      </c>
      <c r="C30" s="68">
        <f>IF(ISNUMBER('固定資産台帳'!$G30),MAX(ROUND('固定資産台帳'!$G30,0),0),0)</f>
        <v/>
      </c>
      <c r="D30" s="84">
        <f>IF(ISNUMBER('固定資産台帳'!$E30),INT('固定資産台帳'!$E30),0)</f>
        <v/>
      </c>
      <c r="E30" s="84">
        <f>IF(ISNUMBER('固定資産台帳'!$F30),INT('固定資産台帳'!$F30),$D30)</f>
        <v/>
      </c>
      <c r="F30" s="68">
        <f>IF('固定資産台帳'!$H30="定額法",1,IF(OR('固定資産台帳'!$H30="定率法",'固定資産台帳'!$H30="定率法（200%）",'固定資産台帳'!$H30="定率法（250%）"),2,IF('固定資産台帳'!$H30="一括償却（3年）",3,IF('固定資産台帳'!$H30="少額特例",4,0))))</f>
        <v/>
      </c>
      <c r="G30" s="68">
        <f>IF('固定資産台帳'!$H30="定率法（250%）",250,IF('固定資産台帳'!$H30="定率法（200%）",200,IF($D30&gt;=DATE(2012,4,1),200,250)))</f>
        <v/>
      </c>
      <c r="H30" s="68">
        <f>IF(ISNUMBER('固定資産台帳'!$I30),IF(AND('固定資産台帳'!$I30&gt;=2,'固定資産台帳'!$I30&lt;=100,'固定資産台帳'!$I30=INT('固定資産台帳'!$I30)),'固定資産台帳'!$I30,0),0)</f>
        <v/>
      </c>
      <c r="I30" s="68">
        <f>IF('固定資産台帳'!$C30="無形固定資産",0,1)</f>
        <v/>
      </c>
      <c r="J30" s="68">
        <f>IF(OR($H30=0,$F30=0,$F30&gt;2),0,IF($F30=1,INDEX('償却率表'!$B$6:$B$104,$H30-1),IF($G30=200,INDEX('償却率表'!$C$6:$C$104,$H30-1),INDEX('償却率表'!$F$6:$F$104,$H30-1))))</f>
        <v/>
      </c>
      <c r="K30" s="68">
        <f>IF(AND($F30=2,$H30&gt;0),IF($G30=200,INDEX('償却率表'!$D$6:$D$104,$H30-1),INDEX('償却率表'!$G$6:$G$104,$H30-1)),0)</f>
        <v/>
      </c>
      <c r="L30" s="68">
        <f>IF(AND($F30=2,$H30&gt;0),IF($G30=200,INDEX('償却率表'!$E$6:$E$104,$H30-1),INDEX('償却率表'!$H$6:$H$104,$H30-1)),0)</f>
        <v/>
      </c>
      <c r="M30" s="68">
        <f>$C30*$L30</f>
        <v/>
      </c>
      <c r="N30" s="68">
        <f>IF($B$1=1,1,IF('固定資産台帳'!$J30="",1,IF(ISNUMBER('固定資産台帳'!$J30),IF(AND('固定資産台帳'!$J30&gt;0,'固定資産台帳'!$J30&lt;=1),'固定資産台帳'!$J30,0),0)))</f>
        <v/>
      </c>
      <c r="O30" s="68">
        <f>IF($E30=0,0,YEAR($E30)-IF(MONTH($E30)&lt;$B$2,1,0))</f>
        <v/>
      </c>
      <c r="P30" s="68">
        <f>IF($E30=0,0,12-MOD(MONTH($E30)-$B$2,12))</f>
        <v/>
      </c>
      <c r="Q30" s="84">
        <f>IF(ISNUMBER('固定資産台帳'!$K30),INT('固定資産台帳'!$K30),0)</f>
        <v/>
      </c>
      <c r="R30" s="68">
        <f>IF(OR($Q30=0,$E30=0),999,YEAR($Q30)-IF(MONTH($Q30)&lt;$B$2,1,0)-$O30)</f>
        <v/>
      </c>
      <c r="S30" s="68">
        <f>IF($R30=999,0,MOD(MONTH($Q30)-$B$2,12)+1-IF($R30=0,12-$P30,0))</f>
        <v/>
      </c>
      <c r="T30" s="68">
        <f>IF($B30=0,0,IF($C30&lt;=0,1,IF($D30=0,2,IF($F30=0,3,IF(AND($F30&lt;=2,$H30=0),4,IF(AND($F30&lt;=2,$D30&lt;DATE(2007,4,1)),5,IF($E30&lt;$D30,6,IF(AND($Q30&gt;0,$Q30&lt;$E30),7,IF($N30=0,8,IF($B$3=0,9,0))))))))))</f>
        <v/>
      </c>
      <c r="U30" s="68">
        <f>IF(AND($B30=1,$T30=0),1,0)</f>
        <v/>
      </c>
      <c r="V30" s="68">
        <f>$B$3-$O30</f>
        <v/>
      </c>
      <c r="W30" s="68">
        <f>IF(AND($U30=1,$V30&gt;=0),1,0)</f>
        <v/>
      </c>
      <c r="X30" s="68">
        <f>IF($W30=0,0,IF($V30=0,$C30,INDEX($AS30:$EP30,MIN($V30,102))))</f>
        <v/>
      </c>
      <c r="Y30" s="68">
        <f>IF($W30=0,0,INDEX($AS30:$EP30,MIN($V30,101)+1))</f>
        <v/>
      </c>
      <c r="Z30" s="68">
        <f>$X30-$Y30</f>
        <v/>
      </c>
      <c r="AA30" s="68">
        <f>IF(AND($W30=1,$F30=2,$V30&gt;=1),INDEX($ER30:$IN30,MIN($V30,101)),0)</f>
        <v/>
      </c>
      <c r="AB30" s="68">
        <f>IF(OR($W30=0,$F30&gt;2,$Z30=0),0,IF($V30=0,IF($R30=0,$S30,$P30),IF($V30=$R30,$S30,12)))</f>
        <v/>
      </c>
      <c r="AC30" s="68">
        <f>IF($W30=0,0,INT(ROUND($Z30*$N30,6)+$B$4))</f>
        <v/>
      </c>
      <c r="AD30" s="68">
        <f>IF(AND($W30=1,$F30&lt;=2,$V30=$R30),1,0)</f>
        <v/>
      </c>
      <c r="AE30" s="68">
        <f>IF(AND($W30=1,$F30&lt;=2,$V30&gt;$R30),1,0)</f>
        <v/>
      </c>
      <c r="AF30" s="68">
        <f>IF(AND($W30=1,$AE30=0,OR($Z30&gt;0,$AD30=1)),1,0)</f>
        <v/>
      </c>
      <c r="AG30" s="68">
        <f>IF($AF30=1,SUM($AF$6:$AF30),0)</f>
        <v/>
      </c>
      <c r="AH30" s="68">
        <f>IF($T30=0,"",CHOOSE($T30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30" s="68">
        <f>IF(AND($F30=2,OR('固定資産台帳'!$C30="建物",'固定資産台帳'!$C30="無形固定資産",AND(OR('固定資産台帳'!$C30="建物附属設備",'固定資産台帳'!$C30="構築物"),$D30&gt;=DATE(2016,4,1)))),"この資産は定額法だけです（定率法は使えません）。","")&amp;IF(AND($F30=3,$C30&gt;=200000),"一括償却は20万円未満の資産だけです。","")&amp;IF(AND($F30=3,$B$1=0,$C30&lt;100000),"10万円未満は一括償却にせず、全額をその年の経費にします。","")&amp;IF(AND($F30=4,$C30&lt;100000),"10万円未満は少額特例ではなく、全額をその年の経費にします。","")&amp;IF(AND($F30=4,$D30&lt;DATE(2026,4,1),$C30&gt;=300000),"2026年3月31日までの取得で少額特例が使えるのは30万円未満です。","")&amp;IF(AND($F30=4,$D30&gt;=DATE(2026,4,1),$C30&gt;=400000),"少額特例は40万円未満の資産だけです。","")&amp;IF(AND($F30=4,OR($D30&lt;DATE(2006,4,1),$D30&gt;DATE(2029,3,31))),"少額特例は2006年4月1日〜2029年3月31日に取得した資産だけです。","")&amp;IF(AND($F30=2,$G30=250,$D30&gt;DATE(2012,12,31)),"250%定率法は2012年12月31日までの取得だけです。","")</f>
        <v/>
      </c>
      <c r="AJ30" s="68">
        <f>IF(AND($F30=2,'固定資産台帳'!$H30="定率法（200%）",$D30&lt;DATE(2012,4,1)),"2012年3月31日までの取得に200%を使うのは、経過措置の届出をした場合です。","")&amp;IF(AND($F30=2,'固定資産台帳'!$H30="定率法（250%）",$D30&gt;=DATE(2012,4,1),$D30&lt;=DATE(2012,12,31)),"2012年4〜12月の取得に250%を使うのは、経過措置を選んだ場合です。","")</f>
        <v/>
      </c>
      <c r="AK30" s="68">
        <f>IF($U30=0,"",IF($V30&lt;0,"表示している年より後に使い始める資産です。",IF($AE30=1,"売却・除却済みです。",IF($AD30=1,"この年に売却・除却。期末の帳簿価額 "&amp;TEXT($Y30,"#,##0")&amp;"円を帳簿から外します。",IF($F30=4,IF($V30=0,"少額特例：この年に全額を経費にします。","少額特例で経費にした資産です。"),IF($F30=3,IF($V30&gt;2,"一括償却は終わっています。","一括償却 "&amp;($V30+1)&amp;"年目（3年のうち）。"),IF($Z30=0,"償却済み（帳簿価額 "&amp;TEXT($Y30,"#,##0")&amp;"円）。",IF($AA30&gt;0,"改定償却率で計算（改定取得価額 "&amp;TEXT($AA30,"#,##0")&amp;"円）。",IF($V30=0,"この年に使い始め（"&amp;$AB30&amp;"か月分）。","")))))))))</f>
        <v/>
      </c>
      <c r="AL30" s="68">
        <f>IF(AND($U30=1,$F30=4,$V30=0),$C30,0)</f>
        <v/>
      </c>
      <c r="AM30" s="68">
        <f>IF($F30=2,INT(ROUND($M30,6)+$B$4),0)</f>
        <v/>
      </c>
      <c r="AN30" s="68">
        <f>IF($W30=0,0,IF($F30=2,IF($AA30&gt;0,$AA30,$X30),$C30))</f>
        <v/>
      </c>
      <c r="AO30" s="68">
        <f>IF($W30=0,"",IF($F30=3,"1/3",IF($F30=4,"―",IF($AA30&gt;0,$K30,$J30))))</f>
        <v/>
      </c>
      <c r="AP30" s="68" t="n"/>
      <c r="AQ30" s="68" t="n"/>
      <c r="AR30" s="68" t="n"/>
      <c r="AS30" s="68">
        <f>IF($U30=0,0,IF($F30=4,0,IF($F30=3,MAX($C30-INT(ROUND($C30/3,6)+$B$4),0),$C30-MIN(INT(ROUND($C30*$J30*IF($R30=0,$S30,$P30)/12,6)+$B$4),MAX($C30-$I30,0)))))</f>
        <v/>
      </c>
      <c r="AT30" s="68">
        <f>IF($U30=0,0,IF($F30=4,0,IF($F30=3,AS30-MIN(INT(ROUND($C30/3,6)+$B$4),AS30),IF(OR(1&gt;$R30,AS30&lt;=$I30),AS30,AS30-MIN(INT(ROUND(IF($F30=1,$C30*$J30,IF(ER30&gt;0,ER30*$K30,AS30*$J30))*IF(1=$R30,$S30,12)/12,6)+$B$4),AS30-$I30)))))</f>
        <v/>
      </c>
      <c r="AU30" s="68">
        <f>IF($U30=0,0,IF($F30=4,0,IF($F30=3,0,IF(OR(2&gt;$R30,AT30&lt;=$I30),AT30,AT30-MIN(INT(ROUND(IF($F30=1,$C30*$J30,IF(ES30&gt;0,ES30*$K30,AT30*$J30))*IF(2=$R30,$S30,12)/12,6)+$B$4),AT30-$I30)))))</f>
        <v/>
      </c>
      <c r="AV30" s="68">
        <f>IF($U30=0,0,IF($F30=4,0,IF($F30=3,0,IF(OR(3&gt;$R30,AU30&lt;=$I30),AU30,AU30-MIN(INT(ROUND(IF($F30=1,$C30*$J30,IF(ET30&gt;0,ET30*$K30,AU30*$J30))*IF(3=$R30,$S30,12)/12,6)+$B$4),AU30-$I30)))))</f>
        <v/>
      </c>
      <c r="AW30" s="68">
        <f>IF($U30=0,0,IF($F30=4,0,IF($F30=3,0,IF(OR(4&gt;$R30,AV30&lt;=$I30),AV30,AV30-MIN(INT(ROUND(IF($F30=1,$C30*$J30,IF(EU30&gt;0,EU30*$K30,AV30*$J30))*IF(4=$R30,$S30,12)/12,6)+$B$4),AV30-$I30)))))</f>
        <v/>
      </c>
      <c r="AX30" s="68">
        <f>IF($U30=0,0,IF($F30=4,0,IF($F30=3,0,IF(OR(5&gt;$R30,AW30&lt;=$I30),AW30,AW30-MIN(INT(ROUND(IF($F30=1,$C30*$J30,IF(EV30&gt;0,EV30*$K30,AW30*$J30))*IF(5=$R30,$S30,12)/12,6)+$B$4),AW30-$I30)))))</f>
        <v/>
      </c>
      <c r="AY30" s="68">
        <f>IF($U30=0,0,IF($F30=4,0,IF($F30=3,0,IF(OR(6&gt;$R30,AX30&lt;=$I30),AX30,AX30-MIN(INT(ROUND(IF($F30=1,$C30*$J30,IF(EW30&gt;0,EW30*$K30,AX30*$J30))*IF(6=$R30,$S30,12)/12,6)+$B$4),AX30-$I30)))))</f>
        <v/>
      </c>
      <c r="AZ30" s="68">
        <f>IF($U30=0,0,IF($F30=4,0,IF($F30=3,0,IF(OR(7&gt;$R30,AY30&lt;=$I30),AY30,AY30-MIN(INT(ROUND(IF($F30=1,$C30*$J30,IF(EX30&gt;0,EX30*$K30,AY30*$J30))*IF(7=$R30,$S30,12)/12,6)+$B$4),AY30-$I30)))))</f>
        <v/>
      </c>
      <c r="BA30" s="68">
        <f>IF($U30=0,0,IF($F30=4,0,IF($F30=3,0,IF(OR(8&gt;$R30,AZ30&lt;=$I30),AZ30,AZ30-MIN(INT(ROUND(IF($F30=1,$C30*$J30,IF(EY30&gt;0,EY30*$K30,AZ30*$J30))*IF(8=$R30,$S30,12)/12,6)+$B$4),AZ30-$I30)))))</f>
        <v/>
      </c>
      <c r="BB30" s="68">
        <f>IF($U30=0,0,IF($F30=4,0,IF($F30=3,0,IF(OR(9&gt;$R30,BA30&lt;=$I30),BA30,BA30-MIN(INT(ROUND(IF($F30=1,$C30*$J30,IF(EZ30&gt;0,EZ30*$K30,BA30*$J30))*IF(9=$R30,$S30,12)/12,6)+$B$4),BA30-$I30)))))</f>
        <v/>
      </c>
      <c r="BC30" s="68">
        <f>IF($U30=0,0,IF($F30=4,0,IF($F30=3,0,IF(OR(10&gt;$R30,BB30&lt;=$I30),BB30,BB30-MIN(INT(ROUND(IF($F30=1,$C30*$J30,IF(FA30&gt;0,FA30*$K30,BB30*$J30))*IF(10=$R30,$S30,12)/12,6)+$B$4),BB30-$I30)))))</f>
        <v/>
      </c>
      <c r="BD30" s="68">
        <f>IF($U30=0,0,IF($F30=4,0,IF($F30=3,0,IF(OR(11&gt;$R30,BC30&lt;=$I30),BC30,BC30-MIN(INT(ROUND(IF($F30=1,$C30*$J30,IF(FB30&gt;0,FB30*$K30,BC30*$J30))*IF(11=$R30,$S30,12)/12,6)+$B$4),BC30-$I30)))))</f>
        <v/>
      </c>
      <c r="BE30" s="68">
        <f>IF($U30=0,0,IF($F30=4,0,IF($F30=3,0,IF(OR(12&gt;$R30,BD30&lt;=$I30),BD30,BD30-MIN(INT(ROUND(IF($F30=1,$C30*$J30,IF(FC30&gt;0,FC30*$K30,BD30*$J30))*IF(12=$R30,$S30,12)/12,6)+$B$4),BD30-$I30)))))</f>
        <v/>
      </c>
      <c r="BF30" s="68">
        <f>IF($U30=0,0,IF($F30=4,0,IF($F30=3,0,IF(OR(13&gt;$R30,BE30&lt;=$I30),BE30,BE30-MIN(INT(ROUND(IF($F30=1,$C30*$J30,IF(FD30&gt;0,FD30*$K30,BE30*$J30))*IF(13=$R30,$S30,12)/12,6)+$B$4),BE30-$I30)))))</f>
        <v/>
      </c>
      <c r="BG30" s="68">
        <f>IF($U30=0,0,IF($F30=4,0,IF($F30=3,0,IF(OR(14&gt;$R30,BF30&lt;=$I30),BF30,BF30-MIN(INT(ROUND(IF($F30=1,$C30*$J30,IF(FE30&gt;0,FE30*$K30,BF30*$J30))*IF(14=$R30,$S30,12)/12,6)+$B$4),BF30-$I30)))))</f>
        <v/>
      </c>
      <c r="BH30" s="68">
        <f>IF($U30=0,0,IF($F30=4,0,IF($F30=3,0,IF(OR(15&gt;$R30,BG30&lt;=$I30),BG30,BG30-MIN(INT(ROUND(IF($F30=1,$C30*$J30,IF(FF30&gt;0,FF30*$K30,BG30*$J30))*IF(15=$R30,$S30,12)/12,6)+$B$4),BG30-$I30)))))</f>
        <v/>
      </c>
      <c r="BI30" s="68">
        <f>IF($U30=0,0,IF($F30=4,0,IF($F30=3,0,IF(OR(16&gt;$R30,BH30&lt;=$I30),BH30,BH30-MIN(INT(ROUND(IF($F30=1,$C30*$J30,IF(FG30&gt;0,FG30*$K30,BH30*$J30))*IF(16=$R30,$S30,12)/12,6)+$B$4),BH30-$I30)))))</f>
        <v/>
      </c>
      <c r="BJ30" s="68">
        <f>IF($U30=0,0,IF($F30=4,0,IF($F30=3,0,IF(OR(17&gt;$R30,BI30&lt;=$I30),BI30,BI30-MIN(INT(ROUND(IF($F30=1,$C30*$J30,IF(FH30&gt;0,FH30*$K30,BI30*$J30))*IF(17=$R30,$S30,12)/12,6)+$B$4),BI30-$I30)))))</f>
        <v/>
      </c>
      <c r="BK30" s="68">
        <f>IF($U30=0,0,IF($F30=4,0,IF($F30=3,0,IF(OR(18&gt;$R30,BJ30&lt;=$I30),BJ30,BJ30-MIN(INT(ROUND(IF($F30=1,$C30*$J30,IF(FI30&gt;0,FI30*$K30,BJ30*$J30))*IF(18=$R30,$S30,12)/12,6)+$B$4),BJ30-$I30)))))</f>
        <v/>
      </c>
      <c r="BL30" s="68">
        <f>IF($U30=0,0,IF($F30=4,0,IF($F30=3,0,IF(OR(19&gt;$R30,BK30&lt;=$I30),BK30,BK30-MIN(INT(ROUND(IF($F30=1,$C30*$J30,IF(FJ30&gt;0,FJ30*$K30,BK30*$J30))*IF(19=$R30,$S30,12)/12,6)+$B$4),BK30-$I30)))))</f>
        <v/>
      </c>
      <c r="BM30" s="68">
        <f>IF($U30=0,0,IF($F30=4,0,IF($F30=3,0,IF(OR(20&gt;$R30,BL30&lt;=$I30),BL30,BL30-MIN(INT(ROUND(IF($F30=1,$C30*$J30,IF(FK30&gt;0,FK30*$K30,BL30*$J30))*IF(20=$R30,$S30,12)/12,6)+$B$4),BL30-$I30)))))</f>
        <v/>
      </c>
      <c r="BN30" s="68">
        <f>IF($U30=0,0,IF($F30=4,0,IF($F30=3,0,IF(OR(21&gt;$R30,BM30&lt;=$I30),BM30,BM30-MIN(INT(ROUND(IF($F30=1,$C30*$J30,IF(FL30&gt;0,FL30*$K30,BM30*$J30))*IF(21=$R30,$S30,12)/12,6)+$B$4),BM30-$I30)))))</f>
        <v/>
      </c>
      <c r="BO30" s="68">
        <f>IF($U30=0,0,IF($F30=4,0,IF($F30=3,0,IF(OR(22&gt;$R30,BN30&lt;=$I30),BN30,BN30-MIN(INT(ROUND(IF($F30=1,$C30*$J30,IF(FM30&gt;0,FM30*$K30,BN30*$J30))*IF(22=$R30,$S30,12)/12,6)+$B$4),BN30-$I30)))))</f>
        <v/>
      </c>
      <c r="BP30" s="68">
        <f>IF($U30=0,0,IF($F30=4,0,IF($F30=3,0,IF(OR(23&gt;$R30,BO30&lt;=$I30),BO30,BO30-MIN(INT(ROUND(IF($F30=1,$C30*$J30,IF(FN30&gt;0,FN30*$K30,BO30*$J30))*IF(23=$R30,$S30,12)/12,6)+$B$4),BO30-$I30)))))</f>
        <v/>
      </c>
      <c r="BQ30" s="68">
        <f>IF($U30=0,0,IF($F30=4,0,IF($F30=3,0,IF(OR(24&gt;$R30,BP30&lt;=$I30),BP30,BP30-MIN(INT(ROUND(IF($F30=1,$C30*$J30,IF(FO30&gt;0,FO30*$K30,BP30*$J30))*IF(24=$R30,$S30,12)/12,6)+$B$4),BP30-$I30)))))</f>
        <v/>
      </c>
      <c r="BR30" s="68">
        <f>IF($U30=0,0,IF($F30=4,0,IF($F30=3,0,IF(OR(25&gt;$R30,BQ30&lt;=$I30),BQ30,BQ30-MIN(INT(ROUND(IF($F30=1,$C30*$J30,IF(FP30&gt;0,FP30*$K30,BQ30*$J30))*IF(25=$R30,$S30,12)/12,6)+$B$4),BQ30-$I30)))))</f>
        <v/>
      </c>
      <c r="BS30" s="68">
        <f>IF($U30=0,0,IF($F30=4,0,IF($F30=3,0,IF(OR(26&gt;$R30,BR30&lt;=$I30),BR30,BR30-MIN(INT(ROUND(IF($F30=1,$C30*$J30,IF(FQ30&gt;0,FQ30*$K30,BR30*$J30))*IF(26=$R30,$S30,12)/12,6)+$B$4),BR30-$I30)))))</f>
        <v/>
      </c>
      <c r="BT30" s="68">
        <f>IF($U30=0,0,IF($F30=4,0,IF($F30=3,0,IF(OR(27&gt;$R30,BS30&lt;=$I30),BS30,BS30-MIN(INT(ROUND(IF($F30=1,$C30*$J30,IF(FR30&gt;0,FR30*$K30,BS30*$J30))*IF(27=$R30,$S30,12)/12,6)+$B$4),BS30-$I30)))))</f>
        <v/>
      </c>
      <c r="BU30" s="68">
        <f>IF($U30=0,0,IF($F30=4,0,IF($F30=3,0,IF(OR(28&gt;$R30,BT30&lt;=$I30),BT30,BT30-MIN(INT(ROUND(IF($F30=1,$C30*$J30,IF(FS30&gt;0,FS30*$K30,BT30*$J30))*IF(28=$R30,$S30,12)/12,6)+$B$4),BT30-$I30)))))</f>
        <v/>
      </c>
      <c r="BV30" s="68">
        <f>IF($U30=0,0,IF($F30=4,0,IF($F30=3,0,IF(OR(29&gt;$R30,BU30&lt;=$I30),BU30,BU30-MIN(INT(ROUND(IF($F30=1,$C30*$J30,IF(FT30&gt;0,FT30*$K30,BU30*$J30))*IF(29=$R30,$S30,12)/12,6)+$B$4),BU30-$I30)))))</f>
        <v/>
      </c>
      <c r="BW30" s="68">
        <f>IF($U30=0,0,IF($F30=4,0,IF($F30=3,0,IF(OR(30&gt;$R30,BV30&lt;=$I30),BV30,BV30-MIN(INT(ROUND(IF($F30=1,$C30*$J30,IF(FU30&gt;0,FU30*$K30,BV30*$J30))*IF(30=$R30,$S30,12)/12,6)+$B$4),BV30-$I30)))))</f>
        <v/>
      </c>
      <c r="BX30" s="68">
        <f>IF($U30=0,0,IF($F30=4,0,IF($F30=3,0,IF(OR(31&gt;$R30,BW30&lt;=$I30),BW30,BW30-MIN(INT(ROUND(IF($F30=1,$C30*$J30,IF(FV30&gt;0,FV30*$K30,BW30*$J30))*IF(31=$R30,$S30,12)/12,6)+$B$4),BW30-$I30)))))</f>
        <v/>
      </c>
      <c r="BY30" s="68">
        <f>IF($U30=0,0,IF($F30=4,0,IF($F30=3,0,IF(OR(32&gt;$R30,BX30&lt;=$I30),BX30,BX30-MIN(INT(ROUND(IF($F30=1,$C30*$J30,IF(FW30&gt;0,FW30*$K30,BX30*$J30))*IF(32=$R30,$S30,12)/12,6)+$B$4),BX30-$I30)))))</f>
        <v/>
      </c>
      <c r="BZ30" s="68">
        <f>IF($U30=0,0,IF($F30=4,0,IF($F30=3,0,IF(OR(33&gt;$R30,BY30&lt;=$I30),BY30,BY30-MIN(INT(ROUND(IF($F30=1,$C30*$J30,IF(FX30&gt;0,FX30*$K30,BY30*$J30))*IF(33=$R30,$S30,12)/12,6)+$B$4),BY30-$I30)))))</f>
        <v/>
      </c>
      <c r="CA30" s="68">
        <f>IF($U30=0,0,IF($F30=4,0,IF($F30=3,0,IF(OR(34&gt;$R30,BZ30&lt;=$I30),BZ30,BZ30-MIN(INT(ROUND(IF($F30=1,$C30*$J30,IF(FY30&gt;0,FY30*$K30,BZ30*$J30))*IF(34=$R30,$S30,12)/12,6)+$B$4),BZ30-$I30)))))</f>
        <v/>
      </c>
      <c r="CB30" s="68">
        <f>IF($U30=0,0,IF($F30=4,0,IF($F30=3,0,IF(OR(35&gt;$R30,CA30&lt;=$I30),CA30,CA30-MIN(INT(ROUND(IF($F30=1,$C30*$J30,IF(FZ30&gt;0,FZ30*$K30,CA30*$J30))*IF(35=$R30,$S30,12)/12,6)+$B$4),CA30-$I30)))))</f>
        <v/>
      </c>
      <c r="CC30" s="68">
        <f>IF($U30=0,0,IF($F30=4,0,IF($F30=3,0,IF(OR(36&gt;$R30,CB30&lt;=$I30),CB30,CB30-MIN(INT(ROUND(IF($F30=1,$C30*$J30,IF(GA30&gt;0,GA30*$K30,CB30*$J30))*IF(36=$R30,$S30,12)/12,6)+$B$4),CB30-$I30)))))</f>
        <v/>
      </c>
      <c r="CD30" s="68">
        <f>IF($U30=0,0,IF($F30=4,0,IF($F30=3,0,IF(OR(37&gt;$R30,CC30&lt;=$I30),CC30,CC30-MIN(INT(ROUND(IF($F30=1,$C30*$J30,IF(GB30&gt;0,GB30*$K30,CC30*$J30))*IF(37=$R30,$S30,12)/12,6)+$B$4),CC30-$I30)))))</f>
        <v/>
      </c>
      <c r="CE30" s="68">
        <f>IF($U30=0,0,IF($F30=4,0,IF($F30=3,0,IF(OR(38&gt;$R30,CD30&lt;=$I30),CD30,CD30-MIN(INT(ROUND(IF($F30=1,$C30*$J30,IF(GC30&gt;0,GC30*$K30,CD30*$J30))*IF(38=$R30,$S30,12)/12,6)+$B$4),CD30-$I30)))))</f>
        <v/>
      </c>
      <c r="CF30" s="68">
        <f>IF($U30=0,0,IF($F30=4,0,IF($F30=3,0,IF(OR(39&gt;$R30,CE30&lt;=$I30),CE30,CE30-MIN(INT(ROUND(IF($F30=1,$C30*$J30,IF(GD30&gt;0,GD30*$K30,CE30*$J30))*IF(39=$R30,$S30,12)/12,6)+$B$4),CE30-$I30)))))</f>
        <v/>
      </c>
      <c r="CG30" s="68">
        <f>IF($U30=0,0,IF($F30=4,0,IF($F30=3,0,IF(OR(40&gt;$R30,CF30&lt;=$I30),CF30,CF30-MIN(INT(ROUND(IF($F30=1,$C30*$J30,IF(GE30&gt;0,GE30*$K30,CF30*$J30))*IF(40=$R30,$S30,12)/12,6)+$B$4),CF30-$I30)))))</f>
        <v/>
      </c>
      <c r="CH30" s="68">
        <f>IF($U30=0,0,IF($F30=4,0,IF($F30=3,0,IF(OR(41&gt;$R30,CG30&lt;=$I30),CG30,CG30-MIN(INT(ROUND(IF($F30=1,$C30*$J30,IF(GF30&gt;0,GF30*$K30,CG30*$J30))*IF(41=$R30,$S30,12)/12,6)+$B$4),CG30-$I30)))))</f>
        <v/>
      </c>
      <c r="CI30" s="68">
        <f>IF($U30=0,0,IF($F30=4,0,IF($F30=3,0,IF(OR(42&gt;$R30,CH30&lt;=$I30),CH30,CH30-MIN(INT(ROUND(IF($F30=1,$C30*$J30,IF(GG30&gt;0,GG30*$K30,CH30*$J30))*IF(42=$R30,$S30,12)/12,6)+$B$4),CH30-$I30)))))</f>
        <v/>
      </c>
      <c r="CJ30" s="68">
        <f>IF($U30=0,0,IF($F30=4,0,IF($F30=3,0,IF(OR(43&gt;$R30,CI30&lt;=$I30),CI30,CI30-MIN(INT(ROUND(IF($F30=1,$C30*$J30,IF(GH30&gt;0,GH30*$K30,CI30*$J30))*IF(43=$R30,$S30,12)/12,6)+$B$4),CI30-$I30)))))</f>
        <v/>
      </c>
      <c r="CK30" s="68">
        <f>IF($U30=0,0,IF($F30=4,0,IF($F30=3,0,IF(OR(44&gt;$R30,CJ30&lt;=$I30),CJ30,CJ30-MIN(INT(ROUND(IF($F30=1,$C30*$J30,IF(GI30&gt;0,GI30*$K30,CJ30*$J30))*IF(44=$R30,$S30,12)/12,6)+$B$4),CJ30-$I30)))))</f>
        <v/>
      </c>
      <c r="CL30" s="68">
        <f>IF($U30=0,0,IF($F30=4,0,IF($F30=3,0,IF(OR(45&gt;$R30,CK30&lt;=$I30),CK30,CK30-MIN(INT(ROUND(IF($F30=1,$C30*$J30,IF(GJ30&gt;0,GJ30*$K30,CK30*$J30))*IF(45=$R30,$S30,12)/12,6)+$B$4),CK30-$I30)))))</f>
        <v/>
      </c>
      <c r="CM30" s="68">
        <f>IF($U30=0,0,IF($F30=4,0,IF($F30=3,0,IF(OR(46&gt;$R30,CL30&lt;=$I30),CL30,CL30-MIN(INT(ROUND(IF($F30=1,$C30*$J30,IF(GK30&gt;0,GK30*$K30,CL30*$J30))*IF(46=$R30,$S30,12)/12,6)+$B$4),CL30-$I30)))))</f>
        <v/>
      </c>
      <c r="CN30" s="68">
        <f>IF($U30=0,0,IF($F30=4,0,IF($F30=3,0,IF(OR(47&gt;$R30,CM30&lt;=$I30),CM30,CM30-MIN(INT(ROUND(IF($F30=1,$C30*$J30,IF(GL30&gt;0,GL30*$K30,CM30*$J30))*IF(47=$R30,$S30,12)/12,6)+$B$4),CM30-$I30)))))</f>
        <v/>
      </c>
      <c r="CO30" s="68">
        <f>IF($U30=0,0,IF($F30=4,0,IF($F30=3,0,IF(OR(48&gt;$R30,CN30&lt;=$I30),CN30,CN30-MIN(INT(ROUND(IF($F30=1,$C30*$J30,IF(GM30&gt;0,GM30*$K30,CN30*$J30))*IF(48=$R30,$S30,12)/12,6)+$B$4),CN30-$I30)))))</f>
        <v/>
      </c>
      <c r="CP30" s="68">
        <f>IF($U30=0,0,IF($F30=4,0,IF($F30=3,0,IF(OR(49&gt;$R30,CO30&lt;=$I30),CO30,CO30-MIN(INT(ROUND(IF($F30=1,$C30*$J30,IF(GN30&gt;0,GN30*$K30,CO30*$J30))*IF(49=$R30,$S30,12)/12,6)+$B$4),CO30-$I30)))))</f>
        <v/>
      </c>
      <c r="CQ30" s="68">
        <f>IF($U30=0,0,IF($F30=4,0,IF($F30=3,0,IF(OR(50&gt;$R30,CP30&lt;=$I30),CP30,CP30-MIN(INT(ROUND(IF($F30=1,$C30*$J30,IF(GO30&gt;0,GO30*$K30,CP30*$J30))*IF(50=$R30,$S30,12)/12,6)+$B$4),CP30-$I30)))))</f>
        <v/>
      </c>
      <c r="CR30" s="68">
        <f>IF($U30=0,0,IF($F30=4,0,IF($F30=3,0,IF(OR(51&gt;$R30,CQ30&lt;=$I30),CQ30,CQ30-MIN(INT(ROUND(IF($F30=1,$C30*$J30,IF(GP30&gt;0,GP30*$K30,CQ30*$J30))*IF(51=$R30,$S30,12)/12,6)+$B$4),CQ30-$I30)))))</f>
        <v/>
      </c>
      <c r="CS30" s="68">
        <f>IF($U30=0,0,IF($F30=4,0,IF($F30=3,0,IF(OR(52&gt;$R30,CR30&lt;=$I30),CR30,CR30-MIN(INT(ROUND(IF($F30=1,$C30*$J30,IF(GQ30&gt;0,GQ30*$K30,CR30*$J30))*IF(52=$R30,$S30,12)/12,6)+$B$4),CR30-$I30)))))</f>
        <v/>
      </c>
      <c r="CT30" s="68">
        <f>IF($U30=0,0,IF($F30=4,0,IF($F30=3,0,IF(OR(53&gt;$R30,CS30&lt;=$I30),CS30,CS30-MIN(INT(ROUND(IF($F30=1,$C30*$J30,IF(GR30&gt;0,GR30*$K30,CS30*$J30))*IF(53=$R30,$S30,12)/12,6)+$B$4),CS30-$I30)))))</f>
        <v/>
      </c>
      <c r="CU30" s="68">
        <f>IF($U30=0,0,IF($F30=4,0,IF($F30=3,0,IF(OR(54&gt;$R30,CT30&lt;=$I30),CT30,CT30-MIN(INT(ROUND(IF($F30=1,$C30*$J30,IF(GS30&gt;0,GS30*$K30,CT30*$J30))*IF(54=$R30,$S30,12)/12,6)+$B$4),CT30-$I30)))))</f>
        <v/>
      </c>
      <c r="CV30" s="68">
        <f>IF($U30=0,0,IF($F30=4,0,IF($F30=3,0,IF(OR(55&gt;$R30,CU30&lt;=$I30),CU30,CU30-MIN(INT(ROUND(IF($F30=1,$C30*$J30,IF(GT30&gt;0,GT30*$K30,CU30*$J30))*IF(55=$R30,$S30,12)/12,6)+$B$4),CU30-$I30)))))</f>
        <v/>
      </c>
      <c r="CW30" s="68">
        <f>IF($U30=0,0,IF($F30=4,0,IF($F30=3,0,IF(OR(56&gt;$R30,CV30&lt;=$I30),CV30,CV30-MIN(INT(ROUND(IF($F30=1,$C30*$J30,IF(GU30&gt;0,GU30*$K30,CV30*$J30))*IF(56=$R30,$S30,12)/12,6)+$B$4),CV30-$I30)))))</f>
        <v/>
      </c>
      <c r="CX30" s="68">
        <f>IF($U30=0,0,IF($F30=4,0,IF($F30=3,0,IF(OR(57&gt;$R30,CW30&lt;=$I30),CW30,CW30-MIN(INT(ROUND(IF($F30=1,$C30*$J30,IF(GV30&gt;0,GV30*$K30,CW30*$J30))*IF(57=$R30,$S30,12)/12,6)+$B$4),CW30-$I30)))))</f>
        <v/>
      </c>
      <c r="CY30" s="68">
        <f>IF($U30=0,0,IF($F30=4,0,IF($F30=3,0,IF(OR(58&gt;$R30,CX30&lt;=$I30),CX30,CX30-MIN(INT(ROUND(IF($F30=1,$C30*$J30,IF(GW30&gt;0,GW30*$K30,CX30*$J30))*IF(58=$R30,$S30,12)/12,6)+$B$4),CX30-$I30)))))</f>
        <v/>
      </c>
      <c r="CZ30" s="68">
        <f>IF($U30=0,0,IF($F30=4,0,IF($F30=3,0,IF(OR(59&gt;$R30,CY30&lt;=$I30),CY30,CY30-MIN(INT(ROUND(IF($F30=1,$C30*$J30,IF(GX30&gt;0,GX30*$K30,CY30*$J30))*IF(59=$R30,$S30,12)/12,6)+$B$4),CY30-$I30)))))</f>
        <v/>
      </c>
      <c r="DA30" s="68">
        <f>IF($U30=0,0,IF($F30=4,0,IF($F30=3,0,IF(OR(60&gt;$R30,CZ30&lt;=$I30),CZ30,CZ30-MIN(INT(ROUND(IF($F30=1,$C30*$J30,IF(GY30&gt;0,GY30*$K30,CZ30*$J30))*IF(60=$R30,$S30,12)/12,6)+$B$4),CZ30-$I30)))))</f>
        <v/>
      </c>
      <c r="DB30" s="68">
        <f>IF($U30=0,0,IF($F30=4,0,IF($F30=3,0,IF(OR(61&gt;$R30,DA30&lt;=$I30),DA30,DA30-MIN(INT(ROUND(IF($F30=1,$C30*$J30,IF(GZ30&gt;0,GZ30*$K30,DA30*$J30))*IF(61=$R30,$S30,12)/12,6)+$B$4),DA30-$I30)))))</f>
        <v/>
      </c>
      <c r="DC30" s="68">
        <f>IF($U30=0,0,IF($F30=4,0,IF($F30=3,0,IF(OR(62&gt;$R30,DB30&lt;=$I30),DB30,DB30-MIN(INT(ROUND(IF($F30=1,$C30*$J30,IF(HA30&gt;0,HA30*$K30,DB30*$J30))*IF(62=$R30,$S30,12)/12,6)+$B$4),DB30-$I30)))))</f>
        <v/>
      </c>
      <c r="DD30" s="68">
        <f>IF($U30=0,0,IF($F30=4,0,IF($F30=3,0,IF(OR(63&gt;$R30,DC30&lt;=$I30),DC30,DC30-MIN(INT(ROUND(IF($F30=1,$C30*$J30,IF(HB30&gt;0,HB30*$K30,DC30*$J30))*IF(63=$R30,$S30,12)/12,6)+$B$4),DC30-$I30)))))</f>
        <v/>
      </c>
      <c r="DE30" s="68">
        <f>IF($U30=0,0,IF($F30=4,0,IF($F30=3,0,IF(OR(64&gt;$R30,DD30&lt;=$I30),DD30,DD30-MIN(INT(ROUND(IF($F30=1,$C30*$J30,IF(HC30&gt;0,HC30*$K30,DD30*$J30))*IF(64=$R30,$S30,12)/12,6)+$B$4),DD30-$I30)))))</f>
        <v/>
      </c>
      <c r="DF30" s="68">
        <f>IF($U30=0,0,IF($F30=4,0,IF($F30=3,0,IF(OR(65&gt;$R30,DE30&lt;=$I30),DE30,DE30-MIN(INT(ROUND(IF($F30=1,$C30*$J30,IF(HD30&gt;0,HD30*$K30,DE30*$J30))*IF(65=$R30,$S30,12)/12,6)+$B$4),DE30-$I30)))))</f>
        <v/>
      </c>
      <c r="DG30" s="68">
        <f>IF($U30=0,0,IF($F30=4,0,IF($F30=3,0,IF(OR(66&gt;$R30,DF30&lt;=$I30),DF30,DF30-MIN(INT(ROUND(IF($F30=1,$C30*$J30,IF(HE30&gt;0,HE30*$K30,DF30*$J30))*IF(66=$R30,$S30,12)/12,6)+$B$4),DF30-$I30)))))</f>
        <v/>
      </c>
      <c r="DH30" s="68">
        <f>IF($U30=0,0,IF($F30=4,0,IF($F30=3,0,IF(OR(67&gt;$R30,DG30&lt;=$I30),DG30,DG30-MIN(INT(ROUND(IF($F30=1,$C30*$J30,IF(HF30&gt;0,HF30*$K30,DG30*$J30))*IF(67=$R30,$S30,12)/12,6)+$B$4),DG30-$I30)))))</f>
        <v/>
      </c>
      <c r="DI30" s="68">
        <f>IF($U30=0,0,IF($F30=4,0,IF($F30=3,0,IF(OR(68&gt;$R30,DH30&lt;=$I30),DH30,DH30-MIN(INT(ROUND(IF($F30=1,$C30*$J30,IF(HG30&gt;0,HG30*$K30,DH30*$J30))*IF(68=$R30,$S30,12)/12,6)+$B$4),DH30-$I30)))))</f>
        <v/>
      </c>
      <c r="DJ30" s="68">
        <f>IF($U30=0,0,IF($F30=4,0,IF($F30=3,0,IF(OR(69&gt;$R30,DI30&lt;=$I30),DI30,DI30-MIN(INT(ROUND(IF($F30=1,$C30*$J30,IF(HH30&gt;0,HH30*$K30,DI30*$J30))*IF(69=$R30,$S30,12)/12,6)+$B$4),DI30-$I30)))))</f>
        <v/>
      </c>
      <c r="DK30" s="68">
        <f>IF($U30=0,0,IF($F30=4,0,IF($F30=3,0,IF(OR(70&gt;$R30,DJ30&lt;=$I30),DJ30,DJ30-MIN(INT(ROUND(IF($F30=1,$C30*$J30,IF(HI30&gt;0,HI30*$K30,DJ30*$J30))*IF(70=$R30,$S30,12)/12,6)+$B$4),DJ30-$I30)))))</f>
        <v/>
      </c>
      <c r="DL30" s="68">
        <f>IF($U30=0,0,IF($F30=4,0,IF($F30=3,0,IF(OR(71&gt;$R30,DK30&lt;=$I30),DK30,DK30-MIN(INT(ROUND(IF($F30=1,$C30*$J30,IF(HJ30&gt;0,HJ30*$K30,DK30*$J30))*IF(71=$R30,$S30,12)/12,6)+$B$4),DK30-$I30)))))</f>
        <v/>
      </c>
      <c r="DM30" s="68">
        <f>IF($U30=0,0,IF($F30=4,0,IF($F30=3,0,IF(OR(72&gt;$R30,DL30&lt;=$I30),DL30,DL30-MIN(INT(ROUND(IF($F30=1,$C30*$J30,IF(HK30&gt;0,HK30*$K30,DL30*$J30))*IF(72=$R30,$S30,12)/12,6)+$B$4),DL30-$I30)))))</f>
        <v/>
      </c>
      <c r="DN30" s="68">
        <f>IF($U30=0,0,IF($F30=4,0,IF($F30=3,0,IF(OR(73&gt;$R30,DM30&lt;=$I30),DM30,DM30-MIN(INT(ROUND(IF($F30=1,$C30*$J30,IF(HL30&gt;0,HL30*$K30,DM30*$J30))*IF(73=$R30,$S30,12)/12,6)+$B$4),DM30-$I30)))))</f>
        <v/>
      </c>
      <c r="DO30" s="68">
        <f>IF($U30=0,0,IF($F30=4,0,IF($F30=3,0,IF(OR(74&gt;$R30,DN30&lt;=$I30),DN30,DN30-MIN(INT(ROUND(IF($F30=1,$C30*$J30,IF(HM30&gt;0,HM30*$K30,DN30*$J30))*IF(74=$R30,$S30,12)/12,6)+$B$4),DN30-$I30)))))</f>
        <v/>
      </c>
      <c r="DP30" s="68">
        <f>IF($U30=0,0,IF($F30=4,0,IF($F30=3,0,IF(OR(75&gt;$R30,DO30&lt;=$I30),DO30,DO30-MIN(INT(ROUND(IF($F30=1,$C30*$J30,IF(HN30&gt;0,HN30*$K30,DO30*$J30))*IF(75=$R30,$S30,12)/12,6)+$B$4),DO30-$I30)))))</f>
        <v/>
      </c>
      <c r="DQ30" s="68">
        <f>IF($U30=0,0,IF($F30=4,0,IF($F30=3,0,IF(OR(76&gt;$R30,DP30&lt;=$I30),DP30,DP30-MIN(INT(ROUND(IF($F30=1,$C30*$J30,IF(HO30&gt;0,HO30*$K30,DP30*$J30))*IF(76=$R30,$S30,12)/12,6)+$B$4),DP30-$I30)))))</f>
        <v/>
      </c>
      <c r="DR30" s="68">
        <f>IF($U30=0,0,IF($F30=4,0,IF($F30=3,0,IF(OR(77&gt;$R30,DQ30&lt;=$I30),DQ30,DQ30-MIN(INT(ROUND(IF($F30=1,$C30*$J30,IF(HP30&gt;0,HP30*$K30,DQ30*$J30))*IF(77=$R30,$S30,12)/12,6)+$B$4),DQ30-$I30)))))</f>
        <v/>
      </c>
      <c r="DS30" s="68">
        <f>IF($U30=0,0,IF($F30=4,0,IF($F30=3,0,IF(OR(78&gt;$R30,DR30&lt;=$I30),DR30,DR30-MIN(INT(ROUND(IF($F30=1,$C30*$J30,IF(HQ30&gt;0,HQ30*$K30,DR30*$J30))*IF(78=$R30,$S30,12)/12,6)+$B$4),DR30-$I30)))))</f>
        <v/>
      </c>
      <c r="DT30" s="68">
        <f>IF($U30=0,0,IF($F30=4,0,IF($F30=3,0,IF(OR(79&gt;$R30,DS30&lt;=$I30),DS30,DS30-MIN(INT(ROUND(IF($F30=1,$C30*$J30,IF(HR30&gt;0,HR30*$K30,DS30*$J30))*IF(79=$R30,$S30,12)/12,6)+$B$4),DS30-$I30)))))</f>
        <v/>
      </c>
      <c r="DU30" s="68">
        <f>IF($U30=0,0,IF($F30=4,0,IF($F30=3,0,IF(OR(80&gt;$R30,DT30&lt;=$I30),DT30,DT30-MIN(INT(ROUND(IF($F30=1,$C30*$J30,IF(HS30&gt;0,HS30*$K30,DT30*$J30))*IF(80=$R30,$S30,12)/12,6)+$B$4),DT30-$I30)))))</f>
        <v/>
      </c>
      <c r="DV30" s="68">
        <f>IF($U30=0,0,IF($F30=4,0,IF($F30=3,0,IF(OR(81&gt;$R30,DU30&lt;=$I30),DU30,DU30-MIN(INT(ROUND(IF($F30=1,$C30*$J30,IF(HT30&gt;0,HT30*$K30,DU30*$J30))*IF(81=$R30,$S30,12)/12,6)+$B$4),DU30-$I30)))))</f>
        <v/>
      </c>
      <c r="DW30" s="68">
        <f>IF($U30=0,0,IF($F30=4,0,IF($F30=3,0,IF(OR(82&gt;$R30,DV30&lt;=$I30),DV30,DV30-MIN(INT(ROUND(IF($F30=1,$C30*$J30,IF(HU30&gt;0,HU30*$K30,DV30*$J30))*IF(82=$R30,$S30,12)/12,6)+$B$4),DV30-$I30)))))</f>
        <v/>
      </c>
      <c r="DX30" s="68">
        <f>IF($U30=0,0,IF($F30=4,0,IF($F30=3,0,IF(OR(83&gt;$R30,DW30&lt;=$I30),DW30,DW30-MIN(INT(ROUND(IF($F30=1,$C30*$J30,IF(HV30&gt;0,HV30*$K30,DW30*$J30))*IF(83=$R30,$S30,12)/12,6)+$B$4),DW30-$I30)))))</f>
        <v/>
      </c>
      <c r="DY30" s="68">
        <f>IF($U30=0,0,IF($F30=4,0,IF($F30=3,0,IF(OR(84&gt;$R30,DX30&lt;=$I30),DX30,DX30-MIN(INT(ROUND(IF($F30=1,$C30*$J30,IF(HW30&gt;0,HW30*$K30,DX30*$J30))*IF(84=$R30,$S30,12)/12,6)+$B$4),DX30-$I30)))))</f>
        <v/>
      </c>
      <c r="DZ30" s="68">
        <f>IF($U30=0,0,IF($F30=4,0,IF($F30=3,0,IF(OR(85&gt;$R30,DY30&lt;=$I30),DY30,DY30-MIN(INT(ROUND(IF($F30=1,$C30*$J30,IF(HX30&gt;0,HX30*$K30,DY30*$J30))*IF(85=$R30,$S30,12)/12,6)+$B$4),DY30-$I30)))))</f>
        <v/>
      </c>
      <c r="EA30" s="68">
        <f>IF($U30=0,0,IF($F30=4,0,IF($F30=3,0,IF(OR(86&gt;$R30,DZ30&lt;=$I30),DZ30,DZ30-MIN(INT(ROUND(IF($F30=1,$C30*$J30,IF(HY30&gt;0,HY30*$K30,DZ30*$J30))*IF(86=$R30,$S30,12)/12,6)+$B$4),DZ30-$I30)))))</f>
        <v/>
      </c>
      <c r="EB30" s="68">
        <f>IF($U30=0,0,IF($F30=4,0,IF($F30=3,0,IF(OR(87&gt;$R30,EA30&lt;=$I30),EA30,EA30-MIN(INT(ROUND(IF($F30=1,$C30*$J30,IF(HZ30&gt;0,HZ30*$K30,EA30*$J30))*IF(87=$R30,$S30,12)/12,6)+$B$4),EA30-$I30)))))</f>
        <v/>
      </c>
      <c r="EC30" s="68">
        <f>IF($U30=0,0,IF($F30=4,0,IF($F30=3,0,IF(OR(88&gt;$R30,EB30&lt;=$I30),EB30,EB30-MIN(INT(ROUND(IF($F30=1,$C30*$J30,IF(IA30&gt;0,IA30*$K30,EB30*$J30))*IF(88=$R30,$S30,12)/12,6)+$B$4),EB30-$I30)))))</f>
        <v/>
      </c>
      <c r="ED30" s="68">
        <f>IF($U30=0,0,IF($F30=4,0,IF($F30=3,0,IF(OR(89&gt;$R30,EC30&lt;=$I30),EC30,EC30-MIN(INT(ROUND(IF($F30=1,$C30*$J30,IF(IB30&gt;0,IB30*$K30,EC30*$J30))*IF(89=$R30,$S30,12)/12,6)+$B$4),EC30-$I30)))))</f>
        <v/>
      </c>
      <c r="EE30" s="68">
        <f>IF($U30=0,0,IF($F30=4,0,IF($F30=3,0,IF(OR(90&gt;$R30,ED30&lt;=$I30),ED30,ED30-MIN(INT(ROUND(IF($F30=1,$C30*$J30,IF(IC30&gt;0,IC30*$K30,ED30*$J30))*IF(90=$R30,$S30,12)/12,6)+$B$4),ED30-$I30)))))</f>
        <v/>
      </c>
      <c r="EF30" s="68">
        <f>IF($U30=0,0,IF($F30=4,0,IF($F30=3,0,IF(OR(91&gt;$R30,EE30&lt;=$I30),EE30,EE30-MIN(INT(ROUND(IF($F30=1,$C30*$J30,IF(ID30&gt;0,ID30*$K30,EE30*$J30))*IF(91=$R30,$S30,12)/12,6)+$B$4),EE30-$I30)))))</f>
        <v/>
      </c>
      <c r="EG30" s="68">
        <f>IF($U30=0,0,IF($F30=4,0,IF($F30=3,0,IF(OR(92&gt;$R30,EF30&lt;=$I30),EF30,EF30-MIN(INT(ROUND(IF($F30=1,$C30*$J30,IF(IE30&gt;0,IE30*$K30,EF30*$J30))*IF(92=$R30,$S30,12)/12,6)+$B$4),EF30-$I30)))))</f>
        <v/>
      </c>
      <c r="EH30" s="68">
        <f>IF($U30=0,0,IF($F30=4,0,IF($F30=3,0,IF(OR(93&gt;$R30,EG30&lt;=$I30),EG30,EG30-MIN(INT(ROUND(IF($F30=1,$C30*$J30,IF(IF30&gt;0,IF30*$K30,EG30*$J30))*IF(93=$R30,$S30,12)/12,6)+$B$4),EG30-$I30)))))</f>
        <v/>
      </c>
      <c r="EI30" s="68">
        <f>IF($U30=0,0,IF($F30=4,0,IF($F30=3,0,IF(OR(94&gt;$R30,EH30&lt;=$I30),EH30,EH30-MIN(INT(ROUND(IF($F30=1,$C30*$J30,IF(IG30&gt;0,IG30*$K30,EH30*$J30))*IF(94=$R30,$S30,12)/12,6)+$B$4),EH30-$I30)))))</f>
        <v/>
      </c>
      <c r="EJ30" s="68">
        <f>IF($U30=0,0,IF($F30=4,0,IF($F30=3,0,IF(OR(95&gt;$R30,EI30&lt;=$I30),EI30,EI30-MIN(INT(ROUND(IF($F30=1,$C30*$J30,IF(IH30&gt;0,IH30*$K30,EI30*$J30))*IF(95=$R30,$S30,12)/12,6)+$B$4),EI30-$I30)))))</f>
        <v/>
      </c>
      <c r="EK30" s="68">
        <f>IF($U30=0,0,IF($F30=4,0,IF($F30=3,0,IF(OR(96&gt;$R30,EJ30&lt;=$I30),EJ30,EJ30-MIN(INT(ROUND(IF($F30=1,$C30*$J30,IF(II30&gt;0,II30*$K30,EJ30*$J30))*IF(96=$R30,$S30,12)/12,6)+$B$4),EJ30-$I30)))))</f>
        <v/>
      </c>
      <c r="EL30" s="68">
        <f>IF($U30=0,0,IF($F30=4,0,IF($F30=3,0,IF(OR(97&gt;$R30,EK30&lt;=$I30),EK30,EK30-MIN(INT(ROUND(IF($F30=1,$C30*$J30,IF(IJ30&gt;0,IJ30*$K30,EK30*$J30))*IF(97=$R30,$S30,12)/12,6)+$B$4),EK30-$I30)))))</f>
        <v/>
      </c>
      <c r="EM30" s="68">
        <f>IF($U30=0,0,IF($F30=4,0,IF($F30=3,0,IF(OR(98&gt;$R30,EL30&lt;=$I30),EL30,EL30-MIN(INT(ROUND(IF($F30=1,$C30*$J30,IF(IK30&gt;0,IK30*$K30,EL30*$J30))*IF(98=$R30,$S30,12)/12,6)+$B$4),EL30-$I30)))))</f>
        <v/>
      </c>
      <c r="EN30" s="68">
        <f>IF($U30=0,0,IF($F30=4,0,IF($F30=3,0,IF(OR(99&gt;$R30,EM30&lt;=$I30),EM30,EM30-MIN(INT(ROUND(IF($F30=1,$C30*$J30,IF(IL30&gt;0,IL30*$K30,EM30*$J30))*IF(99=$R30,$S30,12)/12,6)+$B$4),EM30-$I30)))))</f>
        <v/>
      </c>
      <c r="EO30" s="68">
        <f>IF($U30=0,0,IF($F30=4,0,IF($F30=3,0,IF(OR(100&gt;$R30,EN30&lt;=$I30),EN30,EN30-MIN(INT(ROUND(IF($F30=1,$C30*$J30,IF(IM30&gt;0,IM30*$K30,EN30*$J30))*IF(100=$R30,$S30,12)/12,6)+$B$4),EN30-$I30)))))</f>
        <v/>
      </c>
      <c r="EP30" s="68">
        <f>IF($U30=0,0,IF($F30=4,0,IF($F30=3,0,IF(OR(101&gt;$R30,EO30&lt;=$I30),EO30,EO30-MIN(INT(ROUND(IF($F30=1,$C30*$J30,IF(IN30&gt;0,IN30*$K30,EO30*$J30))*IF(101=$R30,$S30,12)/12,6)+$B$4),EO30-$I30)))))</f>
        <v/>
      </c>
      <c r="EQ30" s="68" t="n"/>
      <c r="ER30" s="68">
        <f>IF(OR($U30=0,$F30&lt;&gt;2),0,IF(ROUND(AS30*$J30,6)&lt;ROUND($M30,6),AS30,0))</f>
        <v/>
      </c>
      <c r="ES30" s="68">
        <f>IF(OR($U30=0,$F30&lt;&gt;2),0,IF(ER30&gt;0,ER30,IF(ROUND(AT30*$J30,6)&lt;ROUND($M30,6),AT30,0)))</f>
        <v/>
      </c>
      <c r="ET30" s="68">
        <f>IF(OR($U30=0,$F30&lt;&gt;2),0,IF(ES30&gt;0,ES30,IF(ROUND(AU30*$J30,6)&lt;ROUND($M30,6),AU30,0)))</f>
        <v/>
      </c>
      <c r="EU30" s="68">
        <f>IF(OR($U30=0,$F30&lt;&gt;2),0,IF(ET30&gt;0,ET30,IF(ROUND(AV30*$J30,6)&lt;ROUND($M30,6),AV30,0)))</f>
        <v/>
      </c>
      <c r="EV30" s="68">
        <f>IF(OR($U30=0,$F30&lt;&gt;2),0,IF(EU30&gt;0,EU30,IF(ROUND(AW30*$J30,6)&lt;ROUND($M30,6),AW30,0)))</f>
        <v/>
      </c>
      <c r="EW30" s="68">
        <f>IF(OR($U30=0,$F30&lt;&gt;2),0,IF(EV30&gt;0,EV30,IF(ROUND(AX30*$J30,6)&lt;ROUND($M30,6),AX30,0)))</f>
        <v/>
      </c>
      <c r="EX30" s="68">
        <f>IF(OR($U30=0,$F30&lt;&gt;2),0,IF(EW30&gt;0,EW30,IF(ROUND(AY30*$J30,6)&lt;ROUND($M30,6),AY30,0)))</f>
        <v/>
      </c>
      <c r="EY30" s="68">
        <f>IF(OR($U30=0,$F30&lt;&gt;2),0,IF(EX30&gt;0,EX30,IF(ROUND(AZ30*$J30,6)&lt;ROUND($M30,6),AZ30,0)))</f>
        <v/>
      </c>
      <c r="EZ30" s="68">
        <f>IF(OR($U30=0,$F30&lt;&gt;2),0,IF(EY30&gt;0,EY30,IF(ROUND(BA30*$J30,6)&lt;ROUND($M30,6),BA30,0)))</f>
        <v/>
      </c>
      <c r="FA30" s="68">
        <f>IF(OR($U30=0,$F30&lt;&gt;2),0,IF(EZ30&gt;0,EZ30,IF(ROUND(BB30*$J30,6)&lt;ROUND($M30,6),BB30,0)))</f>
        <v/>
      </c>
      <c r="FB30" s="68">
        <f>IF(OR($U30=0,$F30&lt;&gt;2),0,IF(FA30&gt;0,FA30,IF(ROUND(BC30*$J30,6)&lt;ROUND($M30,6),BC30,0)))</f>
        <v/>
      </c>
      <c r="FC30" s="68">
        <f>IF(OR($U30=0,$F30&lt;&gt;2),0,IF(FB30&gt;0,FB30,IF(ROUND(BD30*$J30,6)&lt;ROUND($M30,6),BD30,0)))</f>
        <v/>
      </c>
      <c r="FD30" s="68">
        <f>IF(OR($U30=0,$F30&lt;&gt;2),0,IF(FC30&gt;0,FC30,IF(ROUND(BE30*$J30,6)&lt;ROUND($M30,6),BE30,0)))</f>
        <v/>
      </c>
      <c r="FE30" s="68">
        <f>IF(OR($U30=0,$F30&lt;&gt;2),0,IF(FD30&gt;0,FD30,IF(ROUND(BF30*$J30,6)&lt;ROUND($M30,6),BF30,0)))</f>
        <v/>
      </c>
      <c r="FF30" s="68">
        <f>IF(OR($U30=0,$F30&lt;&gt;2),0,IF(FE30&gt;0,FE30,IF(ROUND(BG30*$J30,6)&lt;ROUND($M30,6),BG30,0)))</f>
        <v/>
      </c>
      <c r="FG30" s="68">
        <f>IF(OR($U30=0,$F30&lt;&gt;2),0,IF(FF30&gt;0,FF30,IF(ROUND(BH30*$J30,6)&lt;ROUND($M30,6),BH30,0)))</f>
        <v/>
      </c>
      <c r="FH30" s="68">
        <f>IF(OR($U30=0,$F30&lt;&gt;2),0,IF(FG30&gt;0,FG30,IF(ROUND(BI30*$J30,6)&lt;ROUND($M30,6),BI30,0)))</f>
        <v/>
      </c>
      <c r="FI30" s="68">
        <f>IF(OR($U30=0,$F30&lt;&gt;2),0,IF(FH30&gt;0,FH30,IF(ROUND(BJ30*$J30,6)&lt;ROUND($M30,6),BJ30,0)))</f>
        <v/>
      </c>
      <c r="FJ30" s="68">
        <f>IF(OR($U30=0,$F30&lt;&gt;2),0,IF(FI30&gt;0,FI30,IF(ROUND(BK30*$J30,6)&lt;ROUND($M30,6),BK30,0)))</f>
        <v/>
      </c>
      <c r="FK30" s="68">
        <f>IF(OR($U30=0,$F30&lt;&gt;2),0,IF(FJ30&gt;0,FJ30,IF(ROUND(BL30*$J30,6)&lt;ROUND($M30,6),BL30,0)))</f>
        <v/>
      </c>
      <c r="FL30" s="68">
        <f>IF(OR($U30=0,$F30&lt;&gt;2),0,IF(FK30&gt;0,FK30,IF(ROUND(BM30*$J30,6)&lt;ROUND($M30,6),BM30,0)))</f>
        <v/>
      </c>
      <c r="FM30" s="68">
        <f>IF(OR($U30=0,$F30&lt;&gt;2),0,IF(FL30&gt;0,FL30,IF(ROUND(BN30*$J30,6)&lt;ROUND($M30,6),BN30,0)))</f>
        <v/>
      </c>
      <c r="FN30" s="68">
        <f>IF(OR($U30=0,$F30&lt;&gt;2),0,IF(FM30&gt;0,FM30,IF(ROUND(BO30*$J30,6)&lt;ROUND($M30,6),BO30,0)))</f>
        <v/>
      </c>
      <c r="FO30" s="68">
        <f>IF(OR($U30=0,$F30&lt;&gt;2),0,IF(FN30&gt;0,FN30,IF(ROUND(BP30*$J30,6)&lt;ROUND($M30,6),BP30,0)))</f>
        <v/>
      </c>
      <c r="FP30" s="68">
        <f>IF(OR($U30=0,$F30&lt;&gt;2),0,IF(FO30&gt;0,FO30,IF(ROUND(BQ30*$J30,6)&lt;ROUND($M30,6),BQ30,0)))</f>
        <v/>
      </c>
      <c r="FQ30" s="68">
        <f>IF(OR($U30=0,$F30&lt;&gt;2),0,IF(FP30&gt;0,FP30,IF(ROUND(BR30*$J30,6)&lt;ROUND($M30,6),BR30,0)))</f>
        <v/>
      </c>
      <c r="FR30" s="68">
        <f>IF(OR($U30=0,$F30&lt;&gt;2),0,IF(FQ30&gt;0,FQ30,IF(ROUND(BS30*$J30,6)&lt;ROUND($M30,6),BS30,0)))</f>
        <v/>
      </c>
      <c r="FS30" s="68">
        <f>IF(OR($U30=0,$F30&lt;&gt;2),0,IF(FR30&gt;0,FR30,IF(ROUND(BT30*$J30,6)&lt;ROUND($M30,6),BT30,0)))</f>
        <v/>
      </c>
      <c r="FT30" s="68">
        <f>IF(OR($U30=0,$F30&lt;&gt;2),0,IF(FS30&gt;0,FS30,IF(ROUND(BU30*$J30,6)&lt;ROUND($M30,6),BU30,0)))</f>
        <v/>
      </c>
      <c r="FU30" s="68">
        <f>IF(OR($U30=0,$F30&lt;&gt;2),0,IF(FT30&gt;0,FT30,IF(ROUND(BV30*$J30,6)&lt;ROUND($M30,6),BV30,0)))</f>
        <v/>
      </c>
      <c r="FV30" s="68">
        <f>IF(OR($U30=0,$F30&lt;&gt;2),0,IF(FU30&gt;0,FU30,IF(ROUND(BW30*$J30,6)&lt;ROUND($M30,6),BW30,0)))</f>
        <v/>
      </c>
      <c r="FW30" s="68">
        <f>IF(OR($U30=0,$F30&lt;&gt;2),0,IF(FV30&gt;0,FV30,IF(ROUND(BX30*$J30,6)&lt;ROUND($M30,6),BX30,0)))</f>
        <v/>
      </c>
      <c r="FX30" s="68">
        <f>IF(OR($U30=0,$F30&lt;&gt;2),0,IF(FW30&gt;0,FW30,IF(ROUND(BY30*$J30,6)&lt;ROUND($M30,6),BY30,0)))</f>
        <v/>
      </c>
      <c r="FY30" s="68">
        <f>IF(OR($U30=0,$F30&lt;&gt;2),0,IF(FX30&gt;0,FX30,IF(ROUND(BZ30*$J30,6)&lt;ROUND($M30,6),BZ30,0)))</f>
        <v/>
      </c>
      <c r="FZ30" s="68">
        <f>IF(OR($U30=0,$F30&lt;&gt;2),0,IF(FY30&gt;0,FY30,IF(ROUND(CA30*$J30,6)&lt;ROUND($M30,6),CA30,0)))</f>
        <v/>
      </c>
      <c r="GA30" s="68">
        <f>IF(OR($U30=0,$F30&lt;&gt;2),0,IF(FZ30&gt;0,FZ30,IF(ROUND(CB30*$J30,6)&lt;ROUND($M30,6),CB30,0)))</f>
        <v/>
      </c>
      <c r="GB30" s="68">
        <f>IF(OR($U30=0,$F30&lt;&gt;2),0,IF(GA30&gt;0,GA30,IF(ROUND(CC30*$J30,6)&lt;ROUND($M30,6),CC30,0)))</f>
        <v/>
      </c>
      <c r="GC30" s="68">
        <f>IF(OR($U30=0,$F30&lt;&gt;2),0,IF(GB30&gt;0,GB30,IF(ROUND(CD30*$J30,6)&lt;ROUND($M30,6),CD30,0)))</f>
        <v/>
      </c>
      <c r="GD30" s="68">
        <f>IF(OR($U30=0,$F30&lt;&gt;2),0,IF(GC30&gt;0,GC30,IF(ROUND(CE30*$J30,6)&lt;ROUND($M30,6),CE30,0)))</f>
        <v/>
      </c>
      <c r="GE30" s="68">
        <f>IF(OR($U30=0,$F30&lt;&gt;2),0,IF(GD30&gt;0,GD30,IF(ROUND(CF30*$J30,6)&lt;ROUND($M30,6),CF30,0)))</f>
        <v/>
      </c>
      <c r="GF30" s="68">
        <f>IF(OR($U30=0,$F30&lt;&gt;2),0,IF(GE30&gt;0,GE30,IF(ROUND(CG30*$J30,6)&lt;ROUND($M30,6),CG30,0)))</f>
        <v/>
      </c>
      <c r="GG30" s="68">
        <f>IF(OR($U30=0,$F30&lt;&gt;2),0,IF(GF30&gt;0,GF30,IF(ROUND(CH30*$J30,6)&lt;ROUND($M30,6),CH30,0)))</f>
        <v/>
      </c>
      <c r="GH30" s="68">
        <f>IF(OR($U30=0,$F30&lt;&gt;2),0,IF(GG30&gt;0,GG30,IF(ROUND(CI30*$J30,6)&lt;ROUND($M30,6),CI30,0)))</f>
        <v/>
      </c>
      <c r="GI30" s="68">
        <f>IF(OR($U30=0,$F30&lt;&gt;2),0,IF(GH30&gt;0,GH30,IF(ROUND(CJ30*$J30,6)&lt;ROUND($M30,6),CJ30,0)))</f>
        <v/>
      </c>
      <c r="GJ30" s="68">
        <f>IF(OR($U30=0,$F30&lt;&gt;2),0,IF(GI30&gt;0,GI30,IF(ROUND(CK30*$J30,6)&lt;ROUND($M30,6),CK30,0)))</f>
        <v/>
      </c>
      <c r="GK30" s="68">
        <f>IF(OR($U30=0,$F30&lt;&gt;2),0,IF(GJ30&gt;0,GJ30,IF(ROUND(CL30*$J30,6)&lt;ROUND($M30,6),CL30,0)))</f>
        <v/>
      </c>
      <c r="GL30" s="68">
        <f>IF(OR($U30=0,$F30&lt;&gt;2),0,IF(GK30&gt;0,GK30,IF(ROUND(CM30*$J30,6)&lt;ROUND($M30,6),CM30,0)))</f>
        <v/>
      </c>
      <c r="GM30" s="68">
        <f>IF(OR($U30=0,$F30&lt;&gt;2),0,IF(GL30&gt;0,GL30,IF(ROUND(CN30*$J30,6)&lt;ROUND($M30,6),CN30,0)))</f>
        <v/>
      </c>
      <c r="GN30" s="68">
        <f>IF(OR($U30=0,$F30&lt;&gt;2),0,IF(GM30&gt;0,GM30,IF(ROUND(CO30*$J30,6)&lt;ROUND($M30,6),CO30,0)))</f>
        <v/>
      </c>
      <c r="GO30" s="68">
        <f>IF(OR($U30=0,$F30&lt;&gt;2),0,IF(GN30&gt;0,GN30,IF(ROUND(CP30*$J30,6)&lt;ROUND($M30,6),CP30,0)))</f>
        <v/>
      </c>
      <c r="GP30" s="68">
        <f>IF(OR($U30=0,$F30&lt;&gt;2),0,IF(GO30&gt;0,GO30,IF(ROUND(CQ30*$J30,6)&lt;ROUND($M30,6),CQ30,0)))</f>
        <v/>
      </c>
      <c r="GQ30" s="68">
        <f>IF(OR($U30=0,$F30&lt;&gt;2),0,IF(GP30&gt;0,GP30,IF(ROUND(CR30*$J30,6)&lt;ROUND($M30,6),CR30,0)))</f>
        <v/>
      </c>
      <c r="GR30" s="68">
        <f>IF(OR($U30=0,$F30&lt;&gt;2),0,IF(GQ30&gt;0,GQ30,IF(ROUND(CS30*$J30,6)&lt;ROUND($M30,6),CS30,0)))</f>
        <v/>
      </c>
      <c r="GS30" s="68">
        <f>IF(OR($U30=0,$F30&lt;&gt;2),0,IF(GR30&gt;0,GR30,IF(ROUND(CT30*$J30,6)&lt;ROUND($M30,6),CT30,0)))</f>
        <v/>
      </c>
      <c r="GT30" s="68">
        <f>IF(OR($U30=0,$F30&lt;&gt;2),0,IF(GS30&gt;0,GS30,IF(ROUND(CU30*$J30,6)&lt;ROUND($M30,6),CU30,0)))</f>
        <v/>
      </c>
      <c r="GU30" s="68">
        <f>IF(OR($U30=0,$F30&lt;&gt;2),0,IF(GT30&gt;0,GT30,IF(ROUND(CV30*$J30,6)&lt;ROUND($M30,6),CV30,0)))</f>
        <v/>
      </c>
      <c r="GV30" s="68">
        <f>IF(OR($U30=0,$F30&lt;&gt;2),0,IF(GU30&gt;0,GU30,IF(ROUND(CW30*$J30,6)&lt;ROUND($M30,6),CW30,0)))</f>
        <v/>
      </c>
      <c r="GW30" s="68">
        <f>IF(OR($U30=0,$F30&lt;&gt;2),0,IF(GV30&gt;0,GV30,IF(ROUND(CX30*$J30,6)&lt;ROUND($M30,6),CX30,0)))</f>
        <v/>
      </c>
      <c r="GX30" s="68">
        <f>IF(OR($U30=0,$F30&lt;&gt;2),0,IF(GW30&gt;0,GW30,IF(ROUND(CY30*$J30,6)&lt;ROUND($M30,6),CY30,0)))</f>
        <v/>
      </c>
      <c r="GY30" s="68">
        <f>IF(OR($U30=0,$F30&lt;&gt;2),0,IF(GX30&gt;0,GX30,IF(ROUND(CZ30*$J30,6)&lt;ROUND($M30,6),CZ30,0)))</f>
        <v/>
      </c>
      <c r="GZ30" s="68">
        <f>IF(OR($U30=0,$F30&lt;&gt;2),0,IF(GY30&gt;0,GY30,IF(ROUND(DA30*$J30,6)&lt;ROUND($M30,6),DA30,0)))</f>
        <v/>
      </c>
      <c r="HA30" s="68">
        <f>IF(OR($U30=0,$F30&lt;&gt;2),0,IF(GZ30&gt;0,GZ30,IF(ROUND(DB30*$J30,6)&lt;ROUND($M30,6),DB30,0)))</f>
        <v/>
      </c>
      <c r="HB30" s="68">
        <f>IF(OR($U30=0,$F30&lt;&gt;2),0,IF(HA30&gt;0,HA30,IF(ROUND(DC30*$J30,6)&lt;ROUND($M30,6),DC30,0)))</f>
        <v/>
      </c>
      <c r="HC30" s="68">
        <f>IF(OR($U30=0,$F30&lt;&gt;2),0,IF(HB30&gt;0,HB30,IF(ROUND(DD30*$J30,6)&lt;ROUND($M30,6),DD30,0)))</f>
        <v/>
      </c>
      <c r="HD30" s="68">
        <f>IF(OR($U30=0,$F30&lt;&gt;2),0,IF(HC30&gt;0,HC30,IF(ROUND(DE30*$J30,6)&lt;ROUND($M30,6),DE30,0)))</f>
        <v/>
      </c>
      <c r="HE30" s="68">
        <f>IF(OR($U30=0,$F30&lt;&gt;2),0,IF(HD30&gt;0,HD30,IF(ROUND(DF30*$J30,6)&lt;ROUND($M30,6),DF30,0)))</f>
        <v/>
      </c>
      <c r="HF30" s="68">
        <f>IF(OR($U30=0,$F30&lt;&gt;2),0,IF(HE30&gt;0,HE30,IF(ROUND(DG30*$J30,6)&lt;ROUND($M30,6),DG30,0)))</f>
        <v/>
      </c>
      <c r="HG30" s="68">
        <f>IF(OR($U30=0,$F30&lt;&gt;2),0,IF(HF30&gt;0,HF30,IF(ROUND(DH30*$J30,6)&lt;ROUND($M30,6),DH30,0)))</f>
        <v/>
      </c>
      <c r="HH30" s="68">
        <f>IF(OR($U30=0,$F30&lt;&gt;2),0,IF(HG30&gt;0,HG30,IF(ROUND(DI30*$J30,6)&lt;ROUND($M30,6),DI30,0)))</f>
        <v/>
      </c>
      <c r="HI30" s="68">
        <f>IF(OR($U30=0,$F30&lt;&gt;2),0,IF(HH30&gt;0,HH30,IF(ROUND(DJ30*$J30,6)&lt;ROUND($M30,6),DJ30,0)))</f>
        <v/>
      </c>
      <c r="HJ30" s="68">
        <f>IF(OR($U30=0,$F30&lt;&gt;2),0,IF(HI30&gt;0,HI30,IF(ROUND(DK30*$J30,6)&lt;ROUND($M30,6),DK30,0)))</f>
        <v/>
      </c>
      <c r="HK30" s="68">
        <f>IF(OR($U30=0,$F30&lt;&gt;2),0,IF(HJ30&gt;0,HJ30,IF(ROUND(DL30*$J30,6)&lt;ROUND($M30,6),DL30,0)))</f>
        <v/>
      </c>
      <c r="HL30" s="68">
        <f>IF(OR($U30=0,$F30&lt;&gt;2),0,IF(HK30&gt;0,HK30,IF(ROUND(DM30*$J30,6)&lt;ROUND($M30,6),DM30,0)))</f>
        <v/>
      </c>
      <c r="HM30" s="68">
        <f>IF(OR($U30=0,$F30&lt;&gt;2),0,IF(HL30&gt;0,HL30,IF(ROUND(DN30*$J30,6)&lt;ROUND($M30,6),DN30,0)))</f>
        <v/>
      </c>
      <c r="HN30" s="68">
        <f>IF(OR($U30=0,$F30&lt;&gt;2),0,IF(HM30&gt;0,HM30,IF(ROUND(DO30*$J30,6)&lt;ROUND($M30,6),DO30,0)))</f>
        <v/>
      </c>
      <c r="HO30" s="68">
        <f>IF(OR($U30=0,$F30&lt;&gt;2),0,IF(HN30&gt;0,HN30,IF(ROUND(DP30*$J30,6)&lt;ROUND($M30,6),DP30,0)))</f>
        <v/>
      </c>
      <c r="HP30" s="68">
        <f>IF(OR($U30=0,$F30&lt;&gt;2),0,IF(HO30&gt;0,HO30,IF(ROUND(DQ30*$J30,6)&lt;ROUND($M30,6),DQ30,0)))</f>
        <v/>
      </c>
      <c r="HQ30" s="68">
        <f>IF(OR($U30=0,$F30&lt;&gt;2),0,IF(HP30&gt;0,HP30,IF(ROUND(DR30*$J30,6)&lt;ROUND($M30,6),DR30,0)))</f>
        <v/>
      </c>
      <c r="HR30" s="68">
        <f>IF(OR($U30=0,$F30&lt;&gt;2),0,IF(HQ30&gt;0,HQ30,IF(ROUND(DS30*$J30,6)&lt;ROUND($M30,6),DS30,0)))</f>
        <v/>
      </c>
      <c r="HS30" s="68">
        <f>IF(OR($U30=0,$F30&lt;&gt;2),0,IF(HR30&gt;0,HR30,IF(ROUND(DT30*$J30,6)&lt;ROUND($M30,6),DT30,0)))</f>
        <v/>
      </c>
      <c r="HT30" s="68">
        <f>IF(OR($U30=0,$F30&lt;&gt;2),0,IF(HS30&gt;0,HS30,IF(ROUND(DU30*$J30,6)&lt;ROUND($M30,6),DU30,0)))</f>
        <v/>
      </c>
      <c r="HU30" s="68">
        <f>IF(OR($U30=0,$F30&lt;&gt;2),0,IF(HT30&gt;0,HT30,IF(ROUND(DV30*$J30,6)&lt;ROUND($M30,6),DV30,0)))</f>
        <v/>
      </c>
      <c r="HV30" s="68">
        <f>IF(OR($U30=0,$F30&lt;&gt;2),0,IF(HU30&gt;0,HU30,IF(ROUND(DW30*$J30,6)&lt;ROUND($M30,6),DW30,0)))</f>
        <v/>
      </c>
      <c r="HW30" s="68">
        <f>IF(OR($U30=0,$F30&lt;&gt;2),0,IF(HV30&gt;0,HV30,IF(ROUND(DX30*$J30,6)&lt;ROUND($M30,6),DX30,0)))</f>
        <v/>
      </c>
      <c r="HX30" s="68">
        <f>IF(OR($U30=0,$F30&lt;&gt;2),0,IF(HW30&gt;0,HW30,IF(ROUND(DY30*$J30,6)&lt;ROUND($M30,6),DY30,0)))</f>
        <v/>
      </c>
      <c r="HY30" s="68">
        <f>IF(OR($U30=0,$F30&lt;&gt;2),0,IF(HX30&gt;0,HX30,IF(ROUND(DZ30*$J30,6)&lt;ROUND($M30,6),DZ30,0)))</f>
        <v/>
      </c>
      <c r="HZ30" s="68">
        <f>IF(OR($U30=0,$F30&lt;&gt;2),0,IF(HY30&gt;0,HY30,IF(ROUND(EA30*$J30,6)&lt;ROUND($M30,6),EA30,0)))</f>
        <v/>
      </c>
      <c r="IA30" s="68">
        <f>IF(OR($U30=0,$F30&lt;&gt;2),0,IF(HZ30&gt;0,HZ30,IF(ROUND(EB30*$J30,6)&lt;ROUND($M30,6),EB30,0)))</f>
        <v/>
      </c>
      <c r="IB30" s="68">
        <f>IF(OR($U30=0,$F30&lt;&gt;2),0,IF(IA30&gt;0,IA30,IF(ROUND(EC30*$J30,6)&lt;ROUND($M30,6),EC30,0)))</f>
        <v/>
      </c>
      <c r="IC30" s="68">
        <f>IF(OR($U30=0,$F30&lt;&gt;2),0,IF(IB30&gt;0,IB30,IF(ROUND(ED30*$J30,6)&lt;ROUND($M30,6),ED30,0)))</f>
        <v/>
      </c>
      <c r="ID30" s="68">
        <f>IF(OR($U30=0,$F30&lt;&gt;2),0,IF(IC30&gt;0,IC30,IF(ROUND(EE30*$J30,6)&lt;ROUND($M30,6),EE30,0)))</f>
        <v/>
      </c>
      <c r="IE30" s="68">
        <f>IF(OR($U30=0,$F30&lt;&gt;2),0,IF(ID30&gt;0,ID30,IF(ROUND(EF30*$J30,6)&lt;ROUND($M30,6),EF30,0)))</f>
        <v/>
      </c>
      <c r="IF30" s="68">
        <f>IF(OR($U30=0,$F30&lt;&gt;2),0,IF(IE30&gt;0,IE30,IF(ROUND(EG30*$J30,6)&lt;ROUND($M30,6),EG30,0)))</f>
        <v/>
      </c>
      <c r="IG30" s="68">
        <f>IF(OR($U30=0,$F30&lt;&gt;2),0,IF(IF30&gt;0,IF30,IF(ROUND(EH30*$J30,6)&lt;ROUND($M30,6),EH30,0)))</f>
        <v/>
      </c>
      <c r="IH30" s="68">
        <f>IF(OR($U30=0,$F30&lt;&gt;2),0,IF(IG30&gt;0,IG30,IF(ROUND(EI30*$J30,6)&lt;ROUND($M30,6),EI30,0)))</f>
        <v/>
      </c>
      <c r="II30" s="68">
        <f>IF(OR($U30=0,$F30&lt;&gt;2),0,IF(IH30&gt;0,IH30,IF(ROUND(EJ30*$J30,6)&lt;ROUND($M30,6),EJ30,0)))</f>
        <v/>
      </c>
      <c r="IJ30" s="68">
        <f>IF(OR($U30=0,$F30&lt;&gt;2),0,IF(II30&gt;0,II30,IF(ROUND(EK30*$J30,6)&lt;ROUND($M30,6),EK30,0)))</f>
        <v/>
      </c>
      <c r="IK30" s="68">
        <f>IF(OR($U30=0,$F30&lt;&gt;2),0,IF(IJ30&gt;0,IJ30,IF(ROUND(EL30*$J30,6)&lt;ROUND($M30,6),EL30,0)))</f>
        <v/>
      </c>
      <c r="IL30" s="68">
        <f>IF(OR($U30=0,$F30&lt;&gt;2),0,IF(IK30&gt;0,IK30,IF(ROUND(EM30*$J30,6)&lt;ROUND($M30,6),EM30,0)))</f>
        <v/>
      </c>
      <c r="IM30" s="68">
        <f>IF(OR($U30=0,$F30&lt;&gt;2),0,IF(IL30&gt;0,IL30,IF(ROUND(EN30*$J30,6)&lt;ROUND($M30,6),EN30,0)))</f>
        <v/>
      </c>
      <c r="IN30" s="68">
        <f>IF(OR($U30=0,$F30&lt;&gt;2),0,IF(IM30&gt;0,IM30,IF(ROUND(EO30*$J30,6)&lt;ROUND($M30,6),EO30,0)))</f>
        <v/>
      </c>
    </row>
    <row r="31">
      <c r="A31" s="68" t="n">
        <v>26</v>
      </c>
      <c r="B31" s="68">
        <f>IF(OR(TRIM('固定資産台帳'!$B31)&lt;&gt;"",'固定資産台帳'!$E31&lt;&gt;"",'固定資産台帳'!$G31&lt;&gt;"",'固定資産台帳'!$H31&lt;&gt;""),1,0)</f>
        <v/>
      </c>
      <c r="C31" s="68">
        <f>IF(ISNUMBER('固定資産台帳'!$G31),MAX(ROUND('固定資産台帳'!$G31,0),0),0)</f>
        <v/>
      </c>
      <c r="D31" s="84">
        <f>IF(ISNUMBER('固定資産台帳'!$E31),INT('固定資産台帳'!$E31),0)</f>
        <v/>
      </c>
      <c r="E31" s="84">
        <f>IF(ISNUMBER('固定資産台帳'!$F31),INT('固定資産台帳'!$F31),$D31)</f>
        <v/>
      </c>
      <c r="F31" s="68">
        <f>IF('固定資産台帳'!$H31="定額法",1,IF(OR('固定資産台帳'!$H31="定率法",'固定資産台帳'!$H31="定率法（200%）",'固定資産台帳'!$H31="定率法（250%）"),2,IF('固定資産台帳'!$H31="一括償却（3年）",3,IF('固定資産台帳'!$H31="少額特例",4,0))))</f>
        <v/>
      </c>
      <c r="G31" s="68">
        <f>IF('固定資産台帳'!$H31="定率法（250%）",250,IF('固定資産台帳'!$H31="定率法（200%）",200,IF($D31&gt;=DATE(2012,4,1),200,250)))</f>
        <v/>
      </c>
      <c r="H31" s="68">
        <f>IF(ISNUMBER('固定資産台帳'!$I31),IF(AND('固定資産台帳'!$I31&gt;=2,'固定資産台帳'!$I31&lt;=100,'固定資産台帳'!$I31=INT('固定資産台帳'!$I31)),'固定資産台帳'!$I31,0),0)</f>
        <v/>
      </c>
      <c r="I31" s="68">
        <f>IF('固定資産台帳'!$C31="無形固定資産",0,1)</f>
        <v/>
      </c>
      <c r="J31" s="68">
        <f>IF(OR($H31=0,$F31=0,$F31&gt;2),0,IF($F31=1,INDEX('償却率表'!$B$6:$B$104,$H31-1),IF($G31=200,INDEX('償却率表'!$C$6:$C$104,$H31-1),INDEX('償却率表'!$F$6:$F$104,$H31-1))))</f>
        <v/>
      </c>
      <c r="K31" s="68">
        <f>IF(AND($F31=2,$H31&gt;0),IF($G31=200,INDEX('償却率表'!$D$6:$D$104,$H31-1),INDEX('償却率表'!$G$6:$G$104,$H31-1)),0)</f>
        <v/>
      </c>
      <c r="L31" s="68">
        <f>IF(AND($F31=2,$H31&gt;0),IF($G31=200,INDEX('償却率表'!$E$6:$E$104,$H31-1),INDEX('償却率表'!$H$6:$H$104,$H31-1)),0)</f>
        <v/>
      </c>
      <c r="M31" s="68">
        <f>$C31*$L31</f>
        <v/>
      </c>
      <c r="N31" s="68">
        <f>IF($B$1=1,1,IF('固定資産台帳'!$J31="",1,IF(ISNUMBER('固定資産台帳'!$J31),IF(AND('固定資産台帳'!$J31&gt;0,'固定資産台帳'!$J31&lt;=1),'固定資産台帳'!$J31,0),0)))</f>
        <v/>
      </c>
      <c r="O31" s="68">
        <f>IF($E31=0,0,YEAR($E31)-IF(MONTH($E31)&lt;$B$2,1,0))</f>
        <v/>
      </c>
      <c r="P31" s="68">
        <f>IF($E31=0,0,12-MOD(MONTH($E31)-$B$2,12))</f>
        <v/>
      </c>
      <c r="Q31" s="84">
        <f>IF(ISNUMBER('固定資産台帳'!$K31),INT('固定資産台帳'!$K31),0)</f>
        <v/>
      </c>
      <c r="R31" s="68">
        <f>IF(OR($Q31=0,$E31=0),999,YEAR($Q31)-IF(MONTH($Q31)&lt;$B$2,1,0)-$O31)</f>
        <v/>
      </c>
      <c r="S31" s="68">
        <f>IF($R31=999,0,MOD(MONTH($Q31)-$B$2,12)+1-IF($R31=0,12-$P31,0))</f>
        <v/>
      </c>
      <c r="T31" s="68">
        <f>IF($B31=0,0,IF($C31&lt;=0,1,IF($D31=0,2,IF($F31=0,3,IF(AND($F31&lt;=2,$H31=0),4,IF(AND($F31&lt;=2,$D31&lt;DATE(2007,4,1)),5,IF($E31&lt;$D31,6,IF(AND($Q31&gt;0,$Q31&lt;$E31),7,IF($N31=0,8,IF($B$3=0,9,0))))))))))</f>
        <v/>
      </c>
      <c r="U31" s="68">
        <f>IF(AND($B31=1,$T31=0),1,0)</f>
        <v/>
      </c>
      <c r="V31" s="68">
        <f>$B$3-$O31</f>
        <v/>
      </c>
      <c r="W31" s="68">
        <f>IF(AND($U31=1,$V31&gt;=0),1,0)</f>
        <v/>
      </c>
      <c r="X31" s="68">
        <f>IF($W31=0,0,IF($V31=0,$C31,INDEX($AS31:$EP31,MIN($V31,102))))</f>
        <v/>
      </c>
      <c r="Y31" s="68">
        <f>IF($W31=0,0,INDEX($AS31:$EP31,MIN($V31,101)+1))</f>
        <v/>
      </c>
      <c r="Z31" s="68">
        <f>$X31-$Y31</f>
        <v/>
      </c>
      <c r="AA31" s="68">
        <f>IF(AND($W31=1,$F31=2,$V31&gt;=1),INDEX($ER31:$IN31,MIN($V31,101)),0)</f>
        <v/>
      </c>
      <c r="AB31" s="68">
        <f>IF(OR($W31=0,$F31&gt;2,$Z31=0),0,IF($V31=0,IF($R31=0,$S31,$P31),IF($V31=$R31,$S31,12)))</f>
        <v/>
      </c>
      <c r="AC31" s="68">
        <f>IF($W31=0,0,INT(ROUND($Z31*$N31,6)+$B$4))</f>
        <v/>
      </c>
      <c r="AD31" s="68">
        <f>IF(AND($W31=1,$F31&lt;=2,$V31=$R31),1,0)</f>
        <v/>
      </c>
      <c r="AE31" s="68">
        <f>IF(AND($W31=1,$F31&lt;=2,$V31&gt;$R31),1,0)</f>
        <v/>
      </c>
      <c r="AF31" s="68">
        <f>IF(AND($W31=1,$AE31=0,OR($Z31&gt;0,$AD31=1)),1,0)</f>
        <v/>
      </c>
      <c r="AG31" s="68">
        <f>IF($AF31=1,SUM($AF$6:$AF31),0)</f>
        <v/>
      </c>
      <c r="AH31" s="68">
        <f>IF($T31=0,"",CHOOSE($T31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31" s="68">
        <f>IF(AND($F31=2,OR('固定資産台帳'!$C31="建物",'固定資産台帳'!$C31="無形固定資産",AND(OR('固定資産台帳'!$C31="建物附属設備",'固定資産台帳'!$C31="構築物"),$D31&gt;=DATE(2016,4,1)))),"この資産は定額法だけです（定率法は使えません）。","")&amp;IF(AND($F31=3,$C31&gt;=200000),"一括償却は20万円未満の資産だけです。","")&amp;IF(AND($F31=3,$B$1=0,$C31&lt;100000),"10万円未満は一括償却にせず、全額をその年の経費にします。","")&amp;IF(AND($F31=4,$C31&lt;100000),"10万円未満は少額特例ではなく、全額をその年の経費にします。","")&amp;IF(AND($F31=4,$D31&lt;DATE(2026,4,1),$C31&gt;=300000),"2026年3月31日までの取得で少額特例が使えるのは30万円未満です。","")&amp;IF(AND($F31=4,$D31&gt;=DATE(2026,4,1),$C31&gt;=400000),"少額特例は40万円未満の資産だけです。","")&amp;IF(AND($F31=4,OR($D31&lt;DATE(2006,4,1),$D31&gt;DATE(2029,3,31))),"少額特例は2006年4月1日〜2029年3月31日に取得した資産だけです。","")&amp;IF(AND($F31=2,$G31=250,$D31&gt;DATE(2012,12,31)),"250%定率法は2012年12月31日までの取得だけです。","")</f>
        <v/>
      </c>
      <c r="AJ31" s="68">
        <f>IF(AND($F31=2,'固定資産台帳'!$H31="定率法（200%）",$D31&lt;DATE(2012,4,1)),"2012年3月31日までの取得に200%を使うのは、経過措置の届出をした場合です。","")&amp;IF(AND($F31=2,'固定資産台帳'!$H31="定率法（250%）",$D31&gt;=DATE(2012,4,1),$D31&lt;=DATE(2012,12,31)),"2012年4〜12月の取得に250%を使うのは、経過措置を選んだ場合です。","")</f>
        <v/>
      </c>
      <c r="AK31" s="68">
        <f>IF($U31=0,"",IF($V31&lt;0,"表示している年より後に使い始める資産です。",IF($AE31=1,"売却・除却済みです。",IF($AD31=1,"この年に売却・除却。期末の帳簿価額 "&amp;TEXT($Y31,"#,##0")&amp;"円を帳簿から外します。",IF($F31=4,IF($V31=0,"少額特例：この年に全額を経費にします。","少額特例で経費にした資産です。"),IF($F31=3,IF($V31&gt;2,"一括償却は終わっています。","一括償却 "&amp;($V31+1)&amp;"年目（3年のうち）。"),IF($Z31=0,"償却済み（帳簿価額 "&amp;TEXT($Y31,"#,##0")&amp;"円）。",IF($AA31&gt;0,"改定償却率で計算（改定取得価額 "&amp;TEXT($AA31,"#,##0")&amp;"円）。",IF($V31=0,"この年に使い始め（"&amp;$AB31&amp;"か月分）。","")))))))))</f>
        <v/>
      </c>
      <c r="AL31" s="68">
        <f>IF(AND($U31=1,$F31=4,$V31=0),$C31,0)</f>
        <v/>
      </c>
      <c r="AM31" s="68">
        <f>IF($F31=2,INT(ROUND($M31,6)+$B$4),0)</f>
        <v/>
      </c>
      <c r="AN31" s="68">
        <f>IF($W31=0,0,IF($F31=2,IF($AA31&gt;0,$AA31,$X31),$C31))</f>
        <v/>
      </c>
      <c r="AO31" s="68">
        <f>IF($W31=0,"",IF($F31=3,"1/3",IF($F31=4,"―",IF($AA31&gt;0,$K31,$J31))))</f>
        <v/>
      </c>
      <c r="AP31" s="68" t="n"/>
      <c r="AQ31" s="68" t="n"/>
      <c r="AR31" s="68" t="n"/>
      <c r="AS31" s="68">
        <f>IF($U31=0,0,IF($F31=4,0,IF($F31=3,MAX($C31-INT(ROUND($C31/3,6)+$B$4),0),$C31-MIN(INT(ROUND($C31*$J31*IF($R31=0,$S31,$P31)/12,6)+$B$4),MAX($C31-$I31,0)))))</f>
        <v/>
      </c>
      <c r="AT31" s="68">
        <f>IF($U31=0,0,IF($F31=4,0,IF($F31=3,AS31-MIN(INT(ROUND($C31/3,6)+$B$4),AS31),IF(OR(1&gt;$R31,AS31&lt;=$I31),AS31,AS31-MIN(INT(ROUND(IF($F31=1,$C31*$J31,IF(ER31&gt;0,ER31*$K31,AS31*$J31))*IF(1=$R31,$S31,12)/12,6)+$B$4),AS31-$I31)))))</f>
        <v/>
      </c>
      <c r="AU31" s="68">
        <f>IF($U31=0,0,IF($F31=4,0,IF($F31=3,0,IF(OR(2&gt;$R31,AT31&lt;=$I31),AT31,AT31-MIN(INT(ROUND(IF($F31=1,$C31*$J31,IF(ES31&gt;0,ES31*$K31,AT31*$J31))*IF(2=$R31,$S31,12)/12,6)+$B$4),AT31-$I31)))))</f>
        <v/>
      </c>
      <c r="AV31" s="68">
        <f>IF($U31=0,0,IF($F31=4,0,IF($F31=3,0,IF(OR(3&gt;$R31,AU31&lt;=$I31),AU31,AU31-MIN(INT(ROUND(IF($F31=1,$C31*$J31,IF(ET31&gt;0,ET31*$K31,AU31*$J31))*IF(3=$R31,$S31,12)/12,6)+$B$4),AU31-$I31)))))</f>
        <v/>
      </c>
      <c r="AW31" s="68">
        <f>IF($U31=0,0,IF($F31=4,0,IF($F31=3,0,IF(OR(4&gt;$R31,AV31&lt;=$I31),AV31,AV31-MIN(INT(ROUND(IF($F31=1,$C31*$J31,IF(EU31&gt;0,EU31*$K31,AV31*$J31))*IF(4=$R31,$S31,12)/12,6)+$B$4),AV31-$I31)))))</f>
        <v/>
      </c>
      <c r="AX31" s="68">
        <f>IF($U31=0,0,IF($F31=4,0,IF($F31=3,0,IF(OR(5&gt;$R31,AW31&lt;=$I31),AW31,AW31-MIN(INT(ROUND(IF($F31=1,$C31*$J31,IF(EV31&gt;0,EV31*$K31,AW31*$J31))*IF(5=$R31,$S31,12)/12,6)+$B$4),AW31-$I31)))))</f>
        <v/>
      </c>
      <c r="AY31" s="68">
        <f>IF($U31=0,0,IF($F31=4,0,IF($F31=3,0,IF(OR(6&gt;$R31,AX31&lt;=$I31),AX31,AX31-MIN(INT(ROUND(IF($F31=1,$C31*$J31,IF(EW31&gt;0,EW31*$K31,AX31*$J31))*IF(6=$R31,$S31,12)/12,6)+$B$4),AX31-$I31)))))</f>
        <v/>
      </c>
      <c r="AZ31" s="68">
        <f>IF($U31=0,0,IF($F31=4,0,IF($F31=3,0,IF(OR(7&gt;$R31,AY31&lt;=$I31),AY31,AY31-MIN(INT(ROUND(IF($F31=1,$C31*$J31,IF(EX31&gt;0,EX31*$K31,AY31*$J31))*IF(7=$R31,$S31,12)/12,6)+$B$4),AY31-$I31)))))</f>
        <v/>
      </c>
      <c r="BA31" s="68">
        <f>IF($U31=0,0,IF($F31=4,0,IF($F31=3,0,IF(OR(8&gt;$R31,AZ31&lt;=$I31),AZ31,AZ31-MIN(INT(ROUND(IF($F31=1,$C31*$J31,IF(EY31&gt;0,EY31*$K31,AZ31*$J31))*IF(8=$R31,$S31,12)/12,6)+$B$4),AZ31-$I31)))))</f>
        <v/>
      </c>
      <c r="BB31" s="68">
        <f>IF($U31=0,0,IF($F31=4,0,IF($F31=3,0,IF(OR(9&gt;$R31,BA31&lt;=$I31),BA31,BA31-MIN(INT(ROUND(IF($F31=1,$C31*$J31,IF(EZ31&gt;0,EZ31*$K31,BA31*$J31))*IF(9=$R31,$S31,12)/12,6)+$B$4),BA31-$I31)))))</f>
        <v/>
      </c>
      <c r="BC31" s="68">
        <f>IF($U31=0,0,IF($F31=4,0,IF($F31=3,0,IF(OR(10&gt;$R31,BB31&lt;=$I31),BB31,BB31-MIN(INT(ROUND(IF($F31=1,$C31*$J31,IF(FA31&gt;0,FA31*$K31,BB31*$J31))*IF(10=$R31,$S31,12)/12,6)+$B$4),BB31-$I31)))))</f>
        <v/>
      </c>
      <c r="BD31" s="68">
        <f>IF($U31=0,0,IF($F31=4,0,IF($F31=3,0,IF(OR(11&gt;$R31,BC31&lt;=$I31),BC31,BC31-MIN(INT(ROUND(IF($F31=1,$C31*$J31,IF(FB31&gt;0,FB31*$K31,BC31*$J31))*IF(11=$R31,$S31,12)/12,6)+$B$4),BC31-$I31)))))</f>
        <v/>
      </c>
      <c r="BE31" s="68">
        <f>IF($U31=0,0,IF($F31=4,0,IF($F31=3,0,IF(OR(12&gt;$R31,BD31&lt;=$I31),BD31,BD31-MIN(INT(ROUND(IF($F31=1,$C31*$J31,IF(FC31&gt;0,FC31*$K31,BD31*$J31))*IF(12=$R31,$S31,12)/12,6)+$B$4),BD31-$I31)))))</f>
        <v/>
      </c>
      <c r="BF31" s="68">
        <f>IF($U31=0,0,IF($F31=4,0,IF($F31=3,0,IF(OR(13&gt;$R31,BE31&lt;=$I31),BE31,BE31-MIN(INT(ROUND(IF($F31=1,$C31*$J31,IF(FD31&gt;0,FD31*$K31,BE31*$J31))*IF(13=$R31,$S31,12)/12,6)+$B$4),BE31-$I31)))))</f>
        <v/>
      </c>
      <c r="BG31" s="68">
        <f>IF($U31=0,0,IF($F31=4,0,IF($F31=3,0,IF(OR(14&gt;$R31,BF31&lt;=$I31),BF31,BF31-MIN(INT(ROUND(IF($F31=1,$C31*$J31,IF(FE31&gt;0,FE31*$K31,BF31*$J31))*IF(14=$R31,$S31,12)/12,6)+$B$4),BF31-$I31)))))</f>
        <v/>
      </c>
      <c r="BH31" s="68">
        <f>IF($U31=0,0,IF($F31=4,0,IF($F31=3,0,IF(OR(15&gt;$R31,BG31&lt;=$I31),BG31,BG31-MIN(INT(ROUND(IF($F31=1,$C31*$J31,IF(FF31&gt;0,FF31*$K31,BG31*$J31))*IF(15=$R31,$S31,12)/12,6)+$B$4),BG31-$I31)))))</f>
        <v/>
      </c>
      <c r="BI31" s="68">
        <f>IF($U31=0,0,IF($F31=4,0,IF($F31=3,0,IF(OR(16&gt;$R31,BH31&lt;=$I31),BH31,BH31-MIN(INT(ROUND(IF($F31=1,$C31*$J31,IF(FG31&gt;0,FG31*$K31,BH31*$J31))*IF(16=$R31,$S31,12)/12,6)+$B$4),BH31-$I31)))))</f>
        <v/>
      </c>
      <c r="BJ31" s="68">
        <f>IF($U31=0,0,IF($F31=4,0,IF($F31=3,0,IF(OR(17&gt;$R31,BI31&lt;=$I31),BI31,BI31-MIN(INT(ROUND(IF($F31=1,$C31*$J31,IF(FH31&gt;0,FH31*$K31,BI31*$J31))*IF(17=$R31,$S31,12)/12,6)+$B$4),BI31-$I31)))))</f>
        <v/>
      </c>
      <c r="BK31" s="68">
        <f>IF($U31=0,0,IF($F31=4,0,IF($F31=3,0,IF(OR(18&gt;$R31,BJ31&lt;=$I31),BJ31,BJ31-MIN(INT(ROUND(IF($F31=1,$C31*$J31,IF(FI31&gt;0,FI31*$K31,BJ31*$J31))*IF(18=$R31,$S31,12)/12,6)+$B$4),BJ31-$I31)))))</f>
        <v/>
      </c>
      <c r="BL31" s="68">
        <f>IF($U31=0,0,IF($F31=4,0,IF($F31=3,0,IF(OR(19&gt;$R31,BK31&lt;=$I31),BK31,BK31-MIN(INT(ROUND(IF($F31=1,$C31*$J31,IF(FJ31&gt;0,FJ31*$K31,BK31*$J31))*IF(19=$R31,$S31,12)/12,6)+$B$4),BK31-$I31)))))</f>
        <v/>
      </c>
      <c r="BM31" s="68">
        <f>IF($U31=0,0,IF($F31=4,0,IF($F31=3,0,IF(OR(20&gt;$R31,BL31&lt;=$I31),BL31,BL31-MIN(INT(ROUND(IF($F31=1,$C31*$J31,IF(FK31&gt;0,FK31*$K31,BL31*$J31))*IF(20=$R31,$S31,12)/12,6)+$B$4),BL31-$I31)))))</f>
        <v/>
      </c>
      <c r="BN31" s="68">
        <f>IF($U31=0,0,IF($F31=4,0,IF($F31=3,0,IF(OR(21&gt;$R31,BM31&lt;=$I31),BM31,BM31-MIN(INT(ROUND(IF($F31=1,$C31*$J31,IF(FL31&gt;0,FL31*$K31,BM31*$J31))*IF(21=$R31,$S31,12)/12,6)+$B$4),BM31-$I31)))))</f>
        <v/>
      </c>
      <c r="BO31" s="68">
        <f>IF($U31=0,0,IF($F31=4,0,IF($F31=3,0,IF(OR(22&gt;$R31,BN31&lt;=$I31),BN31,BN31-MIN(INT(ROUND(IF($F31=1,$C31*$J31,IF(FM31&gt;0,FM31*$K31,BN31*$J31))*IF(22=$R31,$S31,12)/12,6)+$B$4),BN31-$I31)))))</f>
        <v/>
      </c>
      <c r="BP31" s="68">
        <f>IF($U31=0,0,IF($F31=4,0,IF($F31=3,0,IF(OR(23&gt;$R31,BO31&lt;=$I31),BO31,BO31-MIN(INT(ROUND(IF($F31=1,$C31*$J31,IF(FN31&gt;0,FN31*$K31,BO31*$J31))*IF(23=$R31,$S31,12)/12,6)+$B$4),BO31-$I31)))))</f>
        <v/>
      </c>
      <c r="BQ31" s="68">
        <f>IF($U31=0,0,IF($F31=4,0,IF($F31=3,0,IF(OR(24&gt;$R31,BP31&lt;=$I31),BP31,BP31-MIN(INT(ROUND(IF($F31=1,$C31*$J31,IF(FO31&gt;0,FO31*$K31,BP31*$J31))*IF(24=$R31,$S31,12)/12,6)+$B$4),BP31-$I31)))))</f>
        <v/>
      </c>
      <c r="BR31" s="68">
        <f>IF($U31=0,0,IF($F31=4,0,IF($F31=3,0,IF(OR(25&gt;$R31,BQ31&lt;=$I31),BQ31,BQ31-MIN(INT(ROUND(IF($F31=1,$C31*$J31,IF(FP31&gt;0,FP31*$K31,BQ31*$J31))*IF(25=$R31,$S31,12)/12,6)+$B$4),BQ31-$I31)))))</f>
        <v/>
      </c>
      <c r="BS31" s="68">
        <f>IF($U31=0,0,IF($F31=4,0,IF($F31=3,0,IF(OR(26&gt;$R31,BR31&lt;=$I31),BR31,BR31-MIN(INT(ROUND(IF($F31=1,$C31*$J31,IF(FQ31&gt;0,FQ31*$K31,BR31*$J31))*IF(26=$R31,$S31,12)/12,6)+$B$4),BR31-$I31)))))</f>
        <v/>
      </c>
      <c r="BT31" s="68">
        <f>IF($U31=0,0,IF($F31=4,0,IF($F31=3,0,IF(OR(27&gt;$R31,BS31&lt;=$I31),BS31,BS31-MIN(INT(ROUND(IF($F31=1,$C31*$J31,IF(FR31&gt;0,FR31*$K31,BS31*$J31))*IF(27=$R31,$S31,12)/12,6)+$B$4),BS31-$I31)))))</f>
        <v/>
      </c>
      <c r="BU31" s="68">
        <f>IF($U31=0,0,IF($F31=4,0,IF($F31=3,0,IF(OR(28&gt;$R31,BT31&lt;=$I31),BT31,BT31-MIN(INT(ROUND(IF($F31=1,$C31*$J31,IF(FS31&gt;0,FS31*$K31,BT31*$J31))*IF(28=$R31,$S31,12)/12,6)+$B$4),BT31-$I31)))))</f>
        <v/>
      </c>
      <c r="BV31" s="68">
        <f>IF($U31=0,0,IF($F31=4,0,IF($F31=3,0,IF(OR(29&gt;$R31,BU31&lt;=$I31),BU31,BU31-MIN(INT(ROUND(IF($F31=1,$C31*$J31,IF(FT31&gt;0,FT31*$K31,BU31*$J31))*IF(29=$R31,$S31,12)/12,6)+$B$4),BU31-$I31)))))</f>
        <v/>
      </c>
      <c r="BW31" s="68">
        <f>IF($U31=0,0,IF($F31=4,0,IF($F31=3,0,IF(OR(30&gt;$R31,BV31&lt;=$I31),BV31,BV31-MIN(INT(ROUND(IF($F31=1,$C31*$J31,IF(FU31&gt;0,FU31*$K31,BV31*$J31))*IF(30=$R31,$S31,12)/12,6)+$B$4),BV31-$I31)))))</f>
        <v/>
      </c>
      <c r="BX31" s="68">
        <f>IF($U31=0,0,IF($F31=4,0,IF($F31=3,0,IF(OR(31&gt;$R31,BW31&lt;=$I31),BW31,BW31-MIN(INT(ROUND(IF($F31=1,$C31*$J31,IF(FV31&gt;0,FV31*$K31,BW31*$J31))*IF(31=$R31,$S31,12)/12,6)+$B$4),BW31-$I31)))))</f>
        <v/>
      </c>
      <c r="BY31" s="68">
        <f>IF($U31=0,0,IF($F31=4,0,IF($F31=3,0,IF(OR(32&gt;$R31,BX31&lt;=$I31),BX31,BX31-MIN(INT(ROUND(IF($F31=1,$C31*$J31,IF(FW31&gt;0,FW31*$K31,BX31*$J31))*IF(32=$R31,$S31,12)/12,6)+$B$4),BX31-$I31)))))</f>
        <v/>
      </c>
      <c r="BZ31" s="68">
        <f>IF($U31=0,0,IF($F31=4,0,IF($F31=3,0,IF(OR(33&gt;$R31,BY31&lt;=$I31),BY31,BY31-MIN(INT(ROUND(IF($F31=1,$C31*$J31,IF(FX31&gt;0,FX31*$K31,BY31*$J31))*IF(33=$R31,$S31,12)/12,6)+$B$4),BY31-$I31)))))</f>
        <v/>
      </c>
      <c r="CA31" s="68">
        <f>IF($U31=0,0,IF($F31=4,0,IF($F31=3,0,IF(OR(34&gt;$R31,BZ31&lt;=$I31),BZ31,BZ31-MIN(INT(ROUND(IF($F31=1,$C31*$J31,IF(FY31&gt;0,FY31*$K31,BZ31*$J31))*IF(34=$R31,$S31,12)/12,6)+$B$4),BZ31-$I31)))))</f>
        <v/>
      </c>
      <c r="CB31" s="68">
        <f>IF($U31=0,0,IF($F31=4,0,IF($F31=3,0,IF(OR(35&gt;$R31,CA31&lt;=$I31),CA31,CA31-MIN(INT(ROUND(IF($F31=1,$C31*$J31,IF(FZ31&gt;0,FZ31*$K31,CA31*$J31))*IF(35=$R31,$S31,12)/12,6)+$B$4),CA31-$I31)))))</f>
        <v/>
      </c>
      <c r="CC31" s="68">
        <f>IF($U31=0,0,IF($F31=4,0,IF($F31=3,0,IF(OR(36&gt;$R31,CB31&lt;=$I31),CB31,CB31-MIN(INT(ROUND(IF($F31=1,$C31*$J31,IF(GA31&gt;0,GA31*$K31,CB31*$J31))*IF(36=$R31,$S31,12)/12,6)+$B$4),CB31-$I31)))))</f>
        <v/>
      </c>
      <c r="CD31" s="68">
        <f>IF($U31=0,0,IF($F31=4,0,IF($F31=3,0,IF(OR(37&gt;$R31,CC31&lt;=$I31),CC31,CC31-MIN(INT(ROUND(IF($F31=1,$C31*$J31,IF(GB31&gt;0,GB31*$K31,CC31*$J31))*IF(37=$R31,$S31,12)/12,6)+$B$4),CC31-$I31)))))</f>
        <v/>
      </c>
      <c r="CE31" s="68">
        <f>IF($U31=0,0,IF($F31=4,0,IF($F31=3,0,IF(OR(38&gt;$R31,CD31&lt;=$I31),CD31,CD31-MIN(INT(ROUND(IF($F31=1,$C31*$J31,IF(GC31&gt;0,GC31*$K31,CD31*$J31))*IF(38=$R31,$S31,12)/12,6)+$B$4),CD31-$I31)))))</f>
        <v/>
      </c>
      <c r="CF31" s="68">
        <f>IF($U31=0,0,IF($F31=4,0,IF($F31=3,0,IF(OR(39&gt;$R31,CE31&lt;=$I31),CE31,CE31-MIN(INT(ROUND(IF($F31=1,$C31*$J31,IF(GD31&gt;0,GD31*$K31,CE31*$J31))*IF(39=$R31,$S31,12)/12,6)+$B$4),CE31-$I31)))))</f>
        <v/>
      </c>
      <c r="CG31" s="68">
        <f>IF($U31=0,0,IF($F31=4,0,IF($F31=3,0,IF(OR(40&gt;$R31,CF31&lt;=$I31),CF31,CF31-MIN(INT(ROUND(IF($F31=1,$C31*$J31,IF(GE31&gt;0,GE31*$K31,CF31*$J31))*IF(40=$R31,$S31,12)/12,6)+$B$4),CF31-$I31)))))</f>
        <v/>
      </c>
      <c r="CH31" s="68">
        <f>IF($U31=0,0,IF($F31=4,0,IF($F31=3,0,IF(OR(41&gt;$R31,CG31&lt;=$I31),CG31,CG31-MIN(INT(ROUND(IF($F31=1,$C31*$J31,IF(GF31&gt;0,GF31*$K31,CG31*$J31))*IF(41=$R31,$S31,12)/12,6)+$B$4),CG31-$I31)))))</f>
        <v/>
      </c>
      <c r="CI31" s="68">
        <f>IF($U31=0,0,IF($F31=4,0,IF($F31=3,0,IF(OR(42&gt;$R31,CH31&lt;=$I31),CH31,CH31-MIN(INT(ROUND(IF($F31=1,$C31*$J31,IF(GG31&gt;0,GG31*$K31,CH31*$J31))*IF(42=$R31,$S31,12)/12,6)+$B$4),CH31-$I31)))))</f>
        <v/>
      </c>
      <c r="CJ31" s="68">
        <f>IF($U31=0,0,IF($F31=4,0,IF($F31=3,0,IF(OR(43&gt;$R31,CI31&lt;=$I31),CI31,CI31-MIN(INT(ROUND(IF($F31=1,$C31*$J31,IF(GH31&gt;0,GH31*$K31,CI31*$J31))*IF(43=$R31,$S31,12)/12,6)+$B$4),CI31-$I31)))))</f>
        <v/>
      </c>
      <c r="CK31" s="68">
        <f>IF($U31=0,0,IF($F31=4,0,IF($F31=3,0,IF(OR(44&gt;$R31,CJ31&lt;=$I31),CJ31,CJ31-MIN(INT(ROUND(IF($F31=1,$C31*$J31,IF(GI31&gt;0,GI31*$K31,CJ31*$J31))*IF(44=$R31,$S31,12)/12,6)+$B$4),CJ31-$I31)))))</f>
        <v/>
      </c>
      <c r="CL31" s="68">
        <f>IF($U31=0,0,IF($F31=4,0,IF($F31=3,0,IF(OR(45&gt;$R31,CK31&lt;=$I31),CK31,CK31-MIN(INT(ROUND(IF($F31=1,$C31*$J31,IF(GJ31&gt;0,GJ31*$K31,CK31*$J31))*IF(45=$R31,$S31,12)/12,6)+$B$4),CK31-$I31)))))</f>
        <v/>
      </c>
      <c r="CM31" s="68">
        <f>IF($U31=0,0,IF($F31=4,0,IF($F31=3,0,IF(OR(46&gt;$R31,CL31&lt;=$I31),CL31,CL31-MIN(INT(ROUND(IF($F31=1,$C31*$J31,IF(GK31&gt;0,GK31*$K31,CL31*$J31))*IF(46=$R31,$S31,12)/12,6)+$B$4),CL31-$I31)))))</f>
        <v/>
      </c>
      <c r="CN31" s="68">
        <f>IF($U31=0,0,IF($F31=4,0,IF($F31=3,0,IF(OR(47&gt;$R31,CM31&lt;=$I31),CM31,CM31-MIN(INT(ROUND(IF($F31=1,$C31*$J31,IF(GL31&gt;0,GL31*$K31,CM31*$J31))*IF(47=$R31,$S31,12)/12,6)+$B$4),CM31-$I31)))))</f>
        <v/>
      </c>
      <c r="CO31" s="68">
        <f>IF($U31=0,0,IF($F31=4,0,IF($F31=3,0,IF(OR(48&gt;$R31,CN31&lt;=$I31),CN31,CN31-MIN(INT(ROUND(IF($F31=1,$C31*$J31,IF(GM31&gt;0,GM31*$K31,CN31*$J31))*IF(48=$R31,$S31,12)/12,6)+$B$4),CN31-$I31)))))</f>
        <v/>
      </c>
      <c r="CP31" s="68">
        <f>IF($U31=0,0,IF($F31=4,0,IF($F31=3,0,IF(OR(49&gt;$R31,CO31&lt;=$I31),CO31,CO31-MIN(INT(ROUND(IF($F31=1,$C31*$J31,IF(GN31&gt;0,GN31*$K31,CO31*$J31))*IF(49=$R31,$S31,12)/12,6)+$B$4),CO31-$I31)))))</f>
        <v/>
      </c>
      <c r="CQ31" s="68">
        <f>IF($U31=0,0,IF($F31=4,0,IF($F31=3,0,IF(OR(50&gt;$R31,CP31&lt;=$I31),CP31,CP31-MIN(INT(ROUND(IF($F31=1,$C31*$J31,IF(GO31&gt;0,GO31*$K31,CP31*$J31))*IF(50=$R31,$S31,12)/12,6)+$B$4),CP31-$I31)))))</f>
        <v/>
      </c>
      <c r="CR31" s="68">
        <f>IF($U31=0,0,IF($F31=4,0,IF($F31=3,0,IF(OR(51&gt;$R31,CQ31&lt;=$I31),CQ31,CQ31-MIN(INT(ROUND(IF($F31=1,$C31*$J31,IF(GP31&gt;0,GP31*$K31,CQ31*$J31))*IF(51=$R31,$S31,12)/12,6)+$B$4),CQ31-$I31)))))</f>
        <v/>
      </c>
      <c r="CS31" s="68">
        <f>IF($U31=0,0,IF($F31=4,0,IF($F31=3,0,IF(OR(52&gt;$R31,CR31&lt;=$I31),CR31,CR31-MIN(INT(ROUND(IF($F31=1,$C31*$J31,IF(GQ31&gt;0,GQ31*$K31,CR31*$J31))*IF(52=$R31,$S31,12)/12,6)+$B$4),CR31-$I31)))))</f>
        <v/>
      </c>
      <c r="CT31" s="68">
        <f>IF($U31=0,0,IF($F31=4,0,IF($F31=3,0,IF(OR(53&gt;$R31,CS31&lt;=$I31),CS31,CS31-MIN(INT(ROUND(IF($F31=1,$C31*$J31,IF(GR31&gt;0,GR31*$K31,CS31*$J31))*IF(53=$R31,$S31,12)/12,6)+$B$4),CS31-$I31)))))</f>
        <v/>
      </c>
      <c r="CU31" s="68">
        <f>IF($U31=0,0,IF($F31=4,0,IF($F31=3,0,IF(OR(54&gt;$R31,CT31&lt;=$I31),CT31,CT31-MIN(INT(ROUND(IF($F31=1,$C31*$J31,IF(GS31&gt;0,GS31*$K31,CT31*$J31))*IF(54=$R31,$S31,12)/12,6)+$B$4),CT31-$I31)))))</f>
        <v/>
      </c>
      <c r="CV31" s="68">
        <f>IF($U31=0,0,IF($F31=4,0,IF($F31=3,0,IF(OR(55&gt;$R31,CU31&lt;=$I31),CU31,CU31-MIN(INT(ROUND(IF($F31=1,$C31*$J31,IF(GT31&gt;0,GT31*$K31,CU31*$J31))*IF(55=$R31,$S31,12)/12,6)+$B$4),CU31-$I31)))))</f>
        <v/>
      </c>
      <c r="CW31" s="68">
        <f>IF($U31=0,0,IF($F31=4,0,IF($F31=3,0,IF(OR(56&gt;$R31,CV31&lt;=$I31),CV31,CV31-MIN(INT(ROUND(IF($F31=1,$C31*$J31,IF(GU31&gt;0,GU31*$K31,CV31*$J31))*IF(56=$R31,$S31,12)/12,6)+$B$4),CV31-$I31)))))</f>
        <v/>
      </c>
      <c r="CX31" s="68">
        <f>IF($U31=0,0,IF($F31=4,0,IF($F31=3,0,IF(OR(57&gt;$R31,CW31&lt;=$I31),CW31,CW31-MIN(INT(ROUND(IF($F31=1,$C31*$J31,IF(GV31&gt;0,GV31*$K31,CW31*$J31))*IF(57=$R31,$S31,12)/12,6)+$B$4),CW31-$I31)))))</f>
        <v/>
      </c>
      <c r="CY31" s="68">
        <f>IF($U31=0,0,IF($F31=4,0,IF($F31=3,0,IF(OR(58&gt;$R31,CX31&lt;=$I31),CX31,CX31-MIN(INT(ROUND(IF($F31=1,$C31*$J31,IF(GW31&gt;0,GW31*$K31,CX31*$J31))*IF(58=$R31,$S31,12)/12,6)+$B$4),CX31-$I31)))))</f>
        <v/>
      </c>
      <c r="CZ31" s="68">
        <f>IF($U31=0,0,IF($F31=4,0,IF($F31=3,0,IF(OR(59&gt;$R31,CY31&lt;=$I31),CY31,CY31-MIN(INT(ROUND(IF($F31=1,$C31*$J31,IF(GX31&gt;0,GX31*$K31,CY31*$J31))*IF(59=$R31,$S31,12)/12,6)+$B$4),CY31-$I31)))))</f>
        <v/>
      </c>
      <c r="DA31" s="68">
        <f>IF($U31=0,0,IF($F31=4,0,IF($F31=3,0,IF(OR(60&gt;$R31,CZ31&lt;=$I31),CZ31,CZ31-MIN(INT(ROUND(IF($F31=1,$C31*$J31,IF(GY31&gt;0,GY31*$K31,CZ31*$J31))*IF(60=$R31,$S31,12)/12,6)+$B$4),CZ31-$I31)))))</f>
        <v/>
      </c>
      <c r="DB31" s="68">
        <f>IF($U31=0,0,IF($F31=4,0,IF($F31=3,0,IF(OR(61&gt;$R31,DA31&lt;=$I31),DA31,DA31-MIN(INT(ROUND(IF($F31=1,$C31*$J31,IF(GZ31&gt;0,GZ31*$K31,DA31*$J31))*IF(61=$R31,$S31,12)/12,6)+$B$4),DA31-$I31)))))</f>
        <v/>
      </c>
      <c r="DC31" s="68">
        <f>IF($U31=0,0,IF($F31=4,0,IF($F31=3,0,IF(OR(62&gt;$R31,DB31&lt;=$I31),DB31,DB31-MIN(INT(ROUND(IF($F31=1,$C31*$J31,IF(HA31&gt;0,HA31*$K31,DB31*$J31))*IF(62=$R31,$S31,12)/12,6)+$B$4),DB31-$I31)))))</f>
        <v/>
      </c>
      <c r="DD31" s="68">
        <f>IF($U31=0,0,IF($F31=4,0,IF($F31=3,0,IF(OR(63&gt;$R31,DC31&lt;=$I31),DC31,DC31-MIN(INT(ROUND(IF($F31=1,$C31*$J31,IF(HB31&gt;0,HB31*$K31,DC31*$J31))*IF(63=$R31,$S31,12)/12,6)+$B$4),DC31-$I31)))))</f>
        <v/>
      </c>
      <c r="DE31" s="68">
        <f>IF($U31=0,0,IF($F31=4,0,IF($F31=3,0,IF(OR(64&gt;$R31,DD31&lt;=$I31),DD31,DD31-MIN(INT(ROUND(IF($F31=1,$C31*$J31,IF(HC31&gt;0,HC31*$K31,DD31*$J31))*IF(64=$R31,$S31,12)/12,6)+$B$4),DD31-$I31)))))</f>
        <v/>
      </c>
      <c r="DF31" s="68">
        <f>IF($U31=0,0,IF($F31=4,0,IF($F31=3,0,IF(OR(65&gt;$R31,DE31&lt;=$I31),DE31,DE31-MIN(INT(ROUND(IF($F31=1,$C31*$J31,IF(HD31&gt;0,HD31*$K31,DE31*$J31))*IF(65=$R31,$S31,12)/12,6)+$B$4),DE31-$I31)))))</f>
        <v/>
      </c>
      <c r="DG31" s="68">
        <f>IF($U31=0,0,IF($F31=4,0,IF($F31=3,0,IF(OR(66&gt;$R31,DF31&lt;=$I31),DF31,DF31-MIN(INT(ROUND(IF($F31=1,$C31*$J31,IF(HE31&gt;0,HE31*$K31,DF31*$J31))*IF(66=$R31,$S31,12)/12,6)+$B$4),DF31-$I31)))))</f>
        <v/>
      </c>
      <c r="DH31" s="68">
        <f>IF($U31=0,0,IF($F31=4,0,IF($F31=3,0,IF(OR(67&gt;$R31,DG31&lt;=$I31),DG31,DG31-MIN(INT(ROUND(IF($F31=1,$C31*$J31,IF(HF31&gt;0,HF31*$K31,DG31*$J31))*IF(67=$R31,$S31,12)/12,6)+$B$4),DG31-$I31)))))</f>
        <v/>
      </c>
      <c r="DI31" s="68">
        <f>IF($U31=0,0,IF($F31=4,0,IF($F31=3,0,IF(OR(68&gt;$R31,DH31&lt;=$I31),DH31,DH31-MIN(INT(ROUND(IF($F31=1,$C31*$J31,IF(HG31&gt;0,HG31*$K31,DH31*$J31))*IF(68=$R31,$S31,12)/12,6)+$B$4),DH31-$I31)))))</f>
        <v/>
      </c>
      <c r="DJ31" s="68">
        <f>IF($U31=0,0,IF($F31=4,0,IF($F31=3,0,IF(OR(69&gt;$R31,DI31&lt;=$I31),DI31,DI31-MIN(INT(ROUND(IF($F31=1,$C31*$J31,IF(HH31&gt;0,HH31*$K31,DI31*$J31))*IF(69=$R31,$S31,12)/12,6)+$B$4),DI31-$I31)))))</f>
        <v/>
      </c>
      <c r="DK31" s="68">
        <f>IF($U31=0,0,IF($F31=4,0,IF($F31=3,0,IF(OR(70&gt;$R31,DJ31&lt;=$I31),DJ31,DJ31-MIN(INT(ROUND(IF($F31=1,$C31*$J31,IF(HI31&gt;0,HI31*$K31,DJ31*$J31))*IF(70=$R31,$S31,12)/12,6)+$B$4),DJ31-$I31)))))</f>
        <v/>
      </c>
      <c r="DL31" s="68">
        <f>IF($U31=0,0,IF($F31=4,0,IF($F31=3,0,IF(OR(71&gt;$R31,DK31&lt;=$I31),DK31,DK31-MIN(INT(ROUND(IF($F31=1,$C31*$J31,IF(HJ31&gt;0,HJ31*$K31,DK31*$J31))*IF(71=$R31,$S31,12)/12,6)+$B$4),DK31-$I31)))))</f>
        <v/>
      </c>
      <c r="DM31" s="68">
        <f>IF($U31=0,0,IF($F31=4,0,IF($F31=3,0,IF(OR(72&gt;$R31,DL31&lt;=$I31),DL31,DL31-MIN(INT(ROUND(IF($F31=1,$C31*$J31,IF(HK31&gt;0,HK31*$K31,DL31*$J31))*IF(72=$R31,$S31,12)/12,6)+$B$4),DL31-$I31)))))</f>
        <v/>
      </c>
      <c r="DN31" s="68">
        <f>IF($U31=0,0,IF($F31=4,0,IF($F31=3,0,IF(OR(73&gt;$R31,DM31&lt;=$I31),DM31,DM31-MIN(INT(ROUND(IF($F31=1,$C31*$J31,IF(HL31&gt;0,HL31*$K31,DM31*$J31))*IF(73=$R31,$S31,12)/12,6)+$B$4),DM31-$I31)))))</f>
        <v/>
      </c>
      <c r="DO31" s="68">
        <f>IF($U31=0,0,IF($F31=4,0,IF($F31=3,0,IF(OR(74&gt;$R31,DN31&lt;=$I31),DN31,DN31-MIN(INT(ROUND(IF($F31=1,$C31*$J31,IF(HM31&gt;0,HM31*$K31,DN31*$J31))*IF(74=$R31,$S31,12)/12,6)+$B$4),DN31-$I31)))))</f>
        <v/>
      </c>
      <c r="DP31" s="68">
        <f>IF($U31=0,0,IF($F31=4,0,IF($F31=3,0,IF(OR(75&gt;$R31,DO31&lt;=$I31),DO31,DO31-MIN(INT(ROUND(IF($F31=1,$C31*$J31,IF(HN31&gt;0,HN31*$K31,DO31*$J31))*IF(75=$R31,$S31,12)/12,6)+$B$4),DO31-$I31)))))</f>
        <v/>
      </c>
      <c r="DQ31" s="68">
        <f>IF($U31=0,0,IF($F31=4,0,IF($F31=3,0,IF(OR(76&gt;$R31,DP31&lt;=$I31),DP31,DP31-MIN(INT(ROUND(IF($F31=1,$C31*$J31,IF(HO31&gt;0,HO31*$K31,DP31*$J31))*IF(76=$R31,$S31,12)/12,6)+$B$4),DP31-$I31)))))</f>
        <v/>
      </c>
      <c r="DR31" s="68">
        <f>IF($U31=0,0,IF($F31=4,0,IF($F31=3,0,IF(OR(77&gt;$R31,DQ31&lt;=$I31),DQ31,DQ31-MIN(INT(ROUND(IF($F31=1,$C31*$J31,IF(HP31&gt;0,HP31*$K31,DQ31*$J31))*IF(77=$R31,$S31,12)/12,6)+$B$4),DQ31-$I31)))))</f>
        <v/>
      </c>
      <c r="DS31" s="68">
        <f>IF($U31=0,0,IF($F31=4,0,IF($F31=3,0,IF(OR(78&gt;$R31,DR31&lt;=$I31),DR31,DR31-MIN(INT(ROUND(IF($F31=1,$C31*$J31,IF(HQ31&gt;0,HQ31*$K31,DR31*$J31))*IF(78=$R31,$S31,12)/12,6)+$B$4),DR31-$I31)))))</f>
        <v/>
      </c>
      <c r="DT31" s="68">
        <f>IF($U31=0,0,IF($F31=4,0,IF($F31=3,0,IF(OR(79&gt;$R31,DS31&lt;=$I31),DS31,DS31-MIN(INT(ROUND(IF($F31=1,$C31*$J31,IF(HR31&gt;0,HR31*$K31,DS31*$J31))*IF(79=$R31,$S31,12)/12,6)+$B$4),DS31-$I31)))))</f>
        <v/>
      </c>
      <c r="DU31" s="68">
        <f>IF($U31=0,0,IF($F31=4,0,IF($F31=3,0,IF(OR(80&gt;$R31,DT31&lt;=$I31),DT31,DT31-MIN(INT(ROUND(IF($F31=1,$C31*$J31,IF(HS31&gt;0,HS31*$K31,DT31*$J31))*IF(80=$R31,$S31,12)/12,6)+$B$4),DT31-$I31)))))</f>
        <v/>
      </c>
      <c r="DV31" s="68">
        <f>IF($U31=0,0,IF($F31=4,0,IF($F31=3,0,IF(OR(81&gt;$R31,DU31&lt;=$I31),DU31,DU31-MIN(INT(ROUND(IF($F31=1,$C31*$J31,IF(HT31&gt;0,HT31*$K31,DU31*$J31))*IF(81=$R31,$S31,12)/12,6)+$B$4),DU31-$I31)))))</f>
        <v/>
      </c>
      <c r="DW31" s="68">
        <f>IF($U31=0,0,IF($F31=4,0,IF($F31=3,0,IF(OR(82&gt;$R31,DV31&lt;=$I31),DV31,DV31-MIN(INT(ROUND(IF($F31=1,$C31*$J31,IF(HU31&gt;0,HU31*$K31,DV31*$J31))*IF(82=$R31,$S31,12)/12,6)+$B$4),DV31-$I31)))))</f>
        <v/>
      </c>
      <c r="DX31" s="68">
        <f>IF($U31=0,0,IF($F31=4,0,IF($F31=3,0,IF(OR(83&gt;$R31,DW31&lt;=$I31),DW31,DW31-MIN(INT(ROUND(IF($F31=1,$C31*$J31,IF(HV31&gt;0,HV31*$K31,DW31*$J31))*IF(83=$R31,$S31,12)/12,6)+$B$4),DW31-$I31)))))</f>
        <v/>
      </c>
      <c r="DY31" s="68">
        <f>IF($U31=0,0,IF($F31=4,0,IF($F31=3,0,IF(OR(84&gt;$R31,DX31&lt;=$I31),DX31,DX31-MIN(INT(ROUND(IF($F31=1,$C31*$J31,IF(HW31&gt;0,HW31*$K31,DX31*$J31))*IF(84=$R31,$S31,12)/12,6)+$B$4),DX31-$I31)))))</f>
        <v/>
      </c>
      <c r="DZ31" s="68">
        <f>IF($U31=0,0,IF($F31=4,0,IF($F31=3,0,IF(OR(85&gt;$R31,DY31&lt;=$I31),DY31,DY31-MIN(INT(ROUND(IF($F31=1,$C31*$J31,IF(HX31&gt;0,HX31*$K31,DY31*$J31))*IF(85=$R31,$S31,12)/12,6)+$B$4),DY31-$I31)))))</f>
        <v/>
      </c>
      <c r="EA31" s="68">
        <f>IF($U31=0,0,IF($F31=4,0,IF($F31=3,0,IF(OR(86&gt;$R31,DZ31&lt;=$I31),DZ31,DZ31-MIN(INT(ROUND(IF($F31=1,$C31*$J31,IF(HY31&gt;0,HY31*$K31,DZ31*$J31))*IF(86=$R31,$S31,12)/12,6)+$B$4),DZ31-$I31)))))</f>
        <v/>
      </c>
      <c r="EB31" s="68">
        <f>IF($U31=0,0,IF($F31=4,0,IF($F31=3,0,IF(OR(87&gt;$R31,EA31&lt;=$I31),EA31,EA31-MIN(INT(ROUND(IF($F31=1,$C31*$J31,IF(HZ31&gt;0,HZ31*$K31,EA31*$J31))*IF(87=$R31,$S31,12)/12,6)+$B$4),EA31-$I31)))))</f>
        <v/>
      </c>
      <c r="EC31" s="68">
        <f>IF($U31=0,0,IF($F31=4,0,IF($F31=3,0,IF(OR(88&gt;$R31,EB31&lt;=$I31),EB31,EB31-MIN(INT(ROUND(IF($F31=1,$C31*$J31,IF(IA31&gt;0,IA31*$K31,EB31*$J31))*IF(88=$R31,$S31,12)/12,6)+$B$4),EB31-$I31)))))</f>
        <v/>
      </c>
      <c r="ED31" s="68">
        <f>IF($U31=0,0,IF($F31=4,0,IF($F31=3,0,IF(OR(89&gt;$R31,EC31&lt;=$I31),EC31,EC31-MIN(INT(ROUND(IF($F31=1,$C31*$J31,IF(IB31&gt;0,IB31*$K31,EC31*$J31))*IF(89=$R31,$S31,12)/12,6)+$B$4),EC31-$I31)))))</f>
        <v/>
      </c>
      <c r="EE31" s="68">
        <f>IF($U31=0,0,IF($F31=4,0,IF($F31=3,0,IF(OR(90&gt;$R31,ED31&lt;=$I31),ED31,ED31-MIN(INT(ROUND(IF($F31=1,$C31*$J31,IF(IC31&gt;0,IC31*$K31,ED31*$J31))*IF(90=$R31,$S31,12)/12,6)+$B$4),ED31-$I31)))))</f>
        <v/>
      </c>
      <c r="EF31" s="68">
        <f>IF($U31=0,0,IF($F31=4,0,IF($F31=3,0,IF(OR(91&gt;$R31,EE31&lt;=$I31),EE31,EE31-MIN(INT(ROUND(IF($F31=1,$C31*$J31,IF(ID31&gt;0,ID31*$K31,EE31*$J31))*IF(91=$R31,$S31,12)/12,6)+$B$4),EE31-$I31)))))</f>
        <v/>
      </c>
      <c r="EG31" s="68">
        <f>IF($U31=0,0,IF($F31=4,0,IF($F31=3,0,IF(OR(92&gt;$R31,EF31&lt;=$I31),EF31,EF31-MIN(INT(ROUND(IF($F31=1,$C31*$J31,IF(IE31&gt;0,IE31*$K31,EF31*$J31))*IF(92=$R31,$S31,12)/12,6)+$B$4),EF31-$I31)))))</f>
        <v/>
      </c>
      <c r="EH31" s="68">
        <f>IF($U31=0,0,IF($F31=4,0,IF($F31=3,0,IF(OR(93&gt;$R31,EG31&lt;=$I31),EG31,EG31-MIN(INT(ROUND(IF($F31=1,$C31*$J31,IF(IF31&gt;0,IF31*$K31,EG31*$J31))*IF(93=$R31,$S31,12)/12,6)+$B$4),EG31-$I31)))))</f>
        <v/>
      </c>
      <c r="EI31" s="68">
        <f>IF($U31=0,0,IF($F31=4,0,IF($F31=3,0,IF(OR(94&gt;$R31,EH31&lt;=$I31),EH31,EH31-MIN(INT(ROUND(IF($F31=1,$C31*$J31,IF(IG31&gt;0,IG31*$K31,EH31*$J31))*IF(94=$R31,$S31,12)/12,6)+$B$4),EH31-$I31)))))</f>
        <v/>
      </c>
      <c r="EJ31" s="68">
        <f>IF($U31=0,0,IF($F31=4,0,IF($F31=3,0,IF(OR(95&gt;$R31,EI31&lt;=$I31),EI31,EI31-MIN(INT(ROUND(IF($F31=1,$C31*$J31,IF(IH31&gt;0,IH31*$K31,EI31*$J31))*IF(95=$R31,$S31,12)/12,6)+$B$4),EI31-$I31)))))</f>
        <v/>
      </c>
      <c r="EK31" s="68">
        <f>IF($U31=0,0,IF($F31=4,0,IF($F31=3,0,IF(OR(96&gt;$R31,EJ31&lt;=$I31),EJ31,EJ31-MIN(INT(ROUND(IF($F31=1,$C31*$J31,IF(II31&gt;0,II31*$K31,EJ31*$J31))*IF(96=$R31,$S31,12)/12,6)+$B$4),EJ31-$I31)))))</f>
        <v/>
      </c>
      <c r="EL31" s="68">
        <f>IF($U31=0,0,IF($F31=4,0,IF($F31=3,0,IF(OR(97&gt;$R31,EK31&lt;=$I31),EK31,EK31-MIN(INT(ROUND(IF($F31=1,$C31*$J31,IF(IJ31&gt;0,IJ31*$K31,EK31*$J31))*IF(97=$R31,$S31,12)/12,6)+$B$4),EK31-$I31)))))</f>
        <v/>
      </c>
      <c r="EM31" s="68">
        <f>IF($U31=0,0,IF($F31=4,0,IF($F31=3,0,IF(OR(98&gt;$R31,EL31&lt;=$I31),EL31,EL31-MIN(INT(ROUND(IF($F31=1,$C31*$J31,IF(IK31&gt;0,IK31*$K31,EL31*$J31))*IF(98=$R31,$S31,12)/12,6)+$B$4),EL31-$I31)))))</f>
        <v/>
      </c>
      <c r="EN31" s="68">
        <f>IF($U31=0,0,IF($F31=4,0,IF($F31=3,0,IF(OR(99&gt;$R31,EM31&lt;=$I31),EM31,EM31-MIN(INT(ROUND(IF($F31=1,$C31*$J31,IF(IL31&gt;0,IL31*$K31,EM31*$J31))*IF(99=$R31,$S31,12)/12,6)+$B$4),EM31-$I31)))))</f>
        <v/>
      </c>
      <c r="EO31" s="68">
        <f>IF($U31=0,0,IF($F31=4,0,IF($F31=3,0,IF(OR(100&gt;$R31,EN31&lt;=$I31),EN31,EN31-MIN(INT(ROUND(IF($F31=1,$C31*$J31,IF(IM31&gt;0,IM31*$K31,EN31*$J31))*IF(100=$R31,$S31,12)/12,6)+$B$4),EN31-$I31)))))</f>
        <v/>
      </c>
      <c r="EP31" s="68">
        <f>IF($U31=0,0,IF($F31=4,0,IF($F31=3,0,IF(OR(101&gt;$R31,EO31&lt;=$I31),EO31,EO31-MIN(INT(ROUND(IF($F31=1,$C31*$J31,IF(IN31&gt;0,IN31*$K31,EO31*$J31))*IF(101=$R31,$S31,12)/12,6)+$B$4),EO31-$I31)))))</f>
        <v/>
      </c>
      <c r="EQ31" s="68" t="n"/>
      <c r="ER31" s="68">
        <f>IF(OR($U31=0,$F31&lt;&gt;2),0,IF(ROUND(AS31*$J31,6)&lt;ROUND($M31,6),AS31,0))</f>
        <v/>
      </c>
      <c r="ES31" s="68">
        <f>IF(OR($U31=0,$F31&lt;&gt;2),0,IF(ER31&gt;0,ER31,IF(ROUND(AT31*$J31,6)&lt;ROUND($M31,6),AT31,0)))</f>
        <v/>
      </c>
      <c r="ET31" s="68">
        <f>IF(OR($U31=0,$F31&lt;&gt;2),0,IF(ES31&gt;0,ES31,IF(ROUND(AU31*$J31,6)&lt;ROUND($M31,6),AU31,0)))</f>
        <v/>
      </c>
      <c r="EU31" s="68">
        <f>IF(OR($U31=0,$F31&lt;&gt;2),0,IF(ET31&gt;0,ET31,IF(ROUND(AV31*$J31,6)&lt;ROUND($M31,6),AV31,0)))</f>
        <v/>
      </c>
      <c r="EV31" s="68">
        <f>IF(OR($U31=0,$F31&lt;&gt;2),0,IF(EU31&gt;0,EU31,IF(ROUND(AW31*$J31,6)&lt;ROUND($M31,6),AW31,0)))</f>
        <v/>
      </c>
      <c r="EW31" s="68">
        <f>IF(OR($U31=0,$F31&lt;&gt;2),0,IF(EV31&gt;0,EV31,IF(ROUND(AX31*$J31,6)&lt;ROUND($M31,6),AX31,0)))</f>
        <v/>
      </c>
      <c r="EX31" s="68">
        <f>IF(OR($U31=0,$F31&lt;&gt;2),0,IF(EW31&gt;0,EW31,IF(ROUND(AY31*$J31,6)&lt;ROUND($M31,6),AY31,0)))</f>
        <v/>
      </c>
      <c r="EY31" s="68">
        <f>IF(OR($U31=0,$F31&lt;&gt;2),0,IF(EX31&gt;0,EX31,IF(ROUND(AZ31*$J31,6)&lt;ROUND($M31,6),AZ31,0)))</f>
        <v/>
      </c>
      <c r="EZ31" s="68">
        <f>IF(OR($U31=0,$F31&lt;&gt;2),0,IF(EY31&gt;0,EY31,IF(ROUND(BA31*$J31,6)&lt;ROUND($M31,6),BA31,0)))</f>
        <v/>
      </c>
      <c r="FA31" s="68">
        <f>IF(OR($U31=0,$F31&lt;&gt;2),0,IF(EZ31&gt;0,EZ31,IF(ROUND(BB31*$J31,6)&lt;ROUND($M31,6),BB31,0)))</f>
        <v/>
      </c>
      <c r="FB31" s="68">
        <f>IF(OR($U31=0,$F31&lt;&gt;2),0,IF(FA31&gt;0,FA31,IF(ROUND(BC31*$J31,6)&lt;ROUND($M31,6),BC31,0)))</f>
        <v/>
      </c>
      <c r="FC31" s="68">
        <f>IF(OR($U31=0,$F31&lt;&gt;2),0,IF(FB31&gt;0,FB31,IF(ROUND(BD31*$J31,6)&lt;ROUND($M31,6),BD31,0)))</f>
        <v/>
      </c>
      <c r="FD31" s="68">
        <f>IF(OR($U31=0,$F31&lt;&gt;2),0,IF(FC31&gt;0,FC31,IF(ROUND(BE31*$J31,6)&lt;ROUND($M31,6),BE31,0)))</f>
        <v/>
      </c>
      <c r="FE31" s="68">
        <f>IF(OR($U31=0,$F31&lt;&gt;2),0,IF(FD31&gt;0,FD31,IF(ROUND(BF31*$J31,6)&lt;ROUND($M31,6),BF31,0)))</f>
        <v/>
      </c>
      <c r="FF31" s="68">
        <f>IF(OR($U31=0,$F31&lt;&gt;2),0,IF(FE31&gt;0,FE31,IF(ROUND(BG31*$J31,6)&lt;ROUND($M31,6),BG31,0)))</f>
        <v/>
      </c>
      <c r="FG31" s="68">
        <f>IF(OR($U31=0,$F31&lt;&gt;2),0,IF(FF31&gt;0,FF31,IF(ROUND(BH31*$J31,6)&lt;ROUND($M31,6),BH31,0)))</f>
        <v/>
      </c>
      <c r="FH31" s="68">
        <f>IF(OR($U31=0,$F31&lt;&gt;2),0,IF(FG31&gt;0,FG31,IF(ROUND(BI31*$J31,6)&lt;ROUND($M31,6),BI31,0)))</f>
        <v/>
      </c>
      <c r="FI31" s="68">
        <f>IF(OR($U31=0,$F31&lt;&gt;2),0,IF(FH31&gt;0,FH31,IF(ROUND(BJ31*$J31,6)&lt;ROUND($M31,6),BJ31,0)))</f>
        <v/>
      </c>
      <c r="FJ31" s="68">
        <f>IF(OR($U31=0,$F31&lt;&gt;2),0,IF(FI31&gt;0,FI31,IF(ROUND(BK31*$J31,6)&lt;ROUND($M31,6),BK31,0)))</f>
        <v/>
      </c>
      <c r="FK31" s="68">
        <f>IF(OR($U31=0,$F31&lt;&gt;2),0,IF(FJ31&gt;0,FJ31,IF(ROUND(BL31*$J31,6)&lt;ROUND($M31,6),BL31,0)))</f>
        <v/>
      </c>
      <c r="FL31" s="68">
        <f>IF(OR($U31=0,$F31&lt;&gt;2),0,IF(FK31&gt;0,FK31,IF(ROUND(BM31*$J31,6)&lt;ROUND($M31,6),BM31,0)))</f>
        <v/>
      </c>
      <c r="FM31" s="68">
        <f>IF(OR($U31=0,$F31&lt;&gt;2),0,IF(FL31&gt;0,FL31,IF(ROUND(BN31*$J31,6)&lt;ROUND($M31,6),BN31,0)))</f>
        <v/>
      </c>
      <c r="FN31" s="68">
        <f>IF(OR($U31=0,$F31&lt;&gt;2),0,IF(FM31&gt;0,FM31,IF(ROUND(BO31*$J31,6)&lt;ROUND($M31,6),BO31,0)))</f>
        <v/>
      </c>
      <c r="FO31" s="68">
        <f>IF(OR($U31=0,$F31&lt;&gt;2),0,IF(FN31&gt;0,FN31,IF(ROUND(BP31*$J31,6)&lt;ROUND($M31,6),BP31,0)))</f>
        <v/>
      </c>
      <c r="FP31" s="68">
        <f>IF(OR($U31=0,$F31&lt;&gt;2),0,IF(FO31&gt;0,FO31,IF(ROUND(BQ31*$J31,6)&lt;ROUND($M31,6),BQ31,0)))</f>
        <v/>
      </c>
      <c r="FQ31" s="68">
        <f>IF(OR($U31=0,$F31&lt;&gt;2),0,IF(FP31&gt;0,FP31,IF(ROUND(BR31*$J31,6)&lt;ROUND($M31,6),BR31,0)))</f>
        <v/>
      </c>
      <c r="FR31" s="68">
        <f>IF(OR($U31=0,$F31&lt;&gt;2),0,IF(FQ31&gt;0,FQ31,IF(ROUND(BS31*$J31,6)&lt;ROUND($M31,6),BS31,0)))</f>
        <v/>
      </c>
      <c r="FS31" s="68">
        <f>IF(OR($U31=0,$F31&lt;&gt;2),0,IF(FR31&gt;0,FR31,IF(ROUND(BT31*$J31,6)&lt;ROUND($M31,6),BT31,0)))</f>
        <v/>
      </c>
      <c r="FT31" s="68">
        <f>IF(OR($U31=0,$F31&lt;&gt;2),0,IF(FS31&gt;0,FS31,IF(ROUND(BU31*$J31,6)&lt;ROUND($M31,6),BU31,0)))</f>
        <v/>
      </c>
      <c r="FU31" s="68">
        <f>IF(OR($U31=0,$F31&lt;&gt;2),0,IF(FT31&gt;0,FT31,IF(ROUND(BV31*$J31,6)&lt;ROUND($M31,6),BV31,0)))</f>
        <v/>
      </c>
      <c r="FV31" s="68">
        <f>IF(OR($U31=0,$F31&lt;&gt;2),0,IF(FU31&gt;0,FU31,IF(ROUND(BW31*$J31,6)&lt;ROUND($M31,6),BW31,0)))</f>
        <v/>
      </c>
      <c r="FW31" s="68">
        <f>IF(OR($U31=0,$F31&lt;&gt;2),0,IF(FV31&gt;0,FV31,IF(ROUND(BX31*$J31,6)&lt;ROUND($M31,6),BX31,0)))</f>
        <v/>
      </c>
      <c r="FX31" s="68">
        <f>IF(OR($U31=0,$F31&lt;&gt;2),0,IF(FW31&gt;0,FW31,IF(ROUND(BY31*$J31,6)&lt;ROUND($M31,6),BY31,0)))</f>
        <v/>
      </c>
      <c r="FY31" s="68">
        <f>IF(OR($U31=0,$F31&lt;&gt;2),0,IF(FX31&gt;0,FX31,IF(ROUND(BZ31*$J31,6)&lt;ROUND($M31,6),BZ31,0)))</f>
        <v/>
      </c>
      <c r="FZ31" s="68">
        <f>IF(OR($U31=0,$F31&lt;&gt;2),0,IF(FY31&gt;0,FY31,IF(ROUND(CA31*$J31,6)&lt;ROUND($M31,6),CA31,0)))</f>
        <v/>
      </c>
      <c r="GA31" s="68">
        <f>IF(OR($U31=0,$F31&lt;&gt;2),0,IF(FZ31&gt;0,FZ31,IF(ROUND(CB31*$J31,6)&lt;ROUND($M31,6),CB31,0)))</f>
        <v/>
      </c>
      <c r="GB31" s="68">
        <f>IF(OR($U31=0,$F31&lt;&gt;2),0,IF(GA31&gt;0,GA31,IF(ROUND(CC31*$J31,6)&lt;ROUND($M31,6),CC31,0)))</f>
        <v/>
      </c>
      <c r="GC31" s="68">
        <f>IF(OR($U31=0,$F31&lt;&gt;2),0,IF(GB31&gt;0,GB31,IF(ROUND(CD31*$J31,6)&lt;ROUND($M31,6),CD31,0)))</f>
        <v/>
      </c>
      <c r="GD31" s="68">
        <f>IF(OR($U31=0,$F31&lt;&gt;2),0,IF(GC31&gt;0,GC31,IF(ROUND(CE31*$J31,6)&lt;ROUND($M31,6),CE31,0)))</f>
        <v/>
      </c>
      <c r="GE31" s="68">
        <f>IF(OR($U31=0,$F31&lt;&gt;2),0,IF(GD31&gt;0,GD31,IF(ROUND(CF31*$J31,6)&lt;ROUND($M31,6),CF31,0)))</f>
        <v/>
      </c>
      <c r="GF31" s="68">
        <f>IF(OR($U31=0,$F31&lt;&gt;2),0,IF(GE31&gt;0,GE31,IF(ROUND(CG31*$J31,6)&lt;ROUND($M31,6),CG31,0)))</f>
        <v/>
      </c>
      <c r="GG31" s="68">
        <f>IF(OR($U31=0,$F31&lt;&gt;2),0,IF(GF31&gt;0,GF31,IF(ROUND(CH31*$J31,6)&lt;ROUND($M31,6),CH31,0)))</f>
        <v/>
      </c>
      <c r="GH31" s="68">
        <f>IF(OR($U31=0,$F31&lt;&gt;2),0,IF(GG31&gt;0,GG31,IF(ROUND(CI31*$J31,6)&lt;ROUND($M31,6),CI31,0)))</f>
        <v/>
      </c>
      <c r="GI31" s="68">
        <f>IF(OR($U31=0,$F31&lt;&gt;2),0,IF(GH31&gt;0,GH31,IF(ROUND(CJ31*$J31,6)&lt;ROUND($M31,6),CJ31,0)))</f>
        <v/>
      </c>
      <c r="GJ31" s="68">
        <f>IF(OR($U31=0,$F31&lt;&gt;2),0,IF(GI31&gt;0,GI31,IF(ROUND(CK31*$J31,6)&lt;ROUND($M31,6),CK31,0)))</f>
        <v/>
      </c>
      <c r="GK31" s="68">
        <f>IF(OR($U31=0,$F31&lt;&gt;2),0,IF(GJ31&gt;0,GJ31,IF(ROUND(CL31*$J31,6)&lt;ROUND($M31,6),CL31,0)))</f>
        <v/>
      </c>
      <c r="GL31" s="68">
        <f>IF(OR($U31=0,$F31&lt;&gt;2),0,IF(GK31&gt;0,GK31,IF(ROUND(CM31*$J31,6)&lt;ROUND($M31,6),CM31,0)))</f>
        <v/>
      </c>
      <c r="GM31" s="68">
        <f>IF(OR($U31=0,$F31&lt;&gt;2),0,IF(GL31&gt;0,GL31,IF(ROUND(CN31*$J31,6)&lt;ROUND($M31,6),CN31,0)))</f>
        <v/>
      </c>
      <c r="GN31" s="68">
        <f>IF(OR($U31=0,$F31&lt;&gt;2),0,IF(GM31&gt;0,GM31,IF(ROUND(CO31*$J31,6)&lt;ROUND($M31,6),CO31,0)))</f>
        <v/>
      </c>
      <c r="GO31" s="68">
        <f>IF(OR($U31=0,$F31&lt;&gt;2),0,IF(GN31&gt;0,GN31,IF(ROUND(CP31*$J31,6)&lt;ROUND($M31,6),CP31,0)))</f>
        <v/>
      </c>
      <c r="GP31" s="68">
        <f>IF(OR($U31=0,$F31&lt;&gt;2),0,IF(GO31&gt;0,GO31,IF(ROUND(CQ31*$J31,6)&lt;ROUND($M31,6),CQ31,0)))</f>
        <v/>
      </c>
      <c r="GQ31" s="68">
        <f>IF(OR($U31=0,$F31&lt;&gt;2),0,IF(GP31&gt;0,GP31,IF(ROUND(CR31*$J31,6)&lt;ROUND($M31,6),CR31,0)))</f>
        <v/>
      </c>
      <c r="GR31" s="68">
        <f>IF(OR($U31=0,$F31&lt;&gt;2),0,IF(GQ31&gt;0,GQ31,IF(ROUND(CS31*$J31,6)&lt;ROUND($M31,6),CS31,0)))</f>
        <v/>
      </c>
      <c r="GS31" s="68">
        <f>IF(OR($U31=0,$F31&lt;&gt;2),0,IF(GR31&gt;0,GR31,IF(ROUND(CT31*$J31,6)&lt;ROUND($M31,6),CT31,0)))</f>
        <v/>
      </c>
      <c r="GT31" s="68">
        <f>IF(OR($U31=0,$F31&lt;&gt;2),0,IF(GS31&gt;0,GS31,IF(ROUND(CU31*$J31,6)&lt;ROUND($M31,6),CU31,0)))</f>
        <v/>
      </c>
      <c r="GU31" s="68">
        <f>IF(OR($U31=0,$F31&lt;&gt;2),0,IF(GT31&gt;0,GT31,IF(ROUND(CV31*$J31,6)&lt;ROUND($M31,6),CV31,0)))</f>
        <v/>
      </c>
      <c r="GV31" s="68">
        <f>IF(OR($U31=0,$F31&lt;&gt;2),0,IF(GU31&gt;0,GU31,IF(ROUND(CW31*$J31,6)&lt;ROUND($M31,6),CW31,0)))</f>
        <v/>
      </c>
      <c r="GW31" s="68">
        <f>IF(OR($U31=0,$F31&lt;&gt;2),0,IF(GV31&gt;0,GV31,IF(ROUND(CX31*$J31,6)&lt;ROUND($M31,6),CX31,0)))</f>
        <v/>
      </c>
      <c r="GX31" s="68">
        <f>IF(OR($U31=0,$F31&lt;&gt;2),0,IF(GW31&gt;0,GW31,IF(ROUND(CY31*$J31,6)&lt;ROUND($M31,6),CY31,0)))</f>
        <v/>
      </c>
      <c r="GY31" s="68">
        <f>IF(OR($U31=0,$F31&lt;&gt;2),0,IF(GX31&gt;0,GX31,IF(ROUND(CZ31*$J31,6)&lt;ROUND($M31,6),CZ31,0)))</f>
        <v/>
      </c>
      <c r="GZ31" s="68">
        <f>IF(OR($U31=0,$F31&lt;&gt;2),0,IF(GY31&gt;0,GY31,IF(ROUND(DA31*$J31,6)&lt;ROUND($M31,6),DA31,0)))</f>
        <v/>
      </c>
      <c r="HA31" s="68">
        <f>IF(OR($U31=0,$F31&lt;&gt;2),0,IF(GZ31&gt;0,GZ31,IF(ROUND(DB31*$J31,6)&lt;ROUND($M31,6),DB31,0)))</f>
        <v/>
      </c>
      <c r="HB31" s="68">
        <f>IF(OR($U31=0,$F31&lt;&gt;2),0,IF(HA31&gt;0,HA31,IF(ROUND(DC31*$J31,6)&lt;ROUND($M31,6),DC31,0)))</f>
        <v/>
      </c>
      <c r="HC31" s="68">
        <f>IF(OR($U31=0,$F31&lt;&gt;2),0,IF(HB31&gt;0,HB31,IF(ROUND(DD31*$J31,6)&lt;ROUND($M31,6),DD31,0)))</f>
        <v/>
      </c>
      <c r="HD31" s="68">
        <f>IF(OR($U31=0,$F31&lt;&gt;2),0,IF(HC31&gt;0,HC31,IF(ROUND(DE31*$J31,6)&lt;ROUND($M31,6),DE31,0)))</f>
        <v/>
      </c>
      <c r="HE31" s="68">
        <f>IF(OR($U31=0,$F31&lt;&gt;2),0,IF(HD31&gt;0,HD31,IF(ROUND(DF31*$J31,6)&lt;ROUND($M31,6),DF31,0)))</f>
        <v/>
      </c>
      <c r="HF31" s="68">
        <f>IF(OR($U31=0,$F31&lt;&gt;2),0,IF(HE31&gt;0,HE31,IF(ROUND(DG31*$J31,6)&lt;ROUND($M31,6),DG31,0)))</f>
        <v/>
      </c>
      <c r="HG31" s="68">
        <f>IF(OR($U31=0,$F31&lt;&gt;2),0,IF(HF31&gt;0,HF31,IF(ROUND(DH31*$J31,6)&lt;ROUND($M31,6),DH31,0)))</f>
        <v/>
      </c>
      <c r="HH31" s="68">
        <f>IF(OR($U31=0,$F31&lt;&gt;2),0,IF(HG31&gt;0,HG31,IF(ROUND(DI31*$J31,6)&lt;ROUND($M31,6),DI31,0)))</f>
        <v/>
      </c>
      <c r="HI31" s="68">
        <f>IF(OR($U31=0,$F31&lt;&gt;2),0,IF(HH31&gt;0,HH31,IF(ROUND(DJ31*$J31,6)&lt;ROUND($M31,6),DJ31,0)))</f>
        <v/>
      </c>
      <c r="HJ31" s="68">
        <f>IF(OR($U31=0,$F31&lt;&gt;2),0,IF(HI31&gt;0,HI31,IF(ROUND(DK31*$J31,6)&lt;ROUND($M31,6),DK31,0)))</f>
        <v/>
      </c>
      <c r="HK31" s="68">
        <f>IF(OR($U31=0,$F31&lt;&gt;2),0,IF(HJ31&gt;0,HJ31,IF(ROUND(DL31*$J31,6)&lt;ROUND($M31,6),DL31,0)))</f>
        <v/>
      </c>
      <c r="HL31" s="68">
        <f>IF(OR($U31=0,$F31&lt;&gt;2),0,IF(HK31&gt;0,HK31,IF(ROUND(DM31*$J31,6)&lt;ROUND($M31,6),DM31,0)))</f>
        <v/>
      </c>
      <c r="HM31" s="68">
        <f>IF(OR($U31=0,$F31&lt;&gt;2),0,IF(HL31&gt;0,HL31,IF(ROUND(DN31*$J31,6)&lt;ROUND($M31,6),DN31,0)))</f>
        <v/>
      </c>
      <c r="HN31" s="68">
        <f>IF(OR($U31=0,$F31&lt;&gt;2),0,IF(HM31&gt;0,HM31,IF(ROUND(DO31*$J31,6)&lt;ROUND($M31,6),DO31,0)))</f>
        <v/>
      </c>
      <c r="HO31" s="68">
        <f>IF(OR($U31=0,$F31&lt;&gt;2),0,IF(HN31&gt;0,HN31,IF(ROUND(DP31*$J31,6)&lt;ROUND($M31,6),DP31,0)))</f>
        <v/>
      </c>
      <c r="HP31" s="68">
        <f>IF(OR($U31=0,$F31&lt;&gt;2),0,IF(HO31&gt;0,HO31,IF(ROUND(DQ31*$J31,6)&lt;ROUND($M31,6),DQ31,0)))</f>
        <v/>
      </c>
      <c r="HQ31" s="68">
        <f>IF(OR($U31=0,$F31&lt;&gt;2),0,IF(HP31&gt;0,HP31,IF(ROUND(DR31*$J31,6)&lt;ROUND($M31,6),DR31,0)))</f>
        <v/>
      </c>
      <c r="HR31" s="68">
        <f>IF(OR($U31=0,$F31&lt;&gt;2),0,IF(HQ31&gt;0,HQ31,IF(ROUND(DS31*$J31,6)&lt;ROUND($M31,6),DS31,0)))</f>
        <v/>
      </c>
      <c r="HS31" s="68">
        <f>IF(OR($U31=0,$F31&lt;&gt;2),0,IF(HR31&gt;0,HR31,IF(ROUND(DT31*$J31,6)&lt;ROUND($M31,6),DT31,0)))</f>
        <v/>
      </c>
      <c r="HT31" s="68">
        <f>IF(OR($U31=0,$F31&lt;&gt;2),0,IF(HS31&gt;0,HS31,IF(ROUND(DU31*$J31,6)&lt;ROUND($M31,6),DU31,0)))</f>
        <v/>
      </c>
      <c r="HU31" s="68">
        <f>IF(OR($U31=0,$F31&lt;&gt;2),0,IF(HT31&gt;0,HT31,IF(ROUND(DV31*$J31,6)&lt;ROUND($M31,6),DV31,0)))</f>
        <v/>
      </c>
      <c r="HV31" s="68">
        <f>IF(OR($U31=0,$F31&lt;&gt;2),0,IF(HU31&gt;0,HU31,IF(ROUND(DW31*$J31,6)&lt;ROUND($M31,6),DW31,0)))</f>
        <v/>
      </c>
      <c r="HW31" s="68">
        <f>IF(OR($U31=0,$F31&lt;&gt;2),0,IF(HV31&gt;0,HV31,IF(ROUND(DX31*$J31,6)&lt;ROUND($M31,6),DX31,0)))</f>
        <v/>
      </c>
      <c r="HX31" s="68">
        <f>IF(OR($U31=0,$F31&lt;&gt;2),0,IF(HW31&gt;0,HW31,IF(ROUND(DY31*$J31,6)&lt;ROUND($M31,6),DY31,0)))</f>
        <v/>
      </c>
      <c r="HY31" s="68">
        <f>IF(OR($U31=0,$F31&lt;&gt;2),0,IF(HX31&gt;0,HX31,IF(ROUND(DZ31*$J31,6)&lt;ROUND($M31,6),DZ31,0)))</f>
        <v/>
      </c>
      <c r="HZ31" s="68">
        <f>IF(OR($U31=0,$F31&lt;&gt;2),0,IF(HY31&gt;0,HY31,IF(ROUND(EA31*$J31,6)&lt;ROUND($M31,6),EA31,0)))</f>
        <v/>
      </c>
      <c r="IA31" s="68">
        <f>IF(OR($U31=0,$F31&lt;&gt;2),0,IF(HZ31&gt;0,HZ31,IF(ROUND(EB31*$J31,6)&lt;ROUND($M31,6),EB31,0)))</f>
        <v/>
      </c>
      <c r="IB31" s="68">
        <f>IF(OR($U31=0,$F31&lt;&gt;2),0,IF(IA31&gt;0,IA31,IF(ROUND(EC31*$J31,6)&lt;ROUND($M31,6),EC31,0)))</f>
        <v/>
      </c>
      <c r="IC31" s="68">
        <f>IF(OR($U31=0,$F31&lt;&gt;2),0,IF(IB31&gt;0,IB31,IF(ROUND(ED31*$J31,6)&lt;ROUND($M31,6),ED31,0)))</f>
        <v/>
      </c>
      <c r="ID31" s="68">
        <f>IF(OR($U31=0,$F31&lt;&gt;2),0,IF(IC31&gt;0,IC31,IF(ROUND(EE31*$J31,6)&lt;ROUND($M31,6),EE31,0)))</f>
        <v/>
      </c>
      <c r="IE31" s="68">
        <f>IF(OR($U31=0,$F31&lt;&gt;2),0,IF(ID31&gt;0,ID31,IF(ROUND(EF31*$J31,6)&lt;ROUND($M31,6),EF31,0)))</f>
        <v/>
      </c>
      <c r="IF31" s="68">
        <f>IF(OR($U31=0,$F31&lt;&gt;2),0,IF(IE31&gt;0,IE31,IF(ROUND(EG31*$J31,6)&lt;ROUND($M31,6),EG31,0)))</f>
        <v/>
      </c>
      <c r="IG31" s="68">
        <f>IF(OR($U31=0,$F31&lt;&gt;2),0,IF(IF31&gt;0,IF31,IF(ROUND(EH31*$J31,6)&lt;ROUND($M31,6),EH31,0)))</f>
        <v/>
      </c>
      <c r="IH31" s="68">
        <f>IF(OR($U31=0,$F31&lt;&gt;2),0,IF(IG31&gt;0,IG31,IF(ROUND(EI31*$J31,6)&lt;ROUND($M31,6),EI31,0)))</f>
        <v/>
      </c>
      <c r="II31" s="68">
        <f>IF(OR($U31=0,$F31&lt;&gt;2),0,IF(IH31&gt;0,IH31,IF(ROUND(EJ31*$J31,6)&lt;ROUND($M31,6),EJ31,0)))</f>
        <v/>
      </c>
      <c r="IJ31" s="68">
        <f>IF(OR($U31=0,$F31&lt;&gt;2),0,IF(II31&gt;0,II31,IF(ROUND(EK31*$J31,6)&lt;ROUND($M31,6),EK31,0)))</f>
        <v/>
      </c>
      <c r="IK31" s="68">
        <f>IF(OR($U31=0,$F31&lt;&gt;2),0,IF(IJ31&gt;0,IJ31,IF(ROUND(EL31*$J31,6)&lt;ROUND($M31,6),EL31,0)))</f>
        <v/>
      </c>
      <c r="IL31" s="68">
        <f>IF(OR($U31=0,$F31&lt;&gt;2),0,IF(IK31&gt;0,IK31,IF(ROUND(EM31*$J31,6)&lt;ROUND($M31,6),EM31,0)))</f>
        <v/>
      </c>
      <c r="IM31" s="68">
        <f>IF(OR($U31=0,$F31&lt;&gt;2),0,IF(IL31&gt;0,IL31,IF(ROUND(EN31*$J31,6)&lt;ROUND($M31,6),EN31,0)))</f>
        <v/>
      </c>
      <c r="IN31" s="68">
        <f>IF(OR($U31=0,$F31&lt;&gt;2),0,IF(IM31&gt;0,IM31,IF(ROUND(EO31*$J31,6)&lt;ROUND($M31,6),EO31,0)))</f>
        <v/>
      </c>
    </row>
    <row r="32">
      <c r="A32" s="68" t="n">
        <v>27</v>
      </c>
      <c r="B32" s="68">
        <f>IF(OR(TRIM('固定資産台帳'!$B32)&lt;&gt;"",'固定資産台帳'!$E32&lt;&gt;"",'固定資産台帳'!$G32&lt;&gt;"",'固定資産台帳'!$H32&lt;&gt;""),1,0)</f>
        <v/>
      </c>
      <c r="C32" s="68">
        <f>IF(ISNUMBER('固定資産台帳'!$G32),MAX(ROUND('固定資産台帳'!$G32,0),0),0)</f>
        <v/>
      </c>
      <c r="D32" s="84">
        <f>IF(ISNUMBER('固定資産台帳'!$E32),INT('固定資産台帳'!$E32),0)</f>
        <v/>
      </c>
      <c r="E32" s="84">
        <f>IF(ISNUMBER('固定資産台帳'!$F32),INT('固定資産台帳'!$F32),$D32)</f>
        <v/>
      </c>
      <c r="F32" s="68">
        <f>IF('固定資産台帳'!$H32="定額法",1,IF(OR('固定資産台帳'!$H32="定率法",'固定資産台帳'!$H32="定率法（200%）",'固定資産台帳'!$H32="定率法（250%）"),2,IF('固定資産台帳'!$H32="一括償却（3年）",3,IF('固定資産台帳'!$H32="少額特例",4,0))))</f>
        <v/>
      </c>
      <c r="G32" s="68">
        <f>IF('固定資産台帳'!$H32="定率法（250%）",250,IF('固定資産台帳'!$H32="定率法（200%）",200,IF($D32&gt;=DATE(2012,4,1),200,250)))</f>
        <v/>
      </c>
      <c r="H32" s="68">
        <f>IF(ISNUMBER('固定資産台帳'!$I32),IF(AND('固定資産台帳'!$I32&gt;=2,'固定資産台帳'!$I32&lt;=100,'固定資産台帳'!$I32=INT('固定資産台帳'!$I32)),'固定資産台帳'!$I32,0),0)</f>
        <v/>
      </c>
      <c r="I32" s="68">
        <f>IF('固定資産台帳'!$C32="無形固定資産",0,1)</f>
        <v/>
      </c>
      <c r="J32" s="68">
        <f>IF(OR($H32=0,$F32=0,$F32&gt;2),0,IF($F32=1,INDEX('償却率表'!$B$6:$B$104,$H32-1),IF($G32=200,INDEX('償却率表'!$C$6:$C$104,$H32-1),INDEX('償却率表'!$F$6:$F$104,$H32-1))))</f>
        <v/>
      </c>
      <c r="K32" s="68">
        <f>IF(AND($F32=2,$H32&gt;0),IF($G32=200,INDEX('償却率表'!$D$6:$D$104,$H32-1),INDEX('償却率表'!$G$6:$G$104,$H32-1)),0)</f>
        <v/>
      </c>
      <c r="L32" s="68">
        <f>IF(AND($F32=2,$H32&gt;0),IF($G32=200,INDEX('償却率表'!$E$6:$E$104,$H32-1),INDEX('償却率表'!$H$6:$H$104,$H32-1)),0)</f>
        <v/>
      </c>
      <c r="M32" s="68">
        <f>$C32*$L32</f>
        <v/>
      </c>
      <c r="N32" s="68">
        <f>IF($B$1=1,1,IF('固定資産台帳'!$J32="",1,IF(ISNUMBER('固定資産台帳'!$J32),IF(AND('固定資産台帳'!$J32&gt;0,'固定資産台帳'!$J32&lt;=1),'固定資産台帳'!$J32,0),0)))</f>
        <v/>
      </c>
      <c r="O32" s="68">
        <f>IF($E32=0,0,YEAR($E32)-IF(MONTH($E32)&lt;$B$2,1,0))</f>
        <v/>
      </c>
      <c r="P32" s="68">
        <f>IF($E32=0,0,12-MOD(MONTH($E32)-$B$2,12))</f>
        <v/>
      </c>
      <c r="Q32" s="84">
        <f>IF(ISNUMBER('固定資産台帳'!$K32),INT('固定資産台帳'!$K32),0)</f>
        <v/>
      </c>
      <c r="R32" s="68">
        <f>IF(OR($Q32=0,$E32=0),999,YEAR($Q32)-IF(MONTH($Q32)&lt;$B$2,1,0)-$O32)</f>
        <v/>
      </c>
      <c r="S32" s="68">
        <f>IF($R32=999,0,MOD(MONTH($Q32)-$B$2,12)+1-IF($R32=0,12-$P32,0))</f>
        <v/>
      </c>
      <c r="T32" s="68">
        <f>IF($B32=0,0,IF($C32&lt;=0,1,IF($D32=0,2,IF($F32=0,3,IF(AND($F32&lt;=2,$H32=0),4,IF(AND($F32&lt;=2,$D32&lt;DATE(2007,4,1)),5,IF($E32&lt;$D32,6,IF(AND($Q32&gt;0,$Q32&lt;$E32),7,IF($N32=0,8,IF($B$3=0,9,0))))))))))</f>
        <v/>
      </c>
      <c r="U32" s="68">
        <f>IF(AND($B32=1,$T32=0),1,0)</f>
        <v/>
      </c>
      <c r="V32" s="68">
        <f>$B$3-$O32</f>
        <v/>
      </c>
      <c r="W32" s="68">
        <f>IF(AND($U32=1,$V32&gt;=0),1,0)</f>
        <v/>
      </c>
      <c r="X32" s="68">
        <f>IF($W32=0,0,IF($V32=0,$C32,INDEX($AS32:$EP32,MIN($V32,102))))</f>
        <v/>
      </c>
      <c r="Y32" s="68">
        <f>IF($W32=0,0,INDEX($AS32:$EP32,MIN($V32,101)+1))</f>
        <v/>
      </c>
      <c r="Z32" s="68">
        <f>$X32-$Y32</f>
        <v/>
      </c>
      <c r="AA32" s="68">
        <f>IF(AND($W32=1,$F32=2,$V32&gt;=1),INDEX($ER32:$IN32,MIN($V32,101)),0)</f>
        <v/>
      </c>
      <c r="AB32" s="68">
        <f>IF(OR($W32=0,$F32&gt;2,$Z32=0),0,IF($V32=0,IF($R32=0,$S32,$P32),IF($V32=$R32,$S32,12)))</f>
        <v/>
      </c>
      <c r="AC32" s="68">
        <f>IF($W32=0,0,INT(ROUND($Z32*$N32,6)+$B$4))</f>
        <v/>
      </c>
      <c r="AD32" s="68">
        <f>IF(AND($W32=1,$F32&lt;=2,$V32=$R32),1,0)</f>
        <v/>
      </c>
      <c r="AE32" s="68">
        <f>IF(AND($W32=1,$F32&lt;=2,$V32&gt;$R32),1,0)</f>
        <v/>
      </c>
      <c r="AF32" s="68">
        <f>IF(AND($W32=1,$AE32=0,OR($Z32&gt;0,$AD32=1)),1,0)</f>
        <v/>
      </c>
      <c r="AG32" s="68">
        <f>IF($AF32=1,SUM($AF$6:$AF32),0)</f>
        <v/>
      </c>
      <c r="AH32" s="68">
        <f>IF($T32=0,"",CHOOSE($T32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32" s="68">
        <f>IF(AND($F32=2,OR('固定資産台帳'!$C32="建物",'固定資産台帳'!$C32="無形固定資産",AND(OR('固定資産台帳'!$C32="建物附属設備",'固定資産台帳'!$C32="構築物"),$D32&gt;=DATE(2016,4,1)))),"この資産は定額法だけです（定率法は使えません）。","")&amp;IF(AND($F32=3,$C32&gt;=200000),"一括償却は20万円未満の資産だけです。","")&amp;IF(AND($F32=3,$B$1=0,$C32&lt;100000),"10万円未満は一括償却にせず、全額をその年の経費にします。","")&amp;IF(AND($F32=4,$C32&lt;100000),"10万円未満は少額特例ではなく、全額をその年の経費にします。","")&amp;IF(AND($F32=4,$D32&lt;DATE(2026,4,1),$C32&gt;=300000),"2026年3月31日までの取得で少額特例が使えるのは30万円未満です。","")&amp;IF(AND($F32=4,$D32&gt;=DATE(2026,4,1),$C32&gt;=400000),"少額特例は40万円未満の資産だけです。","")&amp;IF(AND($F32=4,OR($D32&lt;DATE(2006,4,1),$D32&gt;DATE(2029,3,31))),"少額特例は2006年4月1日〜2029年3月31日に取得した資産だけです。","")&amp;IF(AND($F32=2,$G32=250,$D32&gt;DATE(2012,12,31)),"250%定率法は2012年12月31日までの取得だけです。","")</f>
        <v/>
      </c>
      <c r="AJ32" s="68">
        <f>IF(AND($F32=2,'固定資産台帳'!$H32="定率法（200%）",$D32&lt;DATE(2012,4,1)),"2012年3月31日までの取得に200%を使うのは、経過措置の届出をした場合です。","")&amp;IF(AND($F32=2,'固定資産台帳'!$H32="定率法（250%）",$D32&gt;=DATE(2012,4,1),$D32&lt;=DATE(2012,12,31)),"2012年4〜12月の取得に250%を使うのは、経過措置を選んだ場合です。","")</f>
        <v/>
      </c>
      <c r="AK32" s="68">
        <f>IF($U32=0,"",IF($V32&lt;0,"表示している年より後に使い始める資産です。",IF($AE32=1,"売却・除却済みです。",IF($AD32=1,"この年に売却・除却。期末の帳簿価額 "&amp;TEXT($Y32,"#,##0")&amp;"円を帳簿から外します。",IF($F32=4,IF($V32=0,"少額特例：この年に全額を経費にします。","少額特例で経費にした資産です。"),IF($F32=3,IF($V32&gt;2,"一括償却は終わっています。","一括償却 "&amp;($V32+1)&amp;"年目（3年のうち）。"),IF($Z32=0,"償却済み（帳簿価額 "&amp;TEXT($Y32,"#,##0")&amp;"円）。",IF($AA32&gt;0,"改定償却率で計算（改定取得価額 "&amp;TEXT($AA32,"#,##0")&amp;"円）。",IF($V32=0,"この年に使い始め（"&amp;$AB32&amp;"か月分）。","")))))))))</f>
        <v/>
      </c>
      <c r="AL32" s="68">
        <f>IF(AND($U32=1,$F32=4,$V32=0),$C32,0)</f>
        <v/>
      </c>
      <c r="AM32" s="68">
        <f>IF($F32=2,INT(ROUND($M32,6)+$B$4),0)</f>
        <v/>
      </c>
      <c r="AN32" s="68">
        <f>IF($W32=0,0,IF($F32=2,IF($AA32&gt;0,$AA32,$X32),$C32))</f>
        <v/>
      </c>
      <c r="AO32" s="68">
        <f>IF($W32=0,"",IF($F32=3,"1/3",IF($F32=4,"―",IF($AA32&gt;0,$K32,$J32))))</f>
        <v/>
      </c>
      <c r="AP32" s="68" t="n"/>
      <c r="AQ32" s="68" t="n"/>
      <c r="AR32" s="68" t="n"/>
      <c r="AS32" s="68">
        <f>IF($U32=0,0,IF($F32=4,0,IF($F32=3,MAX($C32-INT(ROUND($C32/3,6)+$B$4),0),$C32-MIN(INT(ROUND($C32*$J32*IF($R32=0,$S32,$P32)/12,6)+$B$4),MAX($C32-$I32,0)))))</f>
        <v/>
      </c>
      <c r="AT32" s="68">
        <f>IF($U32=0,0,IF($F32=4,0,IF($F32=3,AS32-MIN(INT(ROUND($C32/3,6)+$B$4),AS32),IF(OR(1&gt;$R32,AS32&lt;=$I32),AS32,AS32-MIN(INT(ROUND(IF($F32=1,$C32*$J32,IF(ER32&gt;0,ER32*$K32,AS32*$J32))*IF(1=$R32,$S32,12)/12,6)+$B$4),AS32-$I32)))))</f>
        <v/>
      </c>
      <c r="AU32" s="68">
        <f>IF($U32=0,0,IF($F32=4,0,IF($F32=3,0,IF(OR(2&gt;$R32,AT32&lt;=$I32),AT32,AT32-MIN(INT(ROUND(IF($F32=1,$C32*$J32,IF(ES32&gt;0,ES32*$K32,AT32*$J32))*IF(2=$R32,$S32,12)/12,6)+$B$4),AT32-$I32)))))</f>
        <v/>
      </c>
      <c r="AV32" s="68">
        <f>IF($U32=0,0,IF($F32=4,0,IF($F32=3,0,IF(OR(3&gt;$R32,AU32&lt;=$I32),AU32,AU32-MIN(INT(ROUND(IF($F32=1,$C32*$J32,IF(ET32&gt;0,ET32*$K32,AU32*$J32))*IF(3=$R32,$S32,12)/12,6)+$B$4),AU32-$I32)))))</f>
        <v/>
      </c>
      <c r="AW32" s="68">
        <f>IF($U32=0,0,IF($F32=4,0,IF($F32=3,0,IF(OR(4&gt;$R32,AV32&lt;=$I32),AV32,AV32-MIN(INT(ROUND(IF($F32=1,$C32*$J32,IF(EU32&gt;0,EU32*$K32,AV32*$J32))*IF(4=$R32,$S32,12)/12,6)+$B$4),AV32-$I32)))))</f>
        <v/>
      </c>
      <c r="AX32" s="68">
        <f>IF($U32=0,0,IF($F32=4,0,IF($F32=3,0,IF(OR(5&gt;$R32,AW32&lt;=$I32),AW32,AW32-MIN(INT(ROUND(IF($F32=1,$C32*$J32,IF(EV32&gt;0,EV32*$K32,AW32*$J32))*IF(5=$R32,$S32,12)/12,6)+$B$4),AW32-$I32)))))</f>
        <v/>
      </c>
      <c r="AY32" s="68">
        <f>IF($U32=0,0,IF($F32=4,0,IF($F32=3,0,IF(OR(6&gt;$R32,AX32&lt;=$I32),AX32,AX32-MIN(INT(ROUND(IF($F32=1,$C32*$J32,IF(EW32&gt;0,EW32*$K32,AX32*$J32))*IF(6=$R32,$S32,12)/12,6)+$B$4),AX32-$I32)))))</f>
        <v/>
      </c>
      <c r="AZ32" s="68">
        <f>IF($U32=0,0,IF($F32=4,0,IF($F32=3,0,IF(OR(7&gt;$R32,AY32&lt;=$I32),AY32,AY32-MIN(INT(ROUND(IF($F32=1,$C32*$J32,IF(EX32&gt;0,EX32*$K32,AY32*$J32))*IF(7=$R32,$S32,12)/12,6)+$B$4),AY32-$I32)))))</f>
        <v/>
      </c>
      <c r="BA32" s="68">
        <f>IF($U32=0,0,IF($F32=4,0,IF($F32=3,0,IF(OR(8&gt;$R32,AZ32&lt;=$I32),AZ32,AZ32-MIN(INT(ROUND(IF($F32=1,$C32*$J32,IF(EY32&gt;0,EY32*$K32,AZ32*$J32))*IF(8=$R32,$S32,12)/12,6)+$B$4),AZ32-$I32)))))</f>
        <v/>
      </c>
      <c r="BB32" s="68">
        <f>IF($U32=0,0,IF($F32=4,0,IF($F32=3,0,IF(OR(9&gt;$R32,BA32&lt;=$I32),BA32,BA32-MIN(INT(ROUND(IF($F32=1,$C32*$J32,IF(EZ32&gt;0,EZ32*$K32,BA32*$J32))*IF(9=$R32,$S32,12)/12,6)+$B$4),BA32-$I32)))))</f>
        <v/>
      </c>
      <c r="BC32" s="68">
        <f>IF($U32=0,0,IF($F32=4,0,IF($F32=3,0,IF(OR(10&gt;$R32,BB32&lt;=$I32),BB32,BB32-MIN(INT(ROUND(IF($F32=1,$C32*$J32,IF(FA32&gt;0,FA32*$K32,BB32*$J32))*IF(10=$R32,$S32,12)/12,6)+$B$4),BB32-$I32)))))</f>
        <v/>
      </c>
      <c r="BD32" s="68">
        <f>IF($U32=0,0,IF($F32=4,0,IF($F32=3,0,IF(OR(11&gt;$R32,BC32&lt;=$I32),BC32,BC32-MIN(INT(ROUND(IF($F32=1,$C32*$J32,IF(FB32&gt;0,FB32*$K32,BC32*$J32))*IF(11=$R32,$S32,12)/12,6)+$B$4),BC32-$I32)))))</f>
        <v/>
      </c>
      <c r="BE32" s="68">
        <f>IF($U32=0,0,IF($F32=4,0,IF($F32=3,0,IF(OR(12&gt;$R32,BD32&lt;=$I32),BD32,BD32-MIN(INT(ROUND(IF($F32=1,$C32*$J32,IF(FC32&gt;0,FC32*$K32,BD32*$J32))*IF(12=$R32,$S32,12)/12,6)+$B$4),BD32-$I32)))))</f>
        <v/>
      </c>
      <c r="BF32" s="68">
        <f>IF($U32=0,0,IF($F32=4,0,IF($F32=3,0,IF(OR(13&gt;$R32,BE32&lt;=$I32),BE32,BE32-MIN(INT(ROUND(IF($F32=1,$C32*$J32,IF(FD32&gt;0,FD32*$K32,BE32*$J32))*IF(13=$R32,$S32,12)/12,6)+$B$4),BE32-$I32)))))</f>
        <v/>
      </c>
      <c r="BG32" s="68">
        <f>IF($U32=0,0,IF($F32=4,0,IF($F32=3,0,IF(OR(14&gt;$R32,BF32&lt;=$I32),BF32,BF32-MIN(INT(ROUND(IF($F32=1,$C32*$J32,IF(FE32&gt;0,FE32*$K32,BF32*$J32))*IF(14=$R32,$S32,12)/12,6)+$B$4),BF32-$I32)))))</f>
        <v/>
      </c>
      <c r="BH32" s="68">
        <f>IF($U32=0,0,IF($F32=4,0,IF($F32=3,0,IF(OR(15&gt;$R32,BG32&lt;=$I32),BG32,BG32-MIN(INT(ROUND(IF($F32=1,$C32*$J32,IF(FF32&gt;0,FF32*$K32,BG32*$J32))*IF(15=$R32,$S32,12)/12,6)+$B$4),BG32-$I32)))))</f>
        <v/>
      </c>
      <c r="BI32" s="68">
        <f>IF($U32=0,0,IF($F32=4,0,IF($F32=3,0,IF(OR(16&gt;$R32,BH32&lt;=$I32),BH32,BH32-MIN(INT(ROUND(IF($F32=1,$C32*$J32,IF(FG32&gt;0,FG32*$K32,BH32*$J32))*IF(16=$R32,$S32,12)/12,6)+$B$4),BH32-$I32)))))</f>
        <v/>
      </c>
      <c r="BJ32" s="68">
        <f>IF($U32=0,0,IF($F32=4,0,IF($F32=3,0,IF(OR(17&gt;$R32,BI32&lt;=$I32),BI32,BI32-MIN(INT(ROUND(IF($F32=1,$C32*$J32,IF(FH32&gt;0,FH32*$K32,BI32*$J32))*IF(17=$R32,$S32,12)/12,6)+$B$4),BI32-$I32)))))</f>
        <v/>
      </c>
      <c r="BK32" s="68">
        <f>IF($U32=0,0,IF($F32=4,0,IF($F32=3,0,IF(OR(18&gt;$R32,BJ32&lt;=$I32),BJ32,BJ32-MIN(INT(ROUND(IF($F32=1,$C32*$J32,IF(FI32&gt;0,FI32*$K32,BJ32*$J32))*IF(18=$R32,$S32,12)/12,6)+$B$4),BJ32-$I32)))))</f>
        <v/>
      </c>
      <c r="BL32" s="68">
        <f>IF($U32=0,0,IF($F32=4,0,IF($F32=3,0,IF(OR(19&gt;$R32,BK32&lt;=$I32),BK32,BK32-MIN(INT(ROUND(IF($F32=1,$C32*$J32,IF(FJ32&gt;0,FJ32*$K32,BK32*$J32))*IF(19=$R32,$S32,12)/12,6)+$B$4),BK32-$I32)))))</f>
        <v/>
      </c>
      <c r="BM32" s="68">
        <f>IF($U32=0,0,IF($F32=4,0,IF($F32=3,0,IF(OR(20&gt;$R32,BL32&lt;=$I32),BL32,BL32-MIN(INT(ROUND(IF($F32=1,$C32*$J32,IF(FK32&gt;0,FK32*$K32,BL32*$J32))*IF(20=$R32,$S32,12)/12,6)+$B$4),BL32-$I32)))))</f>
        <v/>
      </c>
      <c r="BN32" s="68">
        <f>IF($U32=0,0,IF($F32=4,0,IF($F32=3,0,IF(OR(21&gt;$R32,BM32&lt;=$I32),BM32,BM32-MIN(INT(ROUND(IF($F32=1,$C32*$J32,IF(FL32&gt;0,FL32*$K32,BM32*$J32))*IF(21=$R32,$S32,12)/12,6)+$B$4),BM32-$I32)))))</f>
        <v/>
      </c>
      <c r="BO32" s="68">
        <f>IF($U32=0,0,IF($F32=4,0,IF($F32=3,0,IF(OR(22&gt;$R32,BN32&lt;=$I32),BN32,BN32-MIN(INT(ROUND(IF($F32=1,$C32*$J32,IF(FM32&gt;0,FM32*$K32,BN32*$J32))*IF(22=$R32,$S32,12)/12,6)+$B$4),BN32-$I32)))))</f>
        <v/>
      </c>
      <c r="BP32" s="68">
        <f>IF($U32=0,0,IF($F32=4,0,IF($F32=3,0,IF(OR(23&gt;$R32,BO32&lt;=$I32),BO32,BO32-MIN(INT(ROUND(IF($F32=1,$C32*$J32,IF(FN32&gt;0,FN32*$K32,BO32*$J32))*IF(23=$R32,$S32,12)/12,6)+$B$4),BO32-$I32)))))</f>
        <v/>
      </c>
      <c r="BQ32" s="68">
        <f>IF($U32=0,0,IF($F32=4,0,IF($F32=3,0,IF(OR(24&gt;$R32,BP32&lt;=$I32),BP32,BP32-MIN(INT(ROUND(IF($F32=1,$C32*$J32,IF(FO32&gt;0,FO32*$K32,BP32*$J32))*IF(24=$R32,$S32,12)/12,6)+$B$4),BP32-$I32)))))</f>
        <v/>
      </c>
      <c r="BR32" s="68">
        <f>IF($U32=0,0,IF($F32=4,0,IF($F32=3,0,IF(OR(25&gt;$R32,BQ32&lt;=$I32),BQ32,BQ32-MIN(INT(ROUND(IF($F32=1,$C32*$J32,IF(FP32&gt;0,FP32*$K32,BQ32*$J32))*IF(25=$R32,$S32,12)/12,6)+$B$4),BQ32-$I32)))))</f>
        <v/>
      </c>
      <c r="BS32" s="68">
        <f>IF($U32=0,0,IF($F32=4,0,IF($F32=3,0,IF(OR(26&gt;$R32,BR32&lt;=$I32),BR32,BR32-MIN(INT(ROUND(IF($F32=1,$C32*$J32,IF(FQ32&gt;0,FQ32*$K32,BR32*$J32))*IF(26=$R32,$S32,12)/12,6)+$B$4),BR32-$I32)))))</f>
        <v/>
      </c>
      <c r="BT32" s="68">
        <f>IF($U32=0,0,IF($F32=4,0,IF($F32=3,0,IF(OR(27&gt;$R32,BS32&lt;=$I32),BS32,BS32-MIN(INT(ROUND(IF($F32=1,$C32*$J32,IF(FR32&gt;0,FR32*$K32,BS32*$J32))*IF(27=$R32,$S32,12)/12,6)+$B$4),BS32-$I32)))))</f>
        <v/>
      </c>
      <c r="BU32" s="68">
        <f>IF($U32=0,0,IF($F32=4,0,IF($F32=3,0,IF(OR(28&gt;$R32,BT32&lt;=$I32),BT32,BT32-MIN(INT(ROUND(IF($F32=1,$C32*$J32,IF(FS32&gt;0,FS32*$K32,BT32*$J32))*IF(28=$R32,$S32,12)/12,6)+$B$4),BT32-$I32)))))</f>
        <v/>
      </c>
      <c r="BV32" s="68">
        <f>IF($U32=0,0,IF($F32=4,0,IF($F32=3,0,IF(OR(29&gt;$R32,BU32&lt;=$I32),BU32,BU32-MIN(INT(ROUND(IF($F32=1,$C32*$J32,IF(FT32&gt;0,FT32*$K32,BU32*$J32))*IF(29=$R32,$S32,12)/12,6)+$B$4),BU32-$I32)))))</f>
        <v/>
      </c>
      <c r="BW32" s="68">
        <f>IF($U32=0,0,IF($F32=4,0,IF($F32=3,0,IF(OR(30&gt;$R32,BV32&lt;=$I32),BV32,BV32-MIN(INT(ROUND(IF($F32=1,$C32*$J32,IF(FU32&gt;0,FU32*$K32,BV32*$J32))*IF(30=$R32,$S32,12)/12,6)+$B$4),BV32-$I32)))))</f>
        <v/>
      </c>
      <c r="BX32" s="68">
        <f>IF($U32=0,0,IF($F32=4,0,IF($F32=3,0,IF(OR(31&gt;$R32,BW32&lt;=$I32),BW32,BW32-MIN(INT(ROUND(IF($F32=1,$C32*$J32,IF(FV32&gt;0,FV32*$K32,BW32*$J32))*IF(31=$R32,$S32,12)/12,6)+$B$4),BW32-$I32)))))</f>
        <v/>
      </c>
      <c r="BY32" s="68">
        <f>IF($U32=0,0,IF($F32=4,0,IF($F32=3,0,IF(OR(32&gt;$R32,BX32&lt;=$I32),BX32,BX32-MIN(INT(ROUND(IF($F32=1,$C32*$J32,IF(FW32&gt;0,FW32*$K32,BX32*$J32))*IF(32=$R32,$S32,12)/12,6)+$B$4),BX32-$I32)))))</f>
        <v/>
      </c>
      <c r="BZ32" s="68">
        <f>IF($U32=0,0,IF($F32=4,0,IF($F32=3,0,IF(OR(33&gt;$R32,BY32&lt;=$I32),BY32,BY32-MIN(INT(ROUND(IF($F32=1,$C32*$J32,IF(FX32&gt;0,FX32*$K32,BY32*$J32))*IF(33=$R32,$S32,12)/12,6)+$B$4),BY32-$I32)))))</f>
        <v/>
      </c>
      <c r="CA32" s="68">
        <f>IF($U32=0,0,IF($F32=4,0,IF($F32=3,0,IF(OR(34&gt;$R32,BZ32&lt;=$I32),BZ32,BZ32-MIN(INT(ROUND(IF($F32=1,$C32*$J32,IF(FY32&gt;0,FY32*$K32,BZ32*$J32))*IF(34=$R32,$S32,12)/12,6)+$B$4),BZ32-$I32)))))</f>
        <v/>
      </c>
      <c r="CB32" s="68">
        <f>IF($U32=0,0,IF($F32=4,0,IF($F32=3,0,IF(OR(35&gt;$R32,CA32&lt;=$I32),CA32,CA32-MIN(INT(ROUND(IF($F32=1,$C32*$J32,IF(FZ32&gt;0,FZ32*$K32,CA32*$J32))*IF(35=$R32,$S32,12)/12,6)+$B$4),CA32-$I32)))))</f>
        <v/>
      </c>
      <c r="CC32" s="68">
        <f>IF($U32=0,0,IF($F32=4,0,IF($F32=3,0,IF(OR(36&gt;$R32,CB32&lt;=$I32),CB32,CB32-MIN(INT(ROUND(IF($F32=1,$C32*$J32,IF(GA32&gt;0,GA32*$K32,CB32*$J32))*IF(36=$R32,$S32,12)/12,6)+$B$4),CB32-$I32)))))</f>
        <v/>
      </c>
      <c r="CD32" s="68">
        <f>IF($U32=0,0,IF($F32=4,0,IF($F32=3,0,IF(OR(37&gt;$R32,CC32&lt;=$I32),CC32,CC32-MIN(INT(ROUND(IF($F32=1,$C32*$J32,IF(GB32&gt;0,GB32*$K32,CC32*$J32))*IF(37=$R32,$S32,12)/12,6)+$B$4),CC32-$I32)))))</f>
        <v/>
      </c>
      <c r="CE32" s="68">
        <f>IF($U32=0,0,IF($F32=4,0,IF($F32=3,0,IF(OR(38&gt;$R32,CD32&lt;=$I32),CD32,CD32-MIN(INT(ROUND(IF($F32=1,$C32*$J32,IF(GC32&gt;0,GC32*$K32,CD32*$J32))*IF(38=$R32,$S32,12)/12,6)+$B$4),CD32-$I32)))))</f>
        <v/>
      </c>
      <c r="CF32" s="68">
        <f>IF($U32=0,0,IF($F32=4,0,IF($F32=3,0,IF(OR(39&gt;$R32,CE32&lt;=$I32),CE32,CE32-MIN(INT(ROUND(IF($F32=1,$C32*$J32,IF(GD32&gt;0,GD32*$K32,CE32*$J32))*IF(39=$R32,$S32,12)/12,6)+$B$4),CE32-$I32)))))</f>
        <v/>
      </c>
      <c r="CG32" s="68">
        <f>IF($U32=0,0,IF($F32=4,0,IF($F32=3,0,IF(OR(40&gt;$R32,CF32&lt;=$I32),CF32,CF32-MIN(INT(ROUND(IF($F32=1,$C32*$J32,IF(GE32&gt;0,GE32*$K32,CF32*$J32))*IF(40=$R32,$S32,12)/12,6)+$B$4),CF32-$I32)))))</f>
        <v/>
      </c>
      <c r="CH32" s="68">
        <f>IF($U32=0,0,IF($F32=4,0,IF($F32=3,0,IF(OR(41&gt;$R32,CG32&lt;=$I32),CG32,CG32-MIN(INT(ROUND(IF($F32=1,$C32*$J32,IF(GF32&gt;0,GF32*$K32,CG32*$J32))*IF(41=$R32,$S32,12)/12,6)+$B$4),CG32-$I32)))))</f>
        <v/>
      </c>
      <c r="CI32" s="68">
        <f>IF($U32=0,0,IF($F32=4,0,IF($F32=3,0,IF(OR(42&gt;$R32,CH32&lt;=$I32),CH32,CH32-MIN(INT(ROUND(IF($F32=1,$C32*$J32,IF(GG32&gt;0,GG32*$K32,CH32*$J32))*IF(42=$R32,$S32,12)/12,6)+$B$4),CH32-$I32)))))</f>
        <v/>
      </c>
      <c r="CJ32" s="68">
        <f>IF($U32=0,0,IF($F32=4,0,IF($F32=3,0,IF(OR(43&gt;$R32,CI32&lt;=$I32),CI32,CI32-MIN(INT(ROUND(IF($F32=1,$C32*$J32,IF(GH32&gt;0,GH32*$K32,CI32*$J32))*IF(43=$R32,$S32,12)/12,6)+$B$4),CI32-$I32)))))</f>
        <v/>
      </c>
      <c r="CK32" s="68">
        <f>IF($U32=0,0,IF($F32=4,0,IF($F32=3,0,IF(OR(44&gt;$R32,CJ32&lt;=$I32),CJ32,CJ32-MIN(INT(ROUND(IF($F32=1,$C32*$J32,IF(GI32&gt;0,GI32*$K32,CJ32*$J32))*IF(44=$R32,$S32,12)/12,6)+$B$4),CJ32-$I32)))))</f>
        <v/>
      </c>
      <c r="CL32" s="68">
        <f>IF($U32=0,0,IF($F32=4,0,IF($F32=3,0,IF(OR(45&gt;$R32,CK32&lt;=$I32),CK32,CK32-MIN(INT(ROUND(IF($F32=1,$C32*$J32,IF(GJ32&gt;0,GJ32*$K32,CK32*$J32))*IF(45=$R32,$S32,12)/12,6)+$B$4),CK32-$I32)))))</f>
        <v/>
      </c>
      <c r="CM32" s="68">
        <f>IF($U32=0,0,IF($F32=4,0,IF($F32=3,0,IF(OR(46&gt;$R32,CL32&lt;=$I32),CL32,CL32-MIN(INT(ROUND(IF($F32=1,$C32*$J32,IF(GK32&gt;0,GK32*$K32,CL32*$J32))*IF(46=$R32,$S32,12)/12,6)+$B$4),CL32-$I32)))))</f>
        <v/>
      </c>
      <c r="CN32" s="68">
        <f>IF($U32=0,0,IF($F32=4,0,IF($F32=3,0,IF(OR(47&gt;$R32,CM32&lt;=$I32),CM32,CM32-MIN(INT(ROUND(IF($F32=1,$C32*$J32,IF(GL32&gt;0,GL32*$K32,CM32*$J32))*IF(47=$R32,$S32,12)/12,6)+$B$4),CM32-$I32)))))</f>
        <v/>
      </c>
      <c r="CO32" s="68">
        <f>IF($U32=0,0,IF($F32=4,0,IF($F32=3,0,IF(OR(48&gt;$R32,CN32&lt;=$I32),CN32,CN32-MIN(INT(ROUND(IF($F32=1,$C32*$J32,IF(GM32&gt;0,GM32*$K32,CN32*$J32))*IF(48=$R32,$S32,12)/12,6)+$B$4),CN32-$I32)))))</f>
        <v/>
      </c>
      <c r="CP32" s="68">
        <f>IF($U32=0,0,IF($F32=4,0,IF($F32=3,0,IF(OR(49&gt;$R32,CO32&lt;=$I32),CO32,CO32-MIN(INT(ROUND(IF($F32=1,$C32*$J32,IF(GN32&gt;0,GN32*$K32,CO32*$J32))*IF(49=$R32,$S32,12)/12,6)+$B$4),CO32-$I32)))))</f>
        <v/>
      </c>
      <c r="CQ32" s="68">
        <f>IF($U32=0,0,IF($F32=4,0,IF($F32=3,0,IF(OR(50&gt;$R32,CP32&lt;=$I32),CP32,CP32-MIN(INT(ROUND(IF($F32=1,$C32*$J32,IF(GO32&gt;0,GO32*$K32,CP32*$J32))*IF(50=$R32,$S32,12)/12,6)+$B$4),CP32-$I32)))))</f>
        <v/>
      </c>
      <c r="CR32" s="68">
        <f>IF($U32=0,0,IF($F32=4,0,IF($F32=3,0,IF(OR(51&gt;$R32,CQ32&lt;=$I32),CQ32,CQ32-MIN(INT(ROUND(IF($F32=1,$C32*$J32,IF(GP32&gt;0,GP32*$K32,CQ32*$J32))*IF(51=$R32,$S32,12)/12,6)+$B$4),CQ32-$I32)))))</f>
        <v/>
      </c>
      <c r="CS32" s="68">
        <f>IF($U32=0,0,IF($F32=4,0,IF($F32=3,0,IF(OR(52&gt;$R32,CR32&lt;=$I32),CR32,CR32-MIN(INT(ROUND(IF($F32=1,$C32*$J32,IF(GQ32&gt;0,GQ32*$K32,CR32*$J32))*IF(52=$R32,$S32,12)/12,6)+$B$4),CR32-$I32)))))</f>
        <v/>
      </c>
      <c r="CT32" s="68">
        <f>IF($U32=0,0,IF($F32=4,0,IF($F32=3,0,IF(OR(53&gt;$R32,CS32&lt;=$I32),CS32,CS32-MIN(INT(ROUND(IF($F32=1,$C32*$J32,IF(GR32&gt;0,GR32*$K32,CS32*$J32))*IF(53=$R32,$S32,12)/12,6)+$B$4),CS32-$I32)))))</f>
        <v/>
      </c>
      <c r="CU32" s="68">
        <f>IF($U32=0,0,IF($F32=4,0,IF($F32=3,0,IF(OR(54&gt;$R32,CT32&lt;=$I32),CT32,CT32-MIN(INT(ROUND(IF($F32=1,$C32*$J32,IF(GS32&gt;0,GS32*$K32,CT32*$J32))*IF(54=$R32,$S32,12)/12,6)+$B$4),CT32-$I32)))))</f>
        <v/>
      </c>
      <c r="CV32" s="68">
        <f>IF($U32=0,0,IF($F32=4,0,IF($F32=3,0,IF(OR(55&gt;$R32,CU32&lt;=$I32),CU32,CU32-MIN(INT(ROUND(IF($F32=1,$C32*$J32,IF(GT32&gt;0,GT32*$K32,CU32*$J32))*IF(55=$R32,$S32,12)/12,6)+$B$4),CU32-$I32)))))</f>
        <v/>
      </c>
      <c r="CW32" s="68">
        <f>IF($U32=0,0,IF($F32=4,0,IF($F32=3,0,IF(OR(56&gt;$R32,CV32&lt;=$I32),CV32,CV32-MIN(INT(ROUND(IF($F32=1,$C32*$J32,IF(GU32&gt;0,GU32*$K32,CV32*$J32))*IF(56=$R32,$S32,12)/12,6)+$B$4),CV32-$I32)))))</f>
        <v/>
      </c>
      <c r="CX32" s="68">
        <f>IF($U32=0,0,IF($F32=4,0,IF($F32=3,0,IF(OR(57&gt;$R32,CW32&lt;=$I32),CW32,CW32-MIN(INT(ROUND(IF($F32=1,$C32*$J32,IF(GV32&gt;0,GV32*$K32,CW32*$J32))*IF(57=$R32,$S32,12)/12,6)+$B$4),CW32-$I32)))))</f>
        <v/>
      </c>
      <c r="CY32" s="68">
        <f>IF($U32=0,0,IF($F32=4,0,IF($F32=3,0,IF(OR(58&gt;$R32,CX32&lt;=$I32),CX32,CX32-MIN(INT(ROUND(IF($F32=1,$C32*$J32,IF(GW32&gt;0,GW32*$K32,CX32*$J32))*IF(58=$R32,$S32,12)/12,6)+$B$4),CX32-$I32)))))</f>
        <v/>
      </c>
      <c r="CZ32" s="68">
        <f>IF($U32=0,0,IF($F32=4,0,IF($F32=3,0,IF(OR(59&gt;$R32,CY32&lt;=$I32),CY32,CY32-MIN(INT(ROUND(IF($F32=1,$C32*$J32,IF(GX32&gt;0,GX32*$K32,CY32*$J32))*IF(59=$R32,$S32,12)/12,6)+$B$4),CY32-$I32)))))</f>
        <v/>
      </c>
      <c r="DA32" s="68">
        <f>IF($U32=0,0,IF($F32=4,0,IF($F32=3,0,IF(OR(60&gt;$R32,CZ32&lt;=$I32),CZ32,CZ32-MIN(INT(ROUND(IF($F32=1,$C32*$J32,IF(GY32&gt;0,GY32*$K32,CZ32*$J32))*IF(60=$R32,$S32,12)/12,6)+$B$4),CZ32-$I32)))))</f>
        <v/>
      </c>
      <c r="DB32" s="68">
        <f>IF($U32=0,0,IF($F32=4,0,IF($F32=3,0,IF(OR(61&gt;$R32,DA32&lt;=$I32),DA32,DA32-MIN(INT(ROUND(IF($F32=1,$C32*$J32,IF(GZ32&gt;0,GZ32*$K32,DA32*$J32))*IF(61=$R32,$S32,12)/12,6)+$B$4),DA32-$I32)))))</f>
        <v/>
      </c>
      <c r="DC32" s="68">
        <f>IF($U32=0,0,IF($F32=4,0,IF($F32=3,0,IF(OR(62&gt;$R32,DB32&lt;=$I32),DB32,DB32-MIN(INT(ROUND(IF($F32=1,$C32*$J32,IF(HA32&gt;0,HA32*$K32,DB32*$J32))*IF(62=$R32,$S32,12)/12,6)+$B$4),DB32-$I32)))))</f>
        <v/>
      </c>
      <c r="DD32" s="68">
        <f>IF($U32=0,0,IF($F32=4,0,IF($F32=3,0,IF(OR(63&gt;$R32,DC32&lt;=$I32),DC32,DC32-MIN(INT(ROUND(IF($F32=1,$C32*$J32,IF(HB32&gt;0,HB32*$K32,DC32*$J32))*IF(63=$R32,$S32,12)/12,6)+$B$4),DC32-$I32)))))</f>
        <v/>
      </c>
      <c r="DE32" s="68">
        <f>IF($U32=0,0,IF($F32=4,0,IF($F32=3,0,IF(OR(64&gt;$R32,DD32&lt;=$I32),DD32,DD32-MIN(INT(ROUND(IF($F32=1,$C32*$J32,IF(HC32&gt;0,HC32*$K32,DD32*$J32))*IF(64=$R32,$S32,12)/12,6)+$B$4),DD32-$I32)))))</f>
        <v/>
      </c>
      <c r="DF32" s="68">
        <f>IF($U32=0,0,IF($F32=4,0,IF($F32=3,0,IF(OR(65&gt;$R32,DE32&lt;=$I32),DE32,DE32-MIN(INT(ROUND(IF($F32=1,$C32*$J32,IF(HD32&gt;0,HD32*$K32,DE32*$J32))*IF(65=$R32,$S32,12)/12,6)+$B$4),DE32-$I32)))))</f>
        <v/>
      </c>
      <c r="DG32" s="68">
        <f>IF($U32=0,0,IF($F32=4,0,IF($F32=3,0,IF(OR(66&gt;$R32,DF32&lt;=$I32),DF32,DF32-MIN(INT(ROUND(IF($F32=1,$C32*$J32,IF(HE32&gt;0,HE32*$K32,DF32*$J32))*IF(66=$R32,$S32,12)/12,6)+$B$4),DF32-$I32)))))</f>
        <v/>
      </c>
      <c r="DH32" s="68">
        <f>IF($U32=0,0,IF($F32=4,0,IF($F32=3,0,IF(OR(67&gt;$R32,DG32&lt;=$I32),DG32,DG32-MIN(INT(ROUND(IF($F32=1,$C32*$J32,IF(HF32&gt;0,HF32*$K32,DG32*$J32))*IF(67=$R32,$S32,12)/12,6)+$B$4),DG32-$I32)))))</f>
        <v/>
      </c>
      <c r="DI32" s="68">
        <f>IF($U32=0,0,IF($F32=4,0,IF($F32=3,0,IF(OR(68&gt;$R32,DH32&lt;=$I32),DH32,DH32-MIN(INT(ROUND(IF($F32=1,$C32*$J32,IF(HG32&gt;0,HG32*$K32,DH32*$J32))*IF(68=$R32,$S32,12)/12,6)+$B$4),DH32-$I32)))))</f>
        <v/>
      </c>
      <c r="DJ32" s="68">
        <f>IF($U32=0,0,IF($F32=4,0,IF($F32=3,0,IF(OR(69&gt;$R32,DI32&lt;=$I32),DI32,DI32-MIN(INT(ROUND(IF($F32=1,$C32*$J32,IF(HH32&gt;0,HH32*$K32,DI32*$J32))*IF(69=$R32,$S32,12)/12,6)+$B$4),DI32-$I32)))))</f>
        <v/>
      </c>
      <c r="DK32" s="68">
        <f>IF($U32=0,0,IF($F32=4,0,IF($F32=3,0,IF(OR(70&gt;$R32,DJ32&lt;=$I32),DJ32,DJ32-MIN(INT(ROUND(IF($F32=1,$C32*$J32,IF(HI32&gt;0,HI32*$K32,DJ32*$J32))*IF(70=$R32,$S32,12)/12,6)+$B$4),DJ32-$I32)))))</f>
        <v/>
      </c>
      <c r="DL32" s="68">
        <f>IF($U32=0,0,IF($F32=4,0,IF($F32=3,0,IF(OR(71&gt;$R32,DK32&lt;=$I32),DK32,DK32-MIN(INT(ROUND(IF($F32=1,$C32*$J32,IF(HJ32&gt;0,HJ32*$K32,DK32*$J32))*IF(71=$R32,$S32,12)/12,6)+$B$4),DK32-$I32)))))</f>
        <v/>
      </c>
      <c r="DM32" s="68">
        <f>IF($U32=0,0,IF($F32=4,0,IF($F32=3,0,IF(OR(72&gt;$R32,DL32&lt;=$I32),DL32,DL32-MIN(INT(ROUND(IF($F32=1,$C32*$J32,IF(HK32&gt;0,HK32*$K32,DL32*$J32))*IF(72=$R32,$S32,12)/12,6)+$B$4),DL32-$I32)))))</f>
        <v/>
      </c>
      <c r="DN32" s="68">
        <f>IF($U32=0,0,IF($F32=4,0,IF($F32=3,0,IF(OR(73&gt;$R32,DM32&lt;=$I32),DM32,DM32-MIN(INT(ROUND(IF($F32=1,$C32*$J32,IF(HL32&gt;0,HL32*$K32,DM32*$J32))*IF(73=$R32,$S32,12)/12,6)+$B$4),DM32-$I32)))))</f>
        <v/>
      </c>
      <c r="DO32" s="68">
        <f>IF($U32=0,0,IF($F32=4,0,IF($F32=3,0,IF(OR(74&gt;$R32,DN32&lt;=$I32),DN32,DN32-MIN(INT(ROUND(IF($F32=1,$C32*$J32,IF(HM32&gt;0,HM32*$K32,DN32*$J32))*IF(74=$R32,$S32,12)/12,6)+$B$4),DN32-$I32)))))</f>
        <v/>
      </c>
      <c r="DP32" s="68">
        <f>IF($U32=0,0,IF($F32=4,0,IF($F32=3,0,IF(OR(75&gt;$R32,DO32&lt;=$I32),DO32,DO32-MIN(INT(ROUND(IF($F32=1,$C32*$J32,IF(HN32&gt;0,HN32*$K32,DO32*$J32))*IF(75=$R32,$S32,12)/12,6)+$B$4),DO32-$I32)))))</f>
        <v/>
      </c>
      <c r="DQ32" s="68">
        <f>IF($U32=0,0,IF($F32=4,0,IF($F32=3,0,IF(OR(76&gt;$R32,DP32&lt;=$I32),DP32,DP32-MIN(INT(ROUND(IF($F32=1,$C32*$J32,IF(HO32&gt;0,HO32*$K32,DP32*$J32))*IF(76=$R32,$S32,12)/12,6)+$B$4),DP32-$I32)))))</f>
        <v/>
      </c>
      <c r="DR32" s="68">
        <f>IF($U32=0,0,IF($F32=4,0,IF($F32=3,0,IF(OR(77&gt;$R32,DQ32&lt;=$I32),DQ32,DQ32-MIN(INT(ROUND(IF($F32=1,$C32*$J32,IF(HP32&gt;0,HP32*$K32,DQ32*$J32))*IF(77=$R32,$S32,12)/12,6)+$B$4),DQ32-$I32)))))</f>
        <v/>
      </c>
      <c r="DS32" s="68">
        <f>IF($U32=0,0,IF($F32=4,0,IF($F32=3,0,IF(OR(78&gt;$R32,DR32&lt;=$I32),DR32,DR32-MIN(INT(ROUND(IF($F32=1,$C32*$J32,IF(HQ32&gt;0,HQ32*$K32,DR32*$J32))*IF(78=$R32,$S32,12)/12,6)+$B$4),DR32-$I32)))))</f>
        <v/>
      </c>
      <c r="DT32" s="68">
        <f>IF($U32=0,0,IF($F32=4,0,IF($F32=3,0,IF(OR(79&gt;$R32,DS32&lt;=$I32),DS32,DS32-MIN(INT(ROUND(IF($F32=1,$C32*$J32,IF(HR32&gt;0,HR32*$K32,DS32*$J32))*IF(79=$R32,$S32,12)/12,6)+$B$4),DS32-$I32)))))</f>
        <v/>
      </c>
      <c r="DU32" s="68">
        <f>IF($U32=0,0,IF($F32=4,0,IF($F32=3,0,IF(OR(80&gt;$R32,DT32&lt;=$I32),DT32,DT32-MIN(INT(ROUND(IF($F32=1,$C32*$J32,IF(HS32&gt;0,HS32*$K32,DT32*$J32))*IF(80=$R32,$S32,12)/12,6)+$B$4),DT32-$I32)))))</f>
        <v/>
      </c>
      <c r="DV32" s="68">
        <f>IF($U32=0,0,IF($F32=4,0,IF($F32=3,0,IF(OR(81&gt;$R32,DU32&lt;=$I32),DU32,DU32-MIN(INT(ROUND(IF($F32=1,$C32*$J32,IF(HT32&gt;0,HT32*$K32,DU32*$J32))*IF(81=$R32,$S32,12)/12,6)+$B$4),DU32-$I32)))))</f>
        <v/>
      </c>
      <c r="DW32" s="68">
        <f>IF($U32=0,0,IF($F32=4,0,IF($F32=3,0,IF(OR(82&gt;$R32,DV32&lt;=$I32),DV32,DV32-MIN(INT(ROUND(IF($F32=1,$C32*$J32,IF(HU32&gt;0,HU32*$K32,DV32*$J32))*IF(82=$R32,$S32,12)/12,6)+$B$4),DV32-$I32)))))</f>
        <v/>
      </c>
      <c r="DX32" s="68">
        <f>IF($U32=0,0,IF($F32=4,0,IF($F32=3,0,IF(OR(83&gt;$R32,DW32&lt;=$I32),DW32,DW32-MIN(INT(ROUND(IF($F32=1,$C32*$J32,IF(HV32&gt;0,HV32*$K32,DW32*$J32))*IF(83=$R32,$S32,12)/12,6)+$B$4),DW32-$I32)))))</f>
        <v/>
      </c>
      <c r="DY32" s="68">
        <f>IF($U32=0,0,IF($F32=4,0,IF($F32=3,0,IF(OR(84&gt;$R32,DX32&lt;=$I32),DX32,DX32-MIN(INT(ROUND(IF($F32=1,$C32*$J32,IF(HW32&gt;0,HW32*$K32,DX32*$J32))*IF(84=$R32,$S32,12)/12,6)+$B$4),DX32-$I32)))))</f>
        <v/>
      </c>
      <c r="DZ32" s="68">
        <f>IF($U32=0,0,IF($F32=4,0,IF($F32=3,0,IF(OR(85&gt;$R32,DY32&lt;=$I32),DY32,DY32-MIN(INT(ROUND(IF($F32=1,$C32*$J32,IF(HX32&gt;0,HX32*$K32,DY32*$J32))*IF(85=$R32,$S32,12)/12,6)+$B$4),DY32-$I32)))))</f>
        <v/>
      </c>
      <c r="EA32" s="68">
        <f>IF($U32=0,0,IF($F32=4,0,IF($F32=3,0,IF(OR(86&gt;$R32,DZ32&lt;=$I32),DZ32,DZ32-MIN(INT(ROUND(IF($F32=1,$C32*$J32,IF(HY32&gt;0,HY32*$K32,DZ32*$J32))*IF(86=$R32,$S32,12)/12,6)+$B$4),DZ32-$I32)))))</f>
        <v/>
      </c>
      <c r="EB32" s="68">
        <f>IF($U32=0,0,IF($F32=4,0,IF($F32=3,0,IF(OR(87&gt;$R32,EA32&lt;=$I32),EA32,EA32-MIN(INT(ROUND(IF($F32=1,$C32*$J32,IF(HZ32&gt;0,HZ32*$K32,EA32*$J32))*IF(87=$R32,$S32,12)/12,6)+$B$4),EA32-$I32)))))</f>
        <v/>
      </c>
      <c r="EC32" s="68">
        <f>IF($U32=0,0,IF($F32=4,0,IF($F32=3,0,IF(OR(88&gt;$R32,EB32&lt;=$I32),EB32,EB32-MIN(INT(ROUND(IF($F32=1,$C32*$J32,IF(IA32&gt;0,IA32*$K32,EB32*$J32))*IF(88=$R32,$S32,12)/12,6)+$B$4),EB32-$I32)))))</f>
        <v/>
      </c>
      <c r="ED32" s="68">
        <f>IF($U32=0,0,IF($F32=4,0,IF($F32=3,0,IF(OR(89&gt;$R32,EC32&lt;=$I32),EC32,EC32-MIN(INT(ROUND(IF($F32=1,$C32*$J32,IF(IB32&gt;0,IB32*$K32,EC32*$J32))*IF(89=$R32,$S32,12)/12,6)+$B$4),EC32-$I32)))))</f>
        <v/>
      </c>
      <c r="EE32" s="68">
        <f>IF($U32=0,0,IF($F32=4,0,IF($F32=3,0,IF(OR(90&gt;$R32,ED32&lt;=$I32),ED32,ED32-MIN(INT(ROUND(IF($F32=1,$C32*$J32,IF(IC32&gt;0,IC32*$K32,ED32*$J32))*IF(90=$R32,$S32,12)/12,6)+$B$4),ED32-$I32)))))</f>
        <v/>
      </c>
      <c r="EF32" s="68">
        <f>IF($U32=0,0,IF($F32=4,0,IF($F32=3,0,IF(OR(91&gt;$R32,EE32&lt;=$I32),EE32,EE32-MIN(INT(ROUND(IF($F32=1,$C32*$J32,IF(ID32&gt;0,ID32*$K32,EE32*$J32))*IF(91=$R32,$S32,12)/12,6)+$B$4),EE32-$I32)))))</f>
        <v/>
      </c>
      <c r="EG32" s="68">
        <f>IF($U32=0,0,IF($F32=4,0,IF($F32=3,0,IF(OR(92&gt;$R32,EF32&lt;=$I32),EF32,EF32-MIN(INT(ROUND(IF($F32=1,$C32*$J32,IF(IE32&gt;0,IE32*$K32,EF32*$J32))*IF(92=$R32,$S32,12)/12,6)+$B$4),EF32-$I32)))))</f>
        <v/>
      </c>
      <c r="EH32" s="68">
        <f>IF($U32=0,0,IF($F32=4,0,IF($F32=3,0,IF(OR(93&gt;$R32,EG32&lt;=$I32),EG32,EG32-MIN(INT(ROUND(IF($F32=1,$C32*$J32,IF(IF32&gt;0,IF32*$K32,EG32*$J32))*IF(93=$R32,$S32,12)/12,6)+$B$4),EG32-$I32)))))</f>
        <v/>
      </c>
      <c r="EI32" s="68">
        <f>IF($U32=0,0,IF($F32=4,0,IF($F32=3,0,IF(OR(94&gt;$R32,EH32&lt;=$I32),EH32,EH32-MIN(INT(ROUND(IF($F32=1,$C32*$J32,IF(IG32&gt;0,IG32*$K32,EH32*$J32))*IF(94=$R32,$S32,12)/12,6)+$B$4),EH32-$I32)))))</f>
        <v/>
      </c>
      <c r="EJ32" s="68">
        <f>IF($U32=0,0,IF($F32=4,0,IF($F32=3,0,IF(OR(95&gt;$R32,EI32&lt;=$I32),EI32,EI32-MIN(INT(ROUND(IF($F32=1,$C32*$J32,IF(IH32&gt;0,IH32*$K32,EI32*$J32))*IF(95=$R32,$S32,12)/12,6)+$B$4),EI32-$I32)))))</f>
        <v/>
      </c>
      <c r="EK32" s="68">
        <f>IF($U32=0,0,IF($F32=4,0,IF($F32=3,0,IF(OR(96&gt;$R32,EJ32&lt;=$I32),EJ32,EJ32-MIN(INT(ROUND(IF($F32=1,$C32*$J32,IF(II32&gt;0,II32*$K32,EJ32*$J32))*IF(96=$R32,$S32,12)/12,6)+$B$4),EJ32-$I32)))))</f>
        <v/>
      </c>
      <c r="EL32" s="68">
        <f>IF($U32=0,0,IF($F32=4,0,IF($F32=3,0,IF(OR(97&gt;$R32,EK32&lt;=$I32),EK32,EK32-MIN(INT(ROUND(IF($F32=1,$C32*$J32,IF(IJ32&gt;0,IJ32*$K32,EK32*$J32))*IF(97=$R32,$S32,12)/12,6)+$B$4),EK32-$I32)))))</f>
        <v/>
      </c>
      <c r="EM32" s="68">
        <f>IF($U32=0,0,IF($F32=4,0,IF($F32=3,0,IF(OR(98&gt;$R32,EL32&lt;=$I32),EL32,EL32-MIN(INT(ROUND(IF($F32=1,$C32*$J32,IF(IK32&gt;0,IK32*$K32,EL32*$J32))*IF(98=$R32,$S32,12)/12,6)+$B$4),EL32-$I32)))))</f>
        <v/>
      </c>
      <c r="EN32" s="68">
        <f>IF($U32=0,0,IF($F32=4,0,IF($F32=3,0,IF(OR(99&gt;$R32,EM32&lt;=$I32),EM32,EM32-MIN(INT(ROUND(IF($F32=1,$C32*$J32,IF(IL32&gt;0,IL32*$K32,EM32*$J32))*IF(99=$R32,$S32,12)/12,6)+$B$4),EM32-$I32)))))</f>
        <v/>
      </c>
      <c r="EO32" s="68">
        <f>IF($U32=0,0,IF($F32=4,0,IF($F32=3,0,IF(OR(100&gt;$R32,EN32&lt;=$I32),EN32,EN32-MIN(INT(ROUND(IF($F32=1,$C32*$J32,IF(IM32&gt;0,IM32*$K32,EN32*$J32))*IF(100=$R32,$S32,12)/12,6)+$B$4),EN32-$I32)))))</f>
        <v/>
      </c>
      <c r="EP32" s="68">
        <f>IF($U32=0,0,IF($F32=4,0,IF($F32=3,0,IF(OR(101&gt;$R32,EO32&lt;=$I32),EO32,EO32-MIN(INT(ROUND(IF($F32=1,$C32*$J32,IF(IN32&gt;0,IN32*$K32,EO32*$J32))*IF(101=$R32,$S32,12)/12,6)+$B$4),EO32-$I32)))))</f>
        <v/>
      </c>
      <c r="EQ32" s="68" t="n"/>
      <c r="ER32" s="68">
        <f>IF(OR($U32=0,$F32&lt;&gt;2),0,IF(ROUND(AS32*$J32,6)&lt;ROUND($M32,6),AS32,0))</f>
        <v/>
      </c>
      <c r="ES32" s="68">
        <f>IF(OR($U32=0,$F32&lt;&gt;2),0,IF(ER32&gt;0,ER32,IF(ROUND(AT32*$J32,6)&lt;ROUND($M32,6),AT32,0)))</f>
        <v/>
      </c>
      <c r="ET32" s="68">
        <f>IF(OR($U32=0,$F32&lt;&gt;2),0,IF(ES32&gt;0,ES32,IF(ROUND(AU32*$J32,6)&lt;ROUND($M32,6),AU32,0)))</f>
        <v/>
      </c>
      <c r="EU32" s="68">
        <f>IF(OR($U32=0,$F32&lt;&gt;2),0,IF(ET32&gt;0,ET32,IF(ROUND(AV32*$J32,6)&lt;ROUND($M32,6),AV32,0)))</f>
        <v/>
      </c>
      <c r="EV32" s="68">
        <f>IF(OR($U32=0,$F32&lt;&gt;2),0,IF(EU32&gt;0,EU32,IF(ROUND(AW32*$J32,6)&lt;ROUND($M32,6),AW32,0)))</f>
        <v/>
      </c>
      <c r="EW32" s="68">
        <f>IF(OR($U32=0,$F32&lt;&gt;2),0,IF(EV32&gt;0,EV32,IF(ROUND(AX32*$J32,6)&lt;ROUND($M32,6),AX32,0)))</f>
        <v/>
      </c>
      <c r="EX32" s="68">
        <f>IF(OR($U32=0,$F32&lt;&gt;2),0,IF(EW32&gt;0,EW32,IF(ROUND(AY32*$J32,6)&lt;ROUND($M32,6),AY32,0)))</f>
        <v/>
      </c>
      <c r="EY32" s="68">
        <f>IF(OR($U32=0,$F32&lt;&gt;2),0,IF(EX32&gt;0,EX32,IF(ROUND(AZ32*$J32,6)&lt;ROUND($M32,6),AZ32,0)))</f>
        <v/>
      </c>
      <c r="EZ32" s="68">
        <f>IF(OR($U32=0,$F32&lt;&gt;2),0,IF(EY32&gt;0,EY32,IF(ROUND(BA32*$J32,6)&lt;ROUND($M32,6),BA32,0)))</f>
        <v/>
      </c>
      <c r="FA32" s="68">
        <f>IF(OR($U32=0,$F32&lt;&gt;2),0,IF(EZ32&gt;0,EZ32,IF(ROUND(BB32*$J32,6)&lt;ROUND($M32,6),BB32,0)))</f>
        <v/>
      </c>
      <c r="FB32" s="68">
        <f>IF(OR($U32=0,$F32&lt;&gt;2),0,IF(FA32&gt;0,FA32,IF(ROUND(BC32*$J32,6)&lt;ROUND($M32,6),BC32,0)))</f>
        <v/>
      </c>
      <c r="FC32" s="68">
        <f>IF(OR($U32=0,$F32&lt;&gt;2),0,IF(FB32&gt;0,FB32,IF(ROUND(BD32*$J32,6)&lt;ROUND($M32,6),BD32,0)))</f>
        <v/>
      </c>
      <c r="FD32" s="68">
        <f>IF(OR($U32=0,$F32&lt;&gt;2),0,IF(FC32&gt;0,FC32,IF(ROUND(BE32*$J32,6)&lt;ROUND($M32,6),BE32,0)))</f>
        <v/>
      </c>
      <c r="FE32" s="68">
        <f>IF(OR($U32=0,$F32&lt;&gt;2),0,IF(FD32&gt;0,FD32,IF(ROUND(BF32*$J32,6)&lt;ROUND($M32,6),BF32,0)))</f>
        <v/>
      </c>
      <c r="FF32" s="68">
        <f>IF(OR($U32=0,$F32&lt;&gt;2),0,IF(FE32&gt;0,FE32,IF(ROUND(BG32*$J32,6)&lt;ROUND($M32,6),BG32,0)))</f>
        <v/>
      </c>
      <c r="FG32" s="68">
        <f>IF(OR($U32=0,$F32&lt;&gt;2),0,IF(FF32&gt;0,FF32,IF(ROUND(BH32*$J32,6)&lt;ROUND($M32,6),BH32,0)))</f>
        <v/>
      </c>
      <c r="FH32" s="68">
        <f>IF(OR($U32=0,$F32&lt;&gt;2),0,IF(FG32&gt;0,FG32,IF(ROUND(BI32*$J32,6)&lt;ROUND($M32,6),BI32,0)))</f>
        <v/>
      </c>
      <c r="FI32" s="68">
        <f>IF(OR($U32=0,$F32&lt;&gt;2),0,IF(FH32&gt;0,FH32,IF(ROUND(BJ32*$J32,6)&lt;ROUND($M32,6),BJ32,0)))</f>
        <v/>
      </c>
      <c r="FJ32" s="68">
        <f>IF(OR($U32=0,$F32&lt;&gt;2),0,IF(FI32&gt;0,FI32,IF(ROUND(BK32*$J32,6)&lt;ROUND($M32,6),BK32,0)))</f>
        <v/>
      </c>
      <c r="FK32" s="68">
        <f>IF(OR($U32=0,$F32&lt;&gt;2),0,IF(FJ32&gt;0,FJ32,IF(ROUND(BL32*$J32,6)&lt;ROUND($M32,6),BL32,0)))</f>
        <v/>
      </c>
      <c r="FL32" s="68">
        <f>IF(OR($U32=0,$F32&lt;&gt;2),0,IF(FK32&gt;0,FK32,IF(ROUND(BM32*$J32,6)&lt;ROUND($M32,6),BM32,0)))</f>
        <v/>
      </c>
      <c r="FM32" s="68">
        <f>IF(OR($U32=0,$F32&lt;&gt;2),0,IF(FL32&gt;0,FL32,IF(ROUND(BN32*$J32,6)&lt;ROUND($M32,6),BN32,0)))</f>
        <v/>
      </c>
      <c r="FN32" s="68">
        <f>IF(OR($U32=0,$F32&lt;&gt;2),0,IF(FM32&gt;0,FM32,IF(ROUND(BO32*$J32,6)&lt;ROUND($M32,6),BO32,0)))</f>
        <v/>
      </c>
      <c r="FO32" s="68">
        <f>IF(OR($U32=0,$F32&lt;&gt;2),0,IF(FN32&gt;0,FN32,IF(ROUND(BP32*$J32,6)&lt;ROUND($M32,6),BP32,0)))</f>
        <v/>
      </c>
      <c r="FP32" s="68">
        <f>IF(OR($U32=0,$F32&lt;&gt;2),0,IF(FO32&gt;0,FO32,IF(ROUND(BQ32*$J32,6)&lt;ROUND($M32,6),BQ32,0)))</f>
        <v/>
      </c>
      <c r="FQ32" s="68">
        <f>IF(OR($U32=0,$F32&lt;&gt;2),0,IF(FP32&gt;0,FP32,IF(ROUND(BR32*$J32,6)&lt;ROUND($M32,6),BR32,0)))</f>
        <v/>
      </c>
      <c r="FR32" s="68">
        <f>IF(OR($U32=0,$F32&lt;&gt;2),0,IF(FQ32&gt;0,FQ32,IF(ROUND(BS32*$J32,6)&lt;ROUND($M32,6),BS32,0)))</f>
        <v/>
      </c>
      <c r="FS32" s="68">
        <f>IF(OR($U32=0,$F32&lt;&gt;2),0,IF(FR32&gt;0,FR32,IF(ROUND(BT32*$J32,6)&lt;ROUND($M32,6),BT32,0)))</f>
        <v/>
      </c>
      <c r="FT32" s="68">
        <f>IF(OR($U32=0,$F32&lt;&gt;2),0,IF(FS32&gt;0,FS32,IF(ROUND(BU32*$J32,6)&lt;ROUND($M32,6),BU32,0)))</f>
        <v/>
      </c>
      <c r="FU32" s="68">
        <f>IF(OR($U32=0,$F32&lt;&gt;2),0,IF(FT32&gt;0,FT32,IF(ROUND(BV32*$J32,6)&lt;ROUND($M32,6),BV32,0)))</f>
        <v/>
      </c>
      <c r="FV32" s="68">
        <f>IF(OR($U32=0,$F32&lt;&gt;2),0,IF(FU32&gt;0,FU32,IF(ROUND(BW32*$J32,6)&lt;ROUND($M32,6),BW32,0)))</f>
        <v/>
      </c>
      <c r="FW32" s="68">
        <f>IF(OR($U32=0,$F32&lt;&gt;2),0,IF(FV32&gt;0,FV32,IF(ROUND(BX32*$J32,6)&lt;ROUND($M32,6),BX32,0)))</f>
        <v/>
      </c>
      <c r="FX32" s="68">
        <f>IF(OR($U32=0,$F32&lt;&gt;2),0,IF(FW32&gt;0,FW32,IF(ROUND(BY32*$J32,6)&lt;ROUND($M32,6),BY32,0)))</f>
        <v/>
      </c>
      <c r="FY32" s="68">
        <f>IF(OR($U32=0,$F32&lt;&gt;2),0,IF(FX32&gt;0,FX32,IF(ROUND(BZ32*$J32,6)&lt;ROUND($M32,6),BZ32,0)))</f>
        <v/>
      </c>
      <c r="FZ32" s="68">
        <f>IF(OR($U32=0,$F32&lt;&gt;2),0,IF(FY32&gt;0,FY32,IF(ROUND(CA32*$J32,6)&lt;ROUND($M32,6),CA32,0)))</f>
        <v/>
      </c>
      <c r="GA32" s="68">
        <f>IF(OR($U32=0,$F32&lt;&gt;2),0,IF(FZ32&gt;0,FZ32,IF(ROUND(CB32*$J32,6)&lt;ROUND($M32,6),CB32,0)))</f>
        <v/>
      </c>
      <c r="GB32" s="68">
        <f>IF(OR($U32=0,$F32&lt;&gt;2),0,IF(GA32&gt;0,GA32,IF(ROUND(CC32*$J32,6)&lt;ROUND($M32,6),CC32,0)))</f>
        <v/>
      </c>
      <c r="GC32" s="68">
        <f>IF(OR($U32=0,$F32&lt;&gt;2),0,IF(GB32&gt;0,GB32,IF(ROUND(CD32*$J32,6)&lt;ROUND($M32,6),CD32,0)))</f>
        <v/>
      </c>
      <c r="GD32" s="68">
        <f>IF(OR($U32=0,$F32&lt;&gt;2),0,IF(GC32&gt;0,GC32,IF(ROUND(CE32*$J32,6)&lt;ROUND($M32,6),CE32,0)))</f>
        <v/>
      </c>
      <c r="GE32" s="68">
        <f>IF(OR($U32=0,$F32&lt;&gt;2),0,IF(GD32&gt;0,GD32,IF(ROUND(CF32*$J32,6)&lt;ROUND($M32,6),CF32,0)))</f>
        <v/>
      </c>
      <c r="GF32" s="68">
        <f>IF(OR($U32=0,$F32&lt;&gt;2),0,IF(GE32&gt;0,GE32,IF(ROUND(CG32*$J32,6)&lt;ROUND($M32,6),CG32,0)))</f>
        <v/>
      </c>
      <c r="GG32" s="68">
        <f>IF(OR($U32=0,$F32&lt;&gt;2),0,IF(GF32&gt;0,GF32,IF(ROUND(CH32*$J32,6)&lt;ROUND($M32,6),CH32,0)))</f>
        <v/>
      </c>
      <c r="GH32" s="68">
        <f>IF(OR($U32=0,$F32&lt;&gt;2),0,IF(GG32&gt;0,GG32,IF(ROUND(CI32*$J32,6)&lt;ROUND($M32,6),CI32,0)))</f>
        <v/>
      </c>
      <c r="GI32" s="68">
        <f>IF(OR($U32=0,$F32&lt;&gt;2),0,IF(GH32&gt;0,GH32,IF(ROUND(CJ32*$J32,6)&lt;ROUND($M32,6),CJ32,0)))</f>
        <v/>
      </c>
      <c r="GJ32" s="68">
        <f>IF(OR($U32=0,$F32&lt;&gt;2),0,IF(GI32&gt;0,GI32,IF(ROUND(CK32*$J32,6)&lt;ROUND($M32,6),CK32,0)))</f>
        <v/>
      </c>
      <c r="GK32" s="68">
        <f>IF(OR($U32=0,$F32&lt;&gt;2),0,IF(GJ32&gt;0,GJ32,IF(ROUND(CL32*$J32,6)&lt;ROUND($M32,6),CL32,0)))</f>
        <v/>
      </c>
      <c r="GL32" s="68">
        <f>IF(OR($U32=0,$F32&lt;&gt;2),0,IF(GK32&gt;0,GK32,IF(ROUND(CM32*$J32,6)&lt;ROUND($M32,6),CM32,0)))</f>
        <v/>
      </c>
      <c r="GM32" s="68">
        <f>IF(OR($U32=0,$F32&lt;&gt;2),0,IF(GL32&gt;0,GL32,IF(ROUND(CN32*$J32,6)&lt;ROUND($M32,6),CN32,0)))</f>
        <v/>
      </c>
      <c r="GN32" s="68">
        <f>IF(OR($U32=0,$F32&lt;&gt;2),0,IF(GM32&gt;0,GM32,IF(ROUND(CO32*$J32,6)&lt;ROUND($M32,6),CO32,0)))</f>
        <v/>
      </c>
      <c r="GO32" s="68">
        <f>IF(OR($U32=0,$F32&lt;&gt;2),0,IF(GN32&gt;0,GN32,IF(ROUND(CP32*$J32,6)&lt;ROUND($M32,6),CP32,0)))</f>
        <v/>
      </c>
      <c r="GP32" s="68">
        <f>IF(OR($U32=0,$F32&lt;&gt;2),0,IF(GO32&gt;0,GO32,IF(ROUND(CQ32*$J32,6)&lt;ROUND($M32,6),CQ32,0)))</f>
        <v/>
      </c>
      <c r="GQ32" s="68">
        <f>IF(OR($U32=0,$F32&lt;&gt;2),0,IF(GP32&gt;0,GP32,IF(ROUND(CR32*$J32,6)&lt;ROUND($M32,6),CR32,0)))</f>
        <v/>
      </c>
      <c r="GR32" s="68">
        <f>IF(OR($U32=0,$F32&lt;&gt;2),0,IF(GQ32&gt;0,GQ32,IF(ROUND(CS32*$J32,6)&lt;ROUND($M32,6),CS32,0)))</f>
        <v/>
      </c>
      <c r="GS32" s="68">
        <f>IF(OR($U32=0,$F32&lt;&gt;2),0,IF(GR32&gt;0,GR32,IF(ROUND(CT32*$J32,6)&lt;ROUND($M32,6),CT32,0)))</f>
        <v/>
      </c>
      <c r="GT32" s="68">
        <f>IF(OR($U32=0,$F32&lt;&gt;2),0,IF(GS32&gt;0,GS32,IF(ROUND(CU32*$J32,6)&lt;ROUND($M32,6),CU32,0)))</f>
        <v/>
      </c>
      <c r="GU32" s="68">
        <f>IF(OR($U32=0,$F32&lt;&gt;2),0,IF(GT32&gt;0,GT32,IF(ROUND(CV32*$J32,6)&lt;ROUND($M32,6),CV32,0)))</f>
        <v/>
      </c>
      <c r="GV32" s="68">
        <f>IF(OR($U32=0,$F32&lt;&gt;2),0,IF(GU32&gt;0,GU32,IF(ROUND(CW32*$J32,6)&lt;ROUND($M32,6),CW32,0)))</f>
        <v/>
      </c>
      <c r="GW32" s="68">
        <f>IF(OR($U32=0,$F32&lt;&gt;2),0,IF(GV32&gt;0,GV32,IF(ROUND(CX32*$J32,6)&lt;ROUND($M32,6),CX32,0)))</f>
        <v/>
      </c>
      <c r="GX32" s="68">
        <f>IF(OR($U32=0,$F32&lt;&gt;2),0,IF(GW32&gt;0,GW32,IF(ROUND(CY32*$J32,6)&lt;ROUND($M32,6),CY32,0)))</f>
        <v/>
      </c>
      <c r="GY32" s="68">
        <f>IF(OR($U32=0,$F32&lt;&gt;2),0,IF(GX32&gt;0,GX32,IF(ROUND(CZ32*$J32,6)&lt;ROUND($M32,6),CZ32,0)))</f>
        <v/>
      </c>
      <c r="GZ32" s="68">
        <f>IF(OR($U32=0,$F32&lt;&gt;2),0,IF(GY32&gt;0,GY32,IF(ROUND(DA32*$J32,6)&lt;ROUND($M32,6),DA32,0)))</f>
        <v/>
      </c>
      <c r="HA32" s="68">
        <f>IF(OR($U32=0,$F32&lt;&gt;2),0,IF(GZ32&gt;0,GZ32,IF(ROUND(DB32*$J32,6)&lt;ROUND($M32,6),DB32,0)))</f>
        <v/>
      </c>
      <c r="HB32" s="68">
        <f>IF(OR($U32=0,$F32&lt;&gt;2),0,IF(HA32&gt;0,HA32,IF(ROUND(DC32*$J32,6)&lt;ROUND($M32,6),DC32,0)))</f>
        <v/>
      </c>
      <c r="HC32" s="68">
        <f>IF(OR($U32=0,$F32&lt;&gt;2),0,IF(HB32&gt;0,HB32,IF(ROUND(DD32*$J32,6)&lt;ROUND($M32,6),DD32,0)))</f>
        <v/>
      </c>
      <c r="HD32" s="68">
        <f>IF(OR($U32=0,$F32&lt;&gt;2),0,IF(HC32&gt;0,HC32,IF(ROUND(DE32*$J32,6)&lt;ROUND($M32,6),DE32,0)))</f>
        <v/>
      </c>
      <c r="HE32" s="68">
        <f>IF(OR($U32=0,$F32&lt;&gt;2),0,IF(HD32&gt;0,HD32,IF(ROUND(DF32*$J32,6)&lt;ROUND($M32,6),DF32,0)))</f>
        <v/>
      </c>
      <c r="HF32" s="68">
        <f>IF(OR($U32=0,$F32&lt;&gt;2),0,IF(HE32&gt;0,HE32,IF(ROUND(DG32*$J32,6)&lt;ROUND($M32,6),DG32,0)))</f>
        <v/>
      </c>
      <c r="HG32" s="68">
        <f>IF(OR($U32=0,$F32&lt;&gt;2),0,IF(HF32&gt;0,HF32,IF(ROUND(DH32*$J32,6)&lt;ROUND($M32,6),DH32,0)))</f>
        <v/>
      </c>
      <c r="HH32" s="68">
        <f>IF(OR($U32=0,$F32&lt;&gt;2),0,IF(HG32&gt;0,HG32,IF(ROUND(DI32*$J32,6)&lt;ROUND($M32,6),DI32,0)))</f>
        <v/>
      </c>
      <c r="HI32" s="68">
        <f>IF(OR($U32=0,$F32&lt;&gt;2),0,IF(HH32&gt;0,HH32,IF(ROUND(DJ32*$J32,6)&lt;ROUND($M32,6),DJ32,0)))</f>
        <v/>
      </c>
      <c r="HJ32" s="68">
        <f>IF(OR($U32=0,$F32&lt;&gt;2),0,IF(HI32&gt;0,HI32,IF(ROUND(DK32*$J32,6)&lt;ROUND($M32,6),DK32,0)))</f>
        <v/>
      </c>
      <c r="HK32" s="68">
        <f>IF(OR($U32=0,$F32&lt;&gt;2),0,IF(HJ32&gt;0,HJ32,IF(ROUND(DL32*$J32,6)&lt;ROUND($M32,6),DL32,0)))</f>
        <v/>
      </c>
      <c r="HL32" s="68">
        <f>IF(OR($U32=0,$F32&lt;&gt;2),0,IF(HK32&gt;0,HK32,IF(ROUND(DM32*$J32,6)&lt;ROUND($M32,6),DM32,0)))</f>
        <v/>
      </c>
      <c r="HM32" s="68">
        <f>IF(OR($U32=0,$F32&lt;&gt;2),0,IF(HL32&gt;0,HL32,IF(ROUND(DN32*$J32,6)&lt;ROUND($M32,6),DN32,0)))</f>
        <v/>
      </c>
      <c r="HN32" s="68">
        <f>IF(OR($U32=0,$F32&lt;&gt;2),0,IF(HM32&gt;0,HM32,IF(ROUND(DO32*$J32,6)&lt;ROUND($M32,6),DO32,0)))</f>
        <v/>
      </c>
      <c r="HO32" s="68">
        <f>IF(OR($U32=0,$F32&lt;&gt;2),0,IF(HN32&gt;0,HN32,IF(ROUND(DP32*$J32,6)&lt;ROUND($M32,6),DP32,0)))</f>
        <v/>
      </c>
      <c r="HP32" s="68">
        <f>IF(OR($U32=0,$F32&lt;&gt;2),0,IF(HO32&gt;0,HO32,IF(ROUND(DQ32*$J32,6)&lt;ROUND($M32,6),DQ32,0)))</f>
        <v/>
      </c>
      <c r="HQ32" s="68">
        <f>IF(OR($U32=0,$F32&lt;&gt;2),0,IF(HP32&gt;0,HP32,IF(ROUND(DR32*$J32,6)&lt;ROUND($M32,6),DR32,0)))</f>
        <v/>
      </c>
      <c r="HR32" s="68">
        <f>IF(OR($U32=0,$F32&lt;&gt;2),0,IF(HQ32&gt;0,HQ32,IF(ROUND(DS32*$J32,6)&lt;ROUND($M32,6),DS32,0)))</f>
        <v/>
      </c>
      <c r="HS32" s="68">
        <f>IF(OR($U32=0,$F32&lt;&gt;2),0,IF(HR32&gt;0,HR32,IF(ROUND(DT32*$J32,6)&lt;ROUND($M32,6),DT32,0)))</f>
        <v/>
      </c>
      <c r="HT32" s="68">
        <f>IF(OR($U32=0,$F32&lt;&gt;2),0,IF(HS32&gt;0,HS32,IF(ROUND(DU32*$J32,6)&lt;ROUND($M32,6),DU32,0)))</f>
        <v/>
      </c>
      <c r="HU32" s="68">
        <f>IF(OR($U32=0,$F32&lt;&gt;2),0,IF(HT32&gt;0,HT32,IF(ROUND(DV32*$J32,6)&lt;ROUND($M32,6),DV32,0)))</f>
        <v/>
      </c>
      <c r="HV32" s="68">
        <f>IF(OR($U32=0,$F32&lt;&gt;2),0,IF(HU32&gt;0,HU32,IF(ROUND(DW32*$J32,6)&lt;ROUND($M32,6),DW32,0)))</f>
        <v/>
      </c>
      <c r="HW32" s="68">
        <f>IF(OR($U32=0,$F32&lt;&gt;2),0,IF(HV32&gt;0,HV32,IF(ROUND(DX32*$J32,6)&lt;ROUND($M32,6),DX32,0)))</f>
        <v/>
      </c>
      <c r="HX32" s="68">
        <f>IF(OR($U32=0,$F32&lt;&gt;2),0,IF(HW32&gt;0,HW32,IF(ROUND(DY32*$J32,6)&lt;ROUND($M32,6),DY32,0)))</f>
        <v/>
      </c>
      <c r="HY32" s="68">
        <f>IF(OR($U32=0,$F32&lt;&gt;2),0,IF(HX32&gt;0,HX32,IF(ROUND(DZ32*$J32,6)&lt;ROUND($M32,6),DZ32,0)))</f>
        <v/>
      </c>
      <c r="HZ32" s="68">
        <f>IF(OR($U32=0,$F32&lt;&gt;2),0,IF(HY32&gt;0,HY32,IF(ROUND(EA32*$J32,6)&lt;ROUND($M32,6),EA32,0)))</f>
        <v/>
      </c>
      <c r="IA32" s="68">
        <f>IF(OR($U32=0,$F32&lt;&gt;2),0,IF(HZ32&gt;0,HZ32,IF(ROUND(EB32*$J32,6)&lt;ROUND($M32,6),EB32,0)))</f>
        <v/>
      </c>
      <c r="IB32" s="68">
        <f>IF(OR($U32=0,$F32&lt;&gt;2),0,IF(IA32&gt;0,IA32,IF(ROUND(EC32*$J32,6)&lt;ROUND($M32,6),EC32,0)))</f>
        <v/>
      </c>
      <c r="IC32" s="68">
        <f>IF(OR($U32=0,$F32&lt;&gt;2),0,IF(IB32&gt;0,IB32,IF(ROUND(ED32*$J32,6)&lt;ROUND($M32,6),ED32,0)))</f>
        <v/>
      </c>
      <c r="ID32" s="68">
        <f>IF(OR($U32=0,$F32&lt;&gt;2),0,IF(IC32&gt;0,IC32,IF(ROUND(EE32*$J32,6)&lt;ROUND($M32,6),EE32,0)))</f>
        <v/>
      </c>
      <c r="IE32" s="68">
        <f>IF(OR($U32=0,$F32&lt;&gt;2),0,IF(ID32&gt;0,ID32,IF(ROUND(EF32*$J32,6)&lt;ROUND($M32,6),EF32,0)))</f>
        <v/>
      </c>
      <c r="IF32" s="68">
        <f>IF(OR($U32=0,$F32&lt;&gt;2),0,IF(IE32&gt;0,IE32,IF(ROUND(EG32*$J32,6)&lt;ROUND($M32,6),EG32,0)))</f>
        <v/>
      </c>
      <c r="IG32" s="68">
        <f>IF(OR($U32=0,$F32&lt;&gt;2),0,IF(IF32&gt;0,IF32,IF(ROUND(EH32*$J32,6)&lt;ROUND($M32,6),EH32,0)))</f>
        <v/>
      </c>
      <c r="IH32" s="68">
        <f>IF(OR($U32=0,$F32&lt;&gt;2),0,IF(IG32&gt;0,IG32,IF(ROUND(EI32*$J32,6)&lt;ROUND($M32,6),EI32,0)))</f>
        <v/>
      </c>
      <c r="II32" s="68">
        <f>IF(OR($U32=0,$F32&lt;&gt;2),0,IF(IH32&gt;0,IH32,IF(ROUND(EJ32*$J32,6)&lt;ROUND($M32,6),EJ32,0)))</f>
        <v/>
      </c>
      <c r="IJ32" s="68">
        <f>IF(OR($U32=0,$F32&lt;&gt;2),0,IF(II32&gt;0,II32,IF(ROUND(EK32*$J32,6)&lt;ROUND($M32,6),EK32,0)))</f>
        <v/>
      </c>
      <c r="IK32" s="68">
        <f>IF(OR($U32=0,$F32&lt;&gt;2),0,IF(IJ32&gt;0,IJ32,IF(ROUND(EL32*$J32,6)&lt;ROUND($M32,6),EL32,0)))</f>
        <v/>
      </c>
      <c r="IL32" s="68">
        <f>IF(OR($U32=0,$F32&lt;&gt;2),0,IF(IK32&gt;0,IK32,IF(ROUND(EM32*$J32,6)&lt;ROUND($M32,6),EM32,0)))</f>
        <v/>
      </c>
      <c r="IM32" s="68">
        <f>IF(OR($U32=0,$F32&lt;&gt;2),0,IF(IL32&gt;0,IL32,IF(ROUND(EN32*$J32,6)&lt;ROUND($M32,6),EN32,0)))</f>
        <v/>
      </c>
      <c r="IN32" s="68">
        <f>IF(OR($U32=0,$F32&lt;&gt;2),0,IF(IM32&gt;0,IM32,IF(ROUND(EO32*$J32,6)&lt;ROUND($M32,6),EO32,0)))</f>
        <v/>
      </c>
    </row>
    <row r="33">
      <c r="A33" s="68" t="n">
        <v>28</v>
      </c>
      <c r="B33" s="68">
        <f>IF(OR(TRIM('固定資産台帳'!$B33)&lt;&gt;"",'固定資産台帳'!$E33&lt;&gt;"",'固定資産台帳'!$G33&lt;&gt;"",'固定資産台帳'!$H33&lt;&gt;""),1,0)</f>
        <v/>
      </c>
      <c r="C33" s="68">
        <f>IF(ISNUMBER('固定資産台帳'!$G33),MAX(ROUND('固定資産台帳'!$G33,0),0),0)</f>
        <v/>
      </c>
      <c r="D33" s="84">
        <f>IF(ISNUMBER('固定資産台帳'!$E33),INT('固定資産台帳'!$E33),0)</f>
        <v/>
      </c>
      <c r="E33" s="84">
        <f>IF(ISNUMBER('固定資産台帳'!$F33),INT('固定資産台帳'!$F33),$D33)</f>
        <v/>
      </c>
      <c r="F33" s="68">
        <f>IF('固定資産台帳'!$H33="定額法",1,IF(OR('固定資産台帳'!$H33="定率法",'固定資産台帳'!$H33="定率法（200%）",'固定資産台帳'!$H33="定率法（250%）"),2,IF('固定資産台帳'!$H33="一括償却（3年）",3,IF('固定資産台帳'!$H33="少額特例",4,0))))</f>
        <v/>
      </c>
      <c r="G33" s="68">
        <f>IF('固定資産台帳'!$H33="定率法（250%）",250,IF('固定資産台帳'!$H33="定率法（200%）",200,IF($D33&gt;=DATE(2012,4,1),200,250)))</f>
        <v/>
      </c>
      <c r="H33" s="68">
        <f>IF(ISNUMBER('固定資産台帳'!$I33),IF(AND('固定資産台帳'!$I33&gt;=2,'固定資産台帳'!$I33&lt;=100,'固定資産台帳'!$I33=INT('固定資産台帳'!$I33)),'固定資産台帳'!$I33,0),0)</f>
        <v/>
      </c>
      <c r="I33" s="68">
        <f>IF('固定資産台帳'!$C33="無形固定資産",0,1)</f>
        <v/>
      </c>
      <c r="J33" s="68">
        <f>IF(OR($H33=0,$F33=0,$F33&gt;2),0,IF($F33=1,INDEX('償却率表'!$B$6:$B$104,$H33-1),IF($G33=200,INDEX('償却率表'!$C$6:$C$104,$H33-1),INDEX('償却率表'!$F$6:$F$104,$H33-1))))</f>
        <v/>
      </c>
      <c r="K33" s="68">
        <f>IF(AND($F33=2,$H33&gt;0),IF($G33=200,INDEX('償却率表'!$D$6:$D$104,$H33-1),INDEX('償却率表'!$G$6:$G$104,$H33-1)),0)</f>
        <v/>
      </c>
      <c r="L33" s="68">
        <f>IF(AND($F33=2,$H33&gt;0),IF($G33=200,INDEX('償却率表'!$E$6:$E$104,$H33-1),INDEX('償却率表'!$H$6:$H$104,$H33-1)),0)</f>
        <v/>
      </c>
      <c r="M33" s="68">
        <f>$C33*$L33</f>
        <v/>
      </c>
      <c r="N33" s="68">
        <f>IF($B$1=1,1,IF('固定資産台帳'!$J33="",1,IF(ISNUMBER('固定資産台帳'!$J33),IF(AND('固定資産台帳'!$J33&gt;0,'固定資産台帳'!$J33&lt;=1),'固定資産台帳'!$J33,0),0)))</f>
        <v/>
      </c>
      <c r="O33" s="68">
        <f>IF($E33=0,0,YEAR($E33)-IF(MONTH($E33)&lt;$B$2,1,0))</f>
        <v/>
      </c>
      <c r="P33" s="68">
        <f>IF($E33=0,0,12-MOD(MONTH($E33)-$B$2,12))</f>
        <v/>
      </c>
      <c r="Q33" s="84">
        <f>IF(ISNUMBER('固定資産台帳'!$K33),INT('固定資産台帳'!$K33),0)</f>
        <v/>
      </c>
      <c r="R33" s="68">
        <f>IF(OR($Q33=0,$E33=0),999,YEAR($Q33)-IF(MONTH($Q33)&lt;$B$2,1,0)-$O33)</f>
        <v/>
      </c>
      <c r="S33" s="68">
        <f>IF($R33=999,0,MOD(MONTH($Q33)-$B$2,12)+1-IF($R33=0,12-$P33,0))</f>
        <v/>
      </c>
      <c r="T33" s="68">
        <f>IF($B33=0,0,IF($C33&lt;=0,1,IF($D33=0,2,IF($F33=0,3,IF(AND($F33&lt;=2,$H33=0),4,IF(AND($F33&lt;=2,$D33&lt;DATE(2007,4,1)),5,IF($E33&lt;$D33,6,IF(AND($Q33&gt;0,$Q33&lt;$E33),7,IF($N33=0,8,IF($B$3=0,9,0))))))))))</f>
        <v/>
      </c>
      <c r="U33" s="68">
        <f>IF(AND($B33=1,$T33=0),1,0)</f>
        <v/>
      </c>
      <c r="V33" s="68">
        <f>$B$3-$O33</f>
        <v/>
      </c>
      <c r="W33" s="68">
        <f>IF(AND($U33=1,$V33&gt;=0),1,0)</f>
        <v/>
      </c>
      <c r="X33" s="68">
        <f>IF($W33=0,0,IF($V33=0,$C33,INDEX($AS33:$EP33,MIN($V33,102))))</f>
        <v/>
      </c>
      <c r="Y33" s="68">
        <f>IF($W33=0,0,INDEX($AS33:$EP33,MIN($V33,101)+1))</f>
        <v/>
      </c>
      <c r="Z33" s="68">
        <f>$X33-$Y33</f>
        <v/>
      </c>
      <c r="AA33" s="68">
        <f>IF(AND($W33=1,$F33=2,$V33&gt;=1),INDEX($ER33:$IN33,MIN($V33,101)),0)</f>
        <v/>
      </c>
      <c r="AB33" s="68">
        <f>IF(OR($W33=0,$F33&gt;2,$Z33=0),0,IF($V33=0,IF($R33=0,$S33,$P33),IF($V33=$R33,$S33,12)))</f>
        <v/>
      </c>
      <c r="AC33" s="68">
        <f>IF($W33=0,0,INT(ROUND($Z33*$N33,6)+$B$4))</f>
        <v/>
      </c>
      <c r="AD33" s="68">
        <f>IF(AND($W33=1,$F33&lt;=2,$V33=$R33),1,0)</f>
        <v/>
      </c>
      <c r="AE33" s="68">
        <f>IF(AND($W33=1,$F33&lt;=2,$V33&gt;$R33),1,0)</f>
        <v/>
      </c>
      <c r="AF33" s="68">
        <f>IF(AND($W33=1,$AE33=0,OR($Z33&gt;0,$AD33=1)),1,0)</f>
        <v/>
      </c>
      <c r="AG33" s="68">
        <f>IF($AF33=1,SUM($AF$6:$AF33),0)</f>
        <v/>
      </c>
      <c r="AH33" s="68">
        <f>IF($T33=0,"",CHOOSE($T33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33" s="68">
        <f>IF(AND($F33=2,OR('固定資産台帳'!$C33="建物",'固定資産台帳'!$C33="無形固定資産",AND(OR('固定資産台帳'!$C33="建物附属設備",'固定資産台帳'!$C33="構築物"),$D33&gt;=DATE(2016,4,1)))),"この資産は定額法だけです（定率法は使えません）。","")&amp;IF(AND($F33=3,$C33&gt;=200000),"一括償却は20万円未満の資産だけです。","")&amp;IF(AND($F33=3,$B$1=0,$C33&lt;100000),"10万円未満は一括償却にせず、全額をその年の経費にします。","")&amp;IF(AND($F33=4,$C33&lt;100000),"10万円未満は少額特例ではなく、全額をその年の経費にします。","")&amp;IF(AND($F33=4,$D33&lt;DATE(2026,4,1),$C33&gt;=300000),"2026年3月31日までの取得で少額特例が使えるのは30万円未満です。","")&amp;IF(AND($F33=4,$D33&gt;=DATE(2026,4,1),$C33&gt;=400000),"少額特例は40万円未満の資産だけです。","")&amp;IF(AND($F33=4,OR($D33&lt;DATE(2006,4,1),$D33&gt;DATE(2029,3,31))),"少額特例は2006年4月1日〜2029年3月31日に取得した資産だけです。","")&amp;IF(AND($F33=2,$G33=250,$D33&gt;DATE(2012,12,31)),"250%定率法は2012年12月31日までの取得だけです。","")</f>
        <v/>
      </c>
      <c r="AJ33" s="68">
        <f>IF(AND($F33=2,'固定資産台帳'!$H33="定率法（200%）",$D33&lt;DATE(2012,4,1)),"2012年3月31日までの取得に200%を使うのは、経過措置の届出をした場合です。","")&amp;IF(AND($F33=2,'固定資産台帳'!$H33="定率法（250%）",$D33&gt;=DATE(2012,4,1),$D33&lt;=DATE(2012,12,31)),"2012年4〜12月の取得に250%を使うのは、経過措置を選んだ場合です。","")</f>
        <v/>
      </c>
      <c r="AK33" s="68">
        <f>IF($U33=0,"",IF($V33&lt;0,"表示している年より後に使い始める資産です。",IF($AE33=1,"売却・除却済みです。",IF($AD33=1,"この年に売却・除却。期末の帳簿価額 "&amp;TEXT($Y33,"#,##0")&amp;"円を帳簿から外します。",IF($F33=4,IF($V33=0,"少額特例：この年に全額を経費にします。","少額特例で経費にした資産です。"),IF($F33=3,IF($V33&gt;2,"一括償却は終わっています。","一括償却 "&amp;($V33+1)&amp;"年目（3年のうち）。"),IF($Z33=0,"償却済み（帳簿価額 "&amp;TEXT($Y33,"#,##0")&amp;"円）。",IF($AA33&gt;0,"改定償却率で計算（改定取得価額 "&amp;TEXT($AA33,"#,##0")&amp;"円）。",IF($V33=0,"この年に使い始め（"&amp;$AB33&amp;"か月分）。","")))))))))</f>
        <v/>
      </c>
      <c r="AL33" s="68">
        <f>IF(AND($U33=1,$F33=4,$V33=0),$C33,0)</f>
        <v/>
      </c>
      <c r="AM33" s="68">
        <f>IF($F33=2,INT(ROUND($M33,6)+$B$4),0)</f>
        <v/>
      </c>
      <c r="AN33" s="68">
        <f>IF($W33=0,0,IF($F33=2,IF($AA33&gt;0,$AA33,$X33),$C33))</f>
        <v/>
      </c>
      <c r="AO33" s="68">
        <f>IF($W33=0,"",IF($F33=3,"1/3",IF($F33=4,"―",IF($AA33&gt;0,$K33,$J33))))</f>
        <v/>
      </c>
      <c r="AP33" s="68" t="n"/>
      <c r="AQ33" s="68" t="n"/>
      <c r="AR33" s="68" t="n"/>
      <c r="AS33" s="68">
        <f>IF($U33=0,0,IF($F33=4,0,IF($F33=3,MAX($C33-INT(ROUND($C33/3,6)+$B$4),0),$C33-MIN(INT(ROUND($C33*$J33*IF($R33=0,$S33,$P33)/12,6)+$B$4),MAX($C33-$I33,0)))))</f>
        <v/>
      </c>
      <c r="AT33" s="68">
        <f>IF($U33=0,0,IF($F33=4,0,IF($F33=3,AS33-MIN(INT(ROUND($C33/3,6)+$B$4),AS33),IF(OR(1&gt;$R33,AS33&lt;=$I33),AS33,AS33-MIN(INT(ROUND(IF($F33=1,$C33*$J33,IF(ER33&gt;0,ER33*$K33,AS33*$J33))*IF(1=$R33,$S33,12)/12,6)+$B$4),AS33-$I33)))))</f>
        <v/>
      </c>
      <c r="AU33" s="68">
        <f>IF($U33=0,0,IF($F33=4,0,IF($F33=3,0,IF(OR(2&gt;$R33,AT33&lt;=$I33),AT33,AT33-MIN(INT(ROUND(IF($F33=1,$C33*$J33,IF(ES33&gt;0,ES33*$K33,AT33*$J33))*IF(2=$R33,$S33,12)/12,6)+$B$4),AT33-$I33)))))</f>
        <v/>
      </c>
      <c r="AV33" s="68">
        <f>IF($U33=0,0,IF($F33=4,0,IF($F33=3,0,IF(OR(3&gt;$R33,AU33&lt;=$I33),AU33,AU33-MIN(INT(ROUND(IF($F33=1,$C33*$J33,IF(ET33&gt;0,ET33*$K33,AU33*$J33))*IF(3=$R33,$S33,12)/12,6)+$B$4),AU33-$I33)))))</f>
        <v/>
      </c>
      <c r="AW33" s="68">
        <f>IF($U33=0,0,IF($F33=4,0,IF($F33=3,0,IF(OR(4&gt;$R33,AV33&lt;=$I33),AV33,AV33-MIN(INT(ROUND(IF($F33=1,$C33*$J33,IF(EU33&gt;0,EU33*$K33,AV33*$J33))*IF(4=$R33,$S33,12)/12,6)+$B$4),AV33-$I33)))))</f>
        <v/>
      </c>
      <c r="AX33" s="68">
        <f>IF($U33=0,0,IF($F33=4,0,IF($F33=3,0,IF(OR(5&gt;$R33,AW33&lt;=$I33),AW33,AW33-MIN(INT(ROUND(IF($F33=1,$C33*$J33,IF(EV33&gt;0,EV33*$K33,AW33*$J33))*IF(5=$R33,$S33,12)/12,6)+$B$4),AW33-$I33)))))</f>
        <v/>
      </c>
      <c r="AY33" s="68">
        <f>IF($U33=0,0,IF($F33=4,0,IF($F33=3,0,IF(OR(6&gt;$R33,AX33&lt;=$I33),AX33,AX33-MIN(INT(ROUND(IF($F33=1,$C33*$J33,IF(EW33&gt;0,EW33*$K33,AX33*$J33))*IF(6=$R33,$S33,12)/12,6)+$B$4),AX33-$I33)))))</f>
        <v/>
      </c>
      <c r="AZ33" s="68">
        <f>IF($U33=0,0,IF($F33=4,0,IF($F33=3,0,IF(OR(7&gt;$R33,AY33&lt;=$I33),AY33,AY33-MIN(INT(ROUND(IF($F33=1,$C33*$J33,IF(EX33&gt;0,EX33*$K33,AY33*$J33))*IF(7=$R33,$S33,12)/12,6)+$B$4),AY33-$I33)))))</f>
        <v/>
      </c>
      <c r="BA33" s="68">
        <f>IF($U33=0,0,IF($F33=4,0,IF($F33=3,0,IF(OR(8&gt;$R33,AZ33&lt;=$I33),AZ33,AZ33-MIN(INT(ROUND(IF($F33=1,$C33*$J33,IF(EY33&gt;0,EY33*$K33,AZ33*$J33))*IF(8=$R33,$S33,12)/12,6)+$B$4),AZ33-$I33)))))</f>
        <v/>
      </c>
      <c r="BB33" s="68">
        <f>IF($U33=0,0,IF($F33=4,0,IF($F33=3,0,IF(OR(9&gt;$R33,BA33&lt;=$I33),BA33,BA33-MIN(INT(ROUND(IF($F33=1,$C33*$J33,IF(EZ33&gt;0,EZ33*$K33,BA33*$J33))*IF(9=$R33,$S33,12)/12,6)+$B$4),BA33-$I33)))))</f>
        <v/>
      </c>
      <c r="BC33" s="68">
        <f>IF($U33=0,0,IF($F33=4,0,IF($F33=3,0,IF(OR(10&gt;$R33,BB33&lt;=$I33),BB33,BB33-MIN(INT(ROUND(IF($F33=1,$C33*$J33,IF(FA33&gt;0,FA33*$K33,BB33*$J33))*IF(10=$R33,$S33,12)/12,6)+$B$4),BB33-$I33)))))</f>
        <v/>
      </c>
      <c r="BD33" s="68">
        <f>IF($U33=0,0,IF($F33=4,0,IF($F33=3,0,IF(OR(11&gt;$R33,BC33&lt;=$I33),BC33,BC33-MIN(INT(ROUND(IF($F33=1,$C33*$J33,IF(FB33&gt;0,FB33*$K33,BC33*$J33))*IF(11=$R33,$S33,12)/12,6)+$B$4),BC33-$I33)))))</f>
        <v/>
      </c>
      <c r="BE33" s="68">
        <f>IF($U33=0,0,IF($F33=4,0,IF($F33=3,0,IF(OR(12&gt;$R33,BD33&lt;=$I33),BD33,BD33-MIN(INT(ROUND(IF($F33=1,$C33*$J33,IF(FC33&gt;0,FC33*$K33,BD33*$J33))*IF(12=$R33,$S33,12)/12,6)+$B$4),BD33-$I33)))))</f>
        <v/>
      </c>
      <c r="BF33" s="68">
        <f>IF($U33=0,0,IF($F33=4,0,IF($F33=3,0,IF(OR(13&gt;$R33,BE33&lt;=$I33),BE33,BE33-MIN(INT(ROUND(IF($F33=1,$C33*$J33,IF(FD33&gt;0,FD33*$K33,BE33*$J33))*IF(13=$R33,$S33,12)/12,6)+$B$4),BE33-$I33)))))</f>
        <v/>
      </c>
      <c r="BG33" s="68">
        <f>IF($U33=0,0,IF($F33=4,0,IF($F33=3,0,IF(OR(14&gt;$R33,BF33&lt;=$I33),BF33,BF33-MIN(INT(ROUND(IF($F33=1,$C33*$J33,IF(FE33&gt;0,FE33*$K33,BF33*$J33))*IF(14=$R33,$S33,12)/12,6)+$B$4),BF33-$I33)))))</f>
        <v/>
      </c>
      <c r="BH33" s="68">
        <f>IF($U33=0,0,IF($F33=4,0,IF($F33=3,0,IF(OR(15&gt;$R33,BG33&lt;=$I33),BG33,BG33-MIN(INT(ROUND(IF($F33=1,$C33*$J33,IF(FF33&gt;0,FF33*$K33,BG33*$J33))*IF(15=$R33,$S33,12)/12,6)+$B$4),BG33-$I33)))))</f>
        <v/>
      </c>
      <c r="BI33" s="68">
        <f>IF($U33=0,0,IF($F33=4,0,IF($F33=3,0,IF(OR(16&gt;$R33,BH33&lt;=$I33),BH33,BH33-MIN(INT(ROUND(IF($F33=1,$C33*$J33,IF(FG33&gt;0,FG33*$K33,BH33*$J33))*IF(16=$R33,$S33,12)/12,6)+$B$4),BH33-$I33)))))</f>
        <v/>
      </c>
      <c r="BJ33" s="68">
        <f>IF($U33=0,0,IF($F33=4,0,IF($F33=3,0,IF(OR(17&gt;$R33,BI33&lt;=$I33),BI33,BI33-MIN(INT(ROUND(IF($F33=1,$C33*$J33,IF(FH33&gt;0,FH33*$K33,BI33*$J33))*IF(17=$R33,$S33,12)/12,6)+$B$4),BI33-$I33)))))</f>
        <v/>
      </c>
      <c r="BK33" s="68">
        <f>IF($U33=0,0,IF($F33=4,0,IF($F33=3,0,IF(OR(18&gt;$R33,BJ33&lt;=$I33),BJ33,BJ33-MIN(INT(ROUND(IF($F33=1,$C33*$J33,IF(FI33&gt;0,FI33*$K33,BJ33*$J33))*IF(18=$R33,$S33,12)/12,6)+$B$4),BJ33-$I33)))))</f>
        <v/>
      </c>
      <c r="BL33" s="68">
        <f>IF($U33=0,0,IF($F33=4,0,IF($F33=3,0,IF(OR(19&gt;$R33,BK33&lt;=$I33),BK33,BK33-MIN(INT(ROUND(IF($F33=1,$C33*$J33,IF(FJ33&gt;0,FJ33*$K33,BK33*$J33))*IF(19=$R33,$S33,12)/12,6)+$B$4),BK33-$I33)))))</f>
        <v/>
      </c>
      <c r="BM33" s="68">
        <f>IF($U33=0,0,IF($F33=4,0,IF($F33=3,0,IF(OR(20&gt;$R33,BL33&lt;=$I33),BL33,BL33-MIN(INT(ROUND(IF($F33=1,$C33*$J33,IF(FK33&gt;0,FK33*$K33,BL33*$J33))*IF(20=$R33,$S33,12)/12,6)+$B$4),BL33-$I33)))))</f>
        <v/>
      </c>
      <c r="BN33" s="68">
        <f>IF($U33=0,0,IF($F33=4,0,IF($F33=3,0,IF(OR(21&gt;$R33,BM33&lt;=$I33),BM33,BM33-MIN(INT(ROUND(IF($F33=1,$C33*$J33,IF(FL33&gt;0,FL33*$K33,BM33*$J33))*IF(21=$R33,$S33,12)/12,6)+$B$4),BM33-$I33)))))</f>
        <v/>
      </c>
      <c r="BO33" s="68">
        <f>IF($U33=0,0,IF($F33=4,0,IF($F33=3,0,IF(OR(22&gt;$R33,BN33&lt;=$I33),BN33,BN33-MIN(INT(ROUND(IF($F33=1,$C33*$J33,IF(FM33&gt;0,FM33*$K33,BN33*$J33))*IF(22=$R33,$S33,12)/12,6)+$B$4),BN33-$I33)))))</f>
        <v/>
      </c>
      <c r="BP33" s="68">
        <f>IF($U33=0,0,IF($F33=4,0,IF($F33=3,0,IF(OR(23&gt;$R33,BO33&lt;=$I33),BO33,BO33-MIN(INT(ROUND(IF($F33=1,$C33*$J33,IF(FN33&gt;0,FN33*$K33,BO33*$J33))*IF(23=$R33,$S33,12)/12,6)+$B$4),BO33-$I33)))))</f>
        <v/>
      </c>
      <c r="BQ33" s="68">
        <f>IF($U33=0,0,IF($F33=4,0,IF($F33=3,0,IF(OR(24&gt;$R33,BP33&lt;=$I33),BP33,BP33-MIN(INT(ROUND(IF($F33=1,$C33*$J33,IF(FO33&gt;0,FO33*$K33,BP33*$J33))*IF(24=$R33,$S33,12)/12,6)+$B$4),BP33-$I33)))))</f>
        <v/>
      </c>
      <c r="BR33" s="68">
        <f>IF($U33=0,0,IF($F33=4,0,IF($F33=3,0,IF(OR(25&gt;$R33,BQ33&lt;=$I33),BQ33,BQ33-MIN(INT(ROUND(IF($F33=1,$C33*$J33,IF(FP33&gt;0,FP33*$K33,BQ33*$J33))*IF(25=$R33,$S33,12)/12,6)+$B$4),BQ33-$I33)))))</f>
        <v/>
      </c>
      <c r="BS33" s="68">
        <f>IF($U33=0,0,IF($F33=4,0,IF($F33=3,0,IF(OR(26&gt;$R33,BR33&lt;=$I33),BR33,BR33-MIN(INT(ROUND(IF($F33=1,$C33*$J33,IF(FQ33&gt;0,FQ33*$K33,BR33*$J33))*IF(26=$R33,$S33,12)/12,6)+$B$4),BR33-$I33)))))</f>
        <v/>
      </c>
      <c r="BT33" s="68">
        <f>IF($U33=0,0,IF($F33=4,0,IF($F33=3,0,IF(OR(27&gt;$R33,BS33&lt;=$I33),BS33,BS33-MIN(INT(ROUND(IF($F33=1,$C33*$J33,IF(FR33&gt;0,FR33*$K33,BS33*$J33))*IF(27=$R33,$S33,12)/12,6)+$B$4),BS33-$I33)))))</f>
        <v/>
      </c>
      <c r="BU33" s="68">
        <f>IF($U33=0,0,IF($F33=4,0,IF($F33=3,0,IF(OR(28&gt;$R33,BT33&lt;=$I33),BT33,BT33-MIN(INT(ROUND(IF($F33=1,$C33*$J33,IF(FS33&gt;0,FS33*$K33,BT33*$J33))*IF(28=$R33,$S33,12)/12,6)+$B$4),BT33-$I33)))))</f>
        <v/>
      </c>
      <c r="BV33" s="68">
        <f>IF($U33=0,0,IF($F33=4,0,IF($F33=3,0,IF(OR(29&gt;$R33,BU33&lt;=$I33),BU33,BU33-MIN(INT(ROUND(IF($F33=1,$C33*$J33,IF(FT33&gt;0,FT33*$K33,BU33*$J33))*IF(29=$R33,$S33,12)/12,6)+$B$4),BU33-$I33)))))</f>
        <v/>
      </c>
      <c r="BW33" s="68">
        <f>IF($U33=0,0,IF($F33=4,0,IF($F33=3,0,IF(OR(30&gt;$R33,BV33&lt;=$I33),BV33,BV33-MIN(INT(ROUND(IF($F33=1,$C33*$J33,IF(FU33&gt;0,FU33*$K33,BV33*$J33))*IF(30=$R33,$S33,12)/12,6)+$B$4),BV33-$I33)))))</f>
        <v/>
      </c>
      <c r="BX33" s="68">
        <f>IF($U33=0,0,IF($F33=4,0,IF($F33=3,0,IF(OR(31&gt;$R33,BW33&lt;=$I33),BW33,BW33-MIN(INT(ROUND(IF($F33=1,$C33*$J33,IF(FV33&gt;0,FV33*$K33,BW33*$J33))*IF(31=$R33,$S33,12)/12,6)+$B$4),BW33-$I33)))))</f>
        <v/>
      </c>
      <c r="BY33" s="68">
        <f>IF($U33=0,0,IF($F33=4,0,IF($F33=3,0,IF(OR(32&gt;$R33,BX33&lt;=$I33),BX33,BX33-MIN(INT(ROUND(IF($F33=1,$C33*$J33,IF(FW33&gt;0,FW33*$K33,BX33*$J33))*IF(32=$R33,$S33,12)/12,6)+$B$4),BX33-$I33)))))</f>
        <v/>
      </c>
      <c r="BZ33" s="68">
        <f>IF($U33=0,0,IF($F33=4,0,IF($F33=3,0,IF(OR(33&gt;$R33,BY33&lt;=$I33),BY33,BY33-MIN(INT(ROUND(IF($F33=1,$C33*$J33,IF(FX33&gt;0,FX33*$K33,BY33*$J33))*IF(33=$R33,$S33,12)/12,6)+$B$4),BY33-$I33)))))</f>
        <v/>
      </c>
      <c r="CA33" s="68">
        <f>IF($U33=0,0,IF($F33=4,0,IF($F33=3,0,IF(OR(34&gt;$R33,BZ33&lt;=$I33),BZ33,BZ33-MIN(INT(ROUND(IF($F33=1,$C33*$J33,IF(FY33&gt;0,FY33*$K33,BZ33*$J33))*IF(34=$R33,$S33,12)/12,6)+$B$4),BZ33-$I33)))))</f>
        <v/>
      </c>
      <c r="CB33" s="68">
        <f>IF($U33=0,0,IF($F33=4,0,IF($F33=3,0,IF(OR(35&gt;$R33,CA33&lt;=$I33),CA33,CA33-MIN(INT(ROUND(IF($F33=1,$C33*$J33,IF(FZ33&gt;0,FZ33*$K33,CA33*$J33))*IF(35=$R33,$S33,12)/12,6)+$B$4),CA33-$I33)))))</f>
        <v/>
      </c>
      <c r="CC33" s="68">
        <f>IF($U33=0,0,IF($F33=4,0,IF($F33=3,0,IF(OR(36&gt;$R33,CB33&lt;=$I33),CB33,CB33-MIN(INT(ROUND(IF($F33=1,$C33*$J33,IF(GA33&gt;0,GA33*$K33,CB33*$J33))*IF(36=$R33,$S33,12)/12,6)+$B$4),CB33-$I33)))))</f>
        <v/>
      </c>
      <c r="CD33" s="68">
        <f>IF($U33=0,0,IF($F33=4,0,IF($F33=3,0,IF(OR(37&gt;$R33,CC33&lt;=$I33),CC33,CC33-MIN(INT(ROUND(IF($F33=1,$C33*$J33,IF(GB33&gt;0,GB33*$K33,CC33*$J33))*IF(37=$R33,$S33,12)/12,6)+$B$4),CC33-$I33)))))</f>
        <v/>
      </c>
      <c r="CE33" s="68">
        <f>IF($U33=0,0,IF($F33=4,0,IF($F33=3,0,IF(OR(38&gt;$R33,CD33&lt;=$I33),CD33,CD33-MIN(INT(ROUND(IF($F33=1,$C33*$J33,IF(GC33&gt;0,GC33*$K33,CD33*$J33))*IF(38=$R33,$S33,12)/12,6)+$B$4),CD33-$I33)))))</f>
        <v/>
      </c>
      <c r="CF33" s="68">
        <f>IF($U33=0,0,IF($F33=4,0,IF($F33=3,0,IF(OR(39&gt;$R33,CE33&lt;=$I33),CE33,CE33-MIN(INT(ROUND(IF($F33=1,$C33*$J33,IF(GD33&gt;0,GD33*$K33,CE33*$J33))*IF(39=$R33,$S33,12)/12,6)+$B$4),CE33-$I33)))))</f>
        <v/>
      </c>
      <c r="CG33" s="68">
        <f>IF($U33=0,0,IF($F33=4,0,IF($F33=3,0,IF(OR(40&gt;$R33,CF33&lt;=$I33),CF33,CF33-MIN(INT(ROUND(IF($F33=1,$C33*$J33,IF(GE33&gt;0,GE33*$K33,CF33*$J33))*IF(40=$R33,$S33,12)/12,6)+$B$4),CF33-$I33)))))</f>
        <v/>
      </c>
      <c r="CH33" s="68">
        <f>IF($U33=0,0,IF($F33=4,0,IF($F33=3,0,IF(OR(41&gt;$R33,CG33&lt;=$I33),CG33,CG33-MIN(INT(ROUND(IF($F33=1,$C33*$J33,IF(GF33&gt;0,GF33*$K33,CG33*$J33))*IF(41=$R33,$S33,12)/12,6)+$B$4),CG33-$I33)))))</f>
        <v/>
      </c>
      <c r="CI33" s="68">
        <f>IF($U33=0,0,IF($F33=4,0,IF($F33=3,0,IF(OR(42&gt;$R33,CH33&lt;=$I33),CH33,CH33-MIN(INT(ROUND(IF($F33=1,$C33*$J33,IF(GG33&gt;0,GG33*$K33,CH33*$J33))*IF(42=$R33,$S33,12)/12,6)+$B$4),CH33-$I33)))))</f>
        <v/>
      </c>
      <c r="CJ33" s="68">
        <f>IF($U33=0,0,IF($F33=4,0,IF($F33=3,0,IF(OR(43&gt;$R33,CI33&lt;=$I33),CI33,CI33-MIN(INT(ROUND(IF($F33=1,$C33*$J33,IF(GH33&gt;0,GH33*$K33,CI33*$J33))*IF(43=$R33,$S33,12)/12,6)+$B$4),CI33-$I33)))))</f>
        <v/>
      </c>
      <c r="CK33" s="68">
        <f>IF($U33=0,0,IF($F33=4,0,IF($F33=3,0,IF(OR(44&gt;$R33,CJ33&lt;=$I33),CJ33,CJ33-MIN(INT(ROUND(IF($F33=1,$C33*$J33,IF(GI33&gt;0,GI33*$K33,CJ33*$J33))*IF(44=$R33,$S33,12)/12,6)+$B$4),CJ33-$I33)))))</f>
        <v/>
      </c>
      <c r="CL33" s="68">
        <f>IF($U33=0,0,IF($F33=4,0,IF($F33=3,0,IF(OR(45&gt;$R33,CK33&lt;=$I33),CK33,CK33-MIN(INT(ROUND(IF($F33=1,$C33*$J33,IF(GJ33&gt;0,GJ33*$K33,CK33*$J33))*IF(45=$R33,$S33,12)/12,6)+$B$4),CK33-$I33)))))</f>
        <v/>
      </c>
      <c r="CM33" s="68">
        <f>IF($U33=0,0,IF($F33=4,0,IF($F33=3,0,IF(OR(46&gt;$R33,CL33&lt;=$I33),CL33,CL33-MIN(INT(ROUND(IF($F33=1,$C33*$J33,IF(GK33&gt;0,GK33*$K33,CL33*$J33))*IF(46=$R33,$S33,12)/12,6)+$B$4),CL33-$I33)))))</f>
        <v/>
      </c>
      <c r="CN33" s="68">
        <f>IF($U33=0,0,IF($F33=4,0,IF($F33=3,0,IF(OR(47&gt;$R33,CM33&lt;=$I33),CM33,CM33-MIN(INT(ROUND(IF($F33=1,$C33*$J33,IF(GL33&gt;0,GL33*$K33,CM33*$J33))*IF(47=$R33,$S33,12)/12,6)+$B$4),CM33-$I33)))))</f>
        <v/>
      </c>
      <c r="CO33" s="68">
        <f>IF($U33=0,0,IF($F33=4,0,IF($F33=3,0,IF(OR(48&gt;$R33,CN33&lt;=$I33),CN33,CN33-MIN(INT(ROUND(IF($F33=1,$C33*$J33,IF(GM33&gt;0,GM33*$K33,CN33*$J33))*IF(48=$R33,$S33,12)/12,6)+$B$4),CN33-$I33)))))</f>
        <v/>
      </c>
      <c r="CP33" s="68">
        <f>IF($U33=0,0,IF($F33=4,0,IF($F33=3,0,IF(OR(49&gt;$R33,CO33&lt;=$I33),CO33,CO33-MIN(INT(ROUND(IF($F33=1,$C33*$J33,IF(GN33&gt;0,GN33*$K33,CO33*$J33))*IF(49=$R33,$S33,12)/12,6)+$B$4),CO33-$I33)))))</f>
        <v/>
      </c>
      <c r="CQ33" s="68">
        <f>IF($U33=0,0,IF($F33=4,0,IF($F33=3,0,IF(OR(50&gt;$R33,CP33&lt;=$I33),CP33,CP33-MIN(INT(ROUND(IF($F33=1,$C33*$J33,IF(GO33&gt;0,GO33*$K33,CP33*$J33))*IF(50=$R33,$S33,12)/12,6)+$B$4),CP33-$I33)))))</f>
        <v/>
      </c>
      <c r="CR33" s="68">
        <f>IF($U33=0,0,IF($F33=4,0,IF($F33=3,0,IF(OR(51&gt;$R33,CQ33&lt;=$I33),CQ33,CQ33-MIN(INT(ROUND(IF($F33=1,$C33*$J33,IF(GP33&gt;0,GP33*$K33,CQ33*$J33))*IF(51=$R33,$S33,12)/12,6)+$B$4),CQ33-$I33)))))</f>
        <v/>
      </c>
      <c r="CS33" s="68">
        <f>IF($U33=0,0,IF($F33=4,0,IF($F33=3,0,IF(OR(52&gt;$R33,CR33&lt;=$I33),CR33,CR33-MIN(INT(ROUND(IF($F33=1,$C33*$J33,IF(GQ33&gt;0,GQ33*$K33,CR33*$J33))*IF(52=$R33,$S33,12)/12,6)+$B$4),CR33-$I33)))))</f>
        <v/>
      </c>
      <c r="CT33" s="68">
        <f>IF($U33=0,0,IF($F33=4,0,IF($F33=3,0,IF(OR(53&gt;$R33,CS33&lt;=$I33),CS33,CS33-MIN(INT(ROUND(IF($F33=1,$C33*$J33,IF(GR33&gt;0,GR33*$K33,CS33*$J33))*IF(53=$R33,$S33,12)/12,6)+$B$4),CS33-$I33)))))</f>
        <v/>
      </c>
      <c r="CU33" s="68">
        <f>IF($U33=0,0,IF($F33=4,0,IF($F33=3,0,IF(OR(54&gt;$R33,CT33&lt;=$I33),CT33,CT33-MIN(INT(ROUND(IF($F33=1,$C33*$J33,IF(GS33&gt;0,GS33*$K33,CT33*$J33))*IF(54=$R33,$S33,12)/12,6)+$B$4),CT33-$I33)))))</f>
        <v/>
      </c>
      <c r="CV33" s="68">
        <f>IF($U33=0,0,IF($F33=4,0,IF($F33=3,0,IF(OR(55&gt;$R33,CU33&lt;=$I33),CU33,CU33-MIN(INT(ROUND(IF($F33=1,$C33*$J33,IF(GT33&gt;0,GT33*$K33,CU33*$J33))*IF(55=$R33,$S33,12)/12,6)+$B$4),CU33-$I33)))))</f>
        <v/>
      </c>
      <c r="CW33" s="68">
        <f>IF($U33=0,0,IF($F33=4,0,IF($F33=3,0,IF(OR(56&gt;$R33,CV33&lt;=$I33),CV33,CV33-MIN(INT(ROUND(IF($F33=1,$C33*$J33,IF(GU33&gt;0,GU33*$K33,CV33*$J33))*IF(56=$R33,$S33,12)/12,6)+$B$4),CV33-$I33)))))</f>
        <v/>
      </c>
      <c r="CX33" s="68">
        <f>IF($U33=0,0,IF($F33=4,0,IF($F33=3,0,IF(OR(57&gt;$R33,CW33&lt;=$I33),CW33,CW33-MIN(INT(ROUND(IF($F33=1,$C33*$J33,IF(GV33&gt;0,GV33*$K33,CW33*$J33))*IF(57=$R33,$S33,12)/12,6)+$B$4),CW33-$I33)))))</f>
        <v/>
      </c>
      <c r="CY33" s="68">
        <f>IF($U33=0,0,IF($F33=4,0,IF($F33=3,0,IF(OR(58&gt;$R33,CX33&lt;=$I33),CX33,CX33-MIN(INT(ROUND(IF($F33=1,$C33*$J33,IF(GW33&gt;0,GW33*$K33,CX33*$J33))*IF(58=$R33,$S33,12)/12,6)+$B$4),CX33-$I33)))))</f>
        <v/>
      </c>
      <c r="CZ33" s="68">
        <f>IF($U33=0,0,IF($F33=4,0,IF($F33=3,0,IF(OR(59&gt;$R33,CY33&lt;=$I33),CY33,CY33-MIN(INT(ROUND(IF($F33=1,$C33*$J33,IF(GX33&gt;0,GX33*$K33,CY33*$J33))*IF(59=$R33,$S33,12)/12,6)+$B$4),CY33-$I33)))))</f>
        <v/>
      </c>
      <c r="DA33" s="68">
        <f>IF($U33=0,0,IF($F33=4,0,IF($F33=3,0,IF(OR(60&gt;$R33,CZ33&lt;=$I33),CZ33,CZ33-MIN(INT(ROUND(IF($F33=1,$C33*$J33,IF(GY33&gt;0,GY33*$K33,CZ33*$J33))*IF(60=$R33,$S33,12)/12,6)+$B$4),CZ33-$I33)))))</f>
        <v/>
      </c>
      <c r="DB33" s="68">
        <f>IF($U33=0,0,IF($F33=4,0,IF($F33=3,0,IF(OR(61&gt;$R33,DA33&lt;=$I33),DA33,DA33-MIN(INT(ROUND(IF($F33=1,$C33*$J33,IF(GZ33&gt;0,GZ33*$K33,DA33*$J33))*IF(61=$R33,$S33,12)/12,6)+$B$4),DA33-$I33)))))</f>
        <v/>
      </c>
      <c r="DC33" s="68">
        <f>IF($U33=0,0,IF($F33=4,0,IF($F33=3,0,IF(OR(62&gt;$R33,DB33&lt;=$I33),DB33,DB33-MIN(INT(ROUND(IF($F33=1,$C33*$J33,IF(HA33&gt;0,HA33*$K33,DB33*$J33))*IF(62=$R33,$S33,12)/12,6)+$B$4),DB33-$I33)))))</f>
        <v/>
      </c>
      <c r="DD33" s="68">
        <f>IF($U33=0,0,IF($F33=4,0,IF($F33=3,0,IF(OR(63&gt;$R33,DC33&lt;=$I33),DC33,DC33-MIN(INT(ROUND(IF($F33=1,$C33*$J33,IF(HB33&gt;0,HB33*$K33,DC33*$J33))*IF(63=$R33,$S33,12)/12,6)+$B$4),DC33-$I33)))))</f>
        <v/>
      </c>
      <c r="DE33" s="68">
        <f>IF($U33=0,0,IF($F33=4,0,IF($F33=3,0,IF(OR(64&gt;$R33,DD33&lt;=$I33),DD33,DD33-MIN(INT(ROUND(IF($F33=1,$C33*$J33,IF(HC33&gt;0,HC33*$K33,DD33*$J33))*IF(64=$R33,$S33,12)/12,6)+$B$4),DD33-$I33)))))</f>
        <v/>
      </c>
      <c r="DF33" s="68">
        <f>IF($U33=0,0,IF($F33=4,0,IF($F33=3,0,IF(OR(65&gt;$R33,DE33&lt;=$I33),DE33,DE33-MIN(INT(ROUND(IF($F33=1,$C33*$J33,IF(HD33&gt;0,HD33*$K33,DE33*$J33))*IF(65=$R33,$S33,12)/12,6)+$B$4),DE33-$I33)))))</f>
        <v/>
      </c>
      <c r="DG33" s="68">
        <f>IF($U33=0,0,IF($F33=4,0,IF($F33=3,0,IF(OR(66&gt;$R33,DF33&lt;=$I33),DF33,DF33-MIN(INT(ROUND(IF($F33=1,$C33*$J33,IF(HE33&gt;0,HE33*$K33,DF33*$J33))*IF(66=$R33,$S33,12)/12,6)+$B$4),DF33-$I33)))))</f>
        <v/>
      </c>
      <c r="DH33" s="68">
        <f>IF($U33=0,0,IF($F33=4,0,IF($F33=3,0,IF(OR(67&gt;$R33,DG33&lt;=$I33),DG33,DG33-MIN(INT(ROUND(IF($F33=1,$C33*$J33,IF(HF33&gt;0,HF33*$K33,DG33*$J33))*IF(67=$R33,$S33,12)/12,6)+$B$4),DG33-$I33)))))</f>
        <v/>
      </c>
      <c r="DI33" s="68">
        <f>IF($U33=0,0,IF($F33=4,0,IF($F33=3,0,IF(OR(68&gt;$R33,DH33&lt;=$I33),DH33,DH33-MIN(INT(ROUND(IF($F33=1,$C33*$J33,IF(HG33&gt;0,HG33*$K33,DH33*$J33))*IF(68=$R33,$S33,12)/12,6)+$B$4),DH33-$I33)))))</f>
        <v/>
      </c>
      <c r="DJ33" s="68">
        <f>IF($U33=0,0,IF($F33=4,0,IF($F33=3,0,IF(OR(69&gt;$R33,DI33&lt;=$I33),DI33,DI33-MIN(INT(ROUND(IF($F33=1,$C33*$J33,IF(HH33&gt;0,HH33*$K33,DI33*$J33))*IF(69=$R33,$S33,12)/12,6)+$B$4),DI33-$I33)))))</f>
        <v/>
      </c>
      <c r="DK33" s="68">
        <f>IF($U33=0,0,IF($F33=4,0,IF($F33=3,0,IF(OR(70&gt;$R33,DJ33&lt;=$I33),DJ33,DJ33-MIN(INT(ROUND(IF($F33=1,$C33*$J33,IF(HI33&gt;0,HI33*$K33,DJ33*$J33))*IF(70=$R33,$S33,12)/12,6)+$B$4),DJ33-$I33)))))</f>
        <v/>
      </c>
      <c r="DL33" s="68">
        <f>IF($U33=0,0,IF($F33=4,0,IF($F33=3,0,IF(OR(71&gt;$R33,DK33&lt;=$I33),DK33,DK33-MIN(INT(ROUND(IF($F33=1,$C33*$J33,IF(HJ33&gt;0,HJ33*$K33,DK33*$J33))*IF(71=$R33,$S33,12)/12,6)+$B$4),DK33-$I33)))))</f>
        <v/>
      </c>
      <c r="DM33" s="68">
        <f>IF($U33=0,0,IF($F33=4,0,IF($F33=3,0,IF(OR(72&gt;$R33,DL33&lt;=$I33),DL33,DL33-MIN(INT(ROUND(IF($F33=1,$C33*$J33,IF(HK33&gt;0,HK33*$K33,DL33*$J33))*IF(72=$R33,$S33,12)/12,6)+$B$4),DL33-$I33)))))</f>
        <v/>
      </c>
      <c r="DN33" s="68">
        <f>IF($U33=0,0,IF($F33=4,0,IF($F33=3,0,IF(OR(73&gt;$R33,DM33&lt;=$I33),DM33,DM33-MIN(INT(ROUND(IF($F33=1,$C33*$J33,IF(HL33&gt;0,HL33*$K33,DM33*$J33))*IF(73=$R33,$S33,12)/12,6)+$B$4),DM33-$I33)))))</f>
        <v/>
      </c>
      <c r="DO33" s="68">
        <f>IF($U33=0,0,IF($F33=4,0,IF($F33=3,0,IF(OR(74&gt;$R33,DN33&lt;=$I33),DN33,DN33-MIN(INT(ROUND(IF($F33=1,$C33*$J33,IF(HM33&gt;0,HM33*$K33,DN33*$J33))*IF(74=$R33,$S33,12)/12,6)+$B$4),DN33-$I33)))))</f>
        <v/>
      </c>
      <c r="DP33" s="68">
        <f>IF($U33=0,0,IF($F33=4,0,IF($F33=3,0,IF(OR(75&gt;$R33,DO33&lt;=$I33),DO33,DO33-MIN(INT(ROUND(IF($F33=1,$C33*$J33,IF(HN33&gt;0,HN33*$K33,DO33*$J33))*IF(75=$R33,$S33,12)/12,6)+$B$4),DO33-$I33)))))</f>
        <v/>
      </c>
      <c r="DQ33" s="68">
        <f>IF($U33=0,0,IF($F33=4,0,IF($F33=3,0,IF(OR(76&gt;$R33,DP33&lt;=$I33),DP33,DP33-MIN(INT(ROUND(IF($F33=1,$C33*$J33,IF(HO33&gt;0,HO33*$K33,DP33*$J33))*IF(76=$R33,$S33,12)/12,6)+$B$4),DP33-$I33)))))</f>
        <v/>
      </c>
      <c r="DR33" s="68">
        <f>IF($U33=0,0,IF($F33=4,0,IF($F33=3,0,IF(OR(77&gt;$R33,DQ33&lt;=$I33),DQ33,DQ33-MIN(INT(ROUND(IF($F33=1,$C33*$J33,IF(HP33&gt;0,HP33*$K33,DQ33*$J33))*IF(77=$R33,$S33,12)/12,6)+$B$4),DQ33-$I33)))))</f>
        <v/>
      </c>
      <c r="DS33" s="68">
        <f>IF($U33=0,0,IF($F33=4,0,IF($F33=3,0,IF(OR(78&gt;$R33,DR33&lt;=$I33),DR33,DR33-MIN(INT(ROUND(IF($F33=1,$C33*$J33,IF(HQ33&gt;0,HQ33*$K33,DR33*$J33))*IF(78=$R33,$S33,12)/12,6)+$B$4),DR33-$I33)))))</f>
        <v/>
      </c>
      <c r="DT33" s="68">
        <f>IF($U33=0,0,IF($F33=4,0,IF($F33=3,0,IF(OR(79&gt;$R33,DS33&lt;=$I33),DS33,DS33-MIN(INT(ROUND(IF($F33=1,$C33*$J33,IF(HR33&gt;0,HR33*$K33,DS33*$J33))*IF(79=$R33,$S33,12)/12,6)+$B$4),DS33-$I33)))))</f>
        <v/>
      </c>
      <c r="DU33" s="68">
        <f>IF($U33=0,0,IF($F33=4,0,IF($F33=3,0,IF(OR(80&gt;$R33,DT33&lt;=$I33),DT33,DT33-MIN(INT(ROUND(IF($F33=1,$C33*$J33,IF(HS33&gt;0,HS33*$K33,DT33*$J33))*IF(80=$R33,$S33,12)/12,6)+$B$4),DT33-$I33)))))</f>
        <v/>
      </c>
      <c r="DV33" s="68">
        <f>IF($U33=0,0,IF($F33=4,0,IF($F33=3,0,IF(OR(81&gt;$R33,DU33&lt;=$I33),DU33,DU33-MIN(INT(ROUND(IF($F33=1,$C33*$J33,IF(HT33&gt;0,HT33*$K33,DU33*$J33))*IF(81=$R33,$S33,12)/12,6)+$B$4),DU33-$I33)))))</f>
        <v/>
      </c>
      <c r="DW33" s="68">
        <f>IF($U33=0,0,IF($F33=4,0,IF($F33=3,0,IF(OR(82&gt;$R33,DV33&lt;=$I33),DV33,DV33-MIN(INT(ROUND(IF($F33=1,$C33*$J33,IF(HU33&gt;0,HU33*$K33,DV33*$J33))*IF(82=$R33,$S33,12)/12,6)+$B$4),DV33-$I33)))))</f>
        <v/>
      </c>
      <c r="DX33" s="68">
        <f>IF($U33=0,0,IF($F33=4,0,IF($F33=3,0,IF(OR(83&gt;$R33,DW33&lt;=$I33),DW33,DW33-MIN(INT(ROUND(IF($F33=1,$C33*$J33,IF(HV33&gt;0,HV33*$K33,DW33*$J33))*IF(83=$R33,$S33,12)/12,6)+$B$4),DW33-$I33)))))</f>
        <v/>
      </c>
      <c r="DY33" s="68">
        <f>IF($U33=0,0,IF($F33=4,0,IF($F33=3,0,IF(OR(84&gt;$R33,DX33&lt;=$I33),DX33,DX33-MIN(INT(ROUND(IF($F33=1,$C33*$J33,IF(HW33&gt;0,HW33*$K33,DX33*$J33))*IF(84=$R33,$S33,12)/12,6)+$B$4),DX33-$I33)))))</f>
        <v/>
      </c>
      <c r="DZ33" s="68">
        <f>IF($U33=0,0,IF($F33=4,0,IF($F33=3,0,IF(OR(85&gt;$R33,DY33&lt;=$I33),DY33,DY33-MIN(INT(ROUND(IF($F33=1,$C33*$J33,IF(HX33&gt;0,HX33*$K33,DY33*$J33))*IF(85=$R33,$S33,12)/12,6)+$B$4),DY33-$I33)))))</f>
        <v/>
      </c>
      <c r="EA33" s="68">
        <f>IF($U33=0,0,IF($F33=4,0,IF($F33=3,0,IF(OR(86&gt;$R33,DZ33&lt;=$I33),DZ33,DZ33-MIN(INT(ROUND(IF($F33=1,$C33*$J33,IF(HY33&gt;0,HY33*$K33,DZ33*$J33))*IF(86=$R33,$S33,12)/12,6)+$B$4),DZ33-$I33)))))</f>
        <v/>
      </c>
      <c r="EB33" s="68">
        <f>IF($U33=0,0,IF($F33=4,0,IF($F33=3,0,IF(OR(87&gt;$R33,EA33&lt;=$I33),EA33,EA33-MIN(INT(ROUND(IF($F33=1,$C33*$J33,IF(HZ33&gt;0,HZ33*$K33,EA33*$J33))*IF(87=$R33,$S33,12)/12,6)+$B$4),EA33-$I33)))))</f>
        <v/>
      </c>
      <c r="EC33" s="68">
        <f>IF($U33=0,0,IF($F33=4,0,IF($F33=3,0,IF(OR(88&gt;$R33,EB33&lt;=$I33),EB33,EB33-MIN(INT(ROUND(IF($F33=1,$C33*$J33,IF(IA33&gt;0,IA33*$K33,EB33*$J33))*IF(88=$R33,$S33,12)/12,6)+$B$4),EB33-$I33)))))</f>
        <v/>
      </c>
      <c r="ED33" s="68">
        <f>IF($U33=0,0,IF($F33=4,0,IF($F33=3,0,IF(OR(89&gt;$R33,EC33&lt;=$I33),EC33,EC33-MIN(INT(ROUND(IF($F33=1,$C33*$J33,IF(IB33&gt;0,IB33*$K33,EC33*$J33))*IF(89=$R33,$S33,12)/12,6)+$B$4),EC33-$I33)))))</f>
        <v/>
      </c>
      <c r="EE33" s="68">
        <f>IF($U33=0,0,IF($F33=4,0,IF($F33=3,0,IF(OR(90&gt;$R33,ED33&lt;=$I33),ED33,ED33-MIN(INT(ROUND(IF($F33=1,$C33*$J33,IF(IC33&gt;0,IC33*$K33,ED33*$J33))*IF(90=$R33,$S33,12)/12,6)+$B$4),ED33-$I33)))))</f>
        <v/>
      </c>
      <c r="EF33" s="68">
        <f>IF($U33=0,0,IF($F33=4,0,IF($F33=3,0,IF(OR(91&gt;$R33,EE33&lt;=$I33),EE33,EE33-MIN(INT(ROUND(IF($F33=1,$C33*$J33,IF(ID33&gt;0,ID33*$K33,EE33*$J33))*IF(91=$R33,$S33,12)/12,6)+$B$4),EE33-$I33)))))</f>
        <v/>
      </c>
      <c r="EG33" s="68">
        <f>IF($U33=0,0,IF($F33=4,0,IF($F33=3,0,IF(OR(92&gt;$R33,EF33&lt;=$I33),EF33,EF33-MIN(INT(ROUND(IF($F33=1,$C33*$J33,IF(IE33&gt;0,IE33*$K33,EF33*$J33))*IF(92=$R33,$S33,12)/12,6)+$B$4),EF33-$I33)))))</f>
        <v/>
      </c>
      <c r="EH33" s="68">
        <f>IF($U33=0,0,IF($F33=4,0,IF($F33=3,0,IF(OR(93&gt;$R33,EG33&lt;=$I33),EG33,EG33-MIN(INT(ROUND(IF($F33=1,$C33*$J33,IF(IF33&gt;0,IF33*$K33,EG33*$J33))*IF(93=$R33,$S33,12)/12,6)+$B$4),EG33-$I33)))))</f>
        <v/>
      </c>
      <c r="EI33" s="68">
        <f>IF($U33=0,0,IF($F33=4,0,IF($F33=3,0,IF(OR(94&gt;$R33,EH33&lt;=$I33),EH33,EH33-MIN(INT(ROUND(IF($F33=1,$C33*$J33,IF(IG33&gt;0,IG33*$K33,EH33*$J33))*IF(94=$R33,$S33,12)/12,6)+$B$4),EH33-$I33)))))</f>
        <v/>
      </c>
      <c r="EJ33" s="68">
        <f>IF($U33=0,0,IF($F33=4,0,IF($F33=3,0,IF(OR(95&gt;$R33,EI33&lt;=$I33),EI33,EI33-MIN(INT(ROUND(IF($F33=1,$C33*$J33,IF(IH33&gt;0,IH33*$K33,EI33*$J33))*IF(95=$R33,$S33,12)/12,6)+$B$4),EI33-$I33)))))</f>
        <v/>
      </c>
      <c r="EK33" s="68">
        <f>IF($U33=0,0,IF($F33=4,0,IF($F33=3,0,IF(OR(96&gt;$R33,EJ33&lt;=$I33),EJ33,EJ33-MIN(INT(ROUND(IF($F33=1,$C33*$J33,IF(II33&gt;0,II33*$K33,EJ33*$J33))*IF(96=$R33,$S33,12)/12,6)+$B$4),EJ33-$I33)))))</f>
        <v/>
      </c>
      <c r="EL33" s="68">
        <f>IF($U33=0,0,IF($F33=4,0,IF($F33=3,0,IF(OR(97&gt;$R33,EK33&lt;=$I33),EK33,EK33-MIN(INT(ROUND(IF($F33=1,$C33*$J33,IF(IJ33&gt;0,IJ33*$K33,EK33*$J33))*IF(97=$R33,$S33,12)/12,6)+$B$4),EK33-$I33)))))</f>
        <v/>
      </c>
      <c r="EM33" s="68">
        <f>IF($U33=0,0,IF($F33=4,0,IF($F33=3,0,IF(OR(98&gt;$R33,EL33&lt;=$I33),EL33,EL33-MIN(INT(ROUND(IF($F33=1,$C33*$J33,IF(IK33&gt;0,IK33*$K33,EL33*$J33))*IF(98=$R33,$S33,12)/12,6)+$B$4),EL33-$I33)))))</f>
        <v/>
      </c>
      <c r="EN33" s="68">
        <f>IF($U33=0,0,IF($F33=4,0,IF($F33=3,0,IF(OR(99&gt;$R33,EM33&lt;=$I33),EM33,EM33-MIN(INT(ROUND(IF($F33=1,$C33*$J33,IF(IL33&gt;0,IL33*$K33,EM33*$J33))*IF(99=$R33,$S33,12)/12,6)+$B$4),EM33-$I33)))))</f>
        <v/>
      </c>
      <c r="EO33" s="68">
        <f>IF($U33=0,0,IF($F33=4,0,IF($F33=3,0,IF(OR(100&gt;$R33,EN33&lt;=$I33),EN33,EN33-MIN(INT(ROUND(IF($F33=1,$C33*$J33,IF(IM33&gt;0,IM33*$K33,EN33*$J33))*IF(100=$R33,$S33,12)/12,6)+$B$4),EN33-$I33)))))</f>
        <v/>
      </c>
      <c r="EP33" s="68">
        <f>IF($U33=0,0,IF($F33=4,0,IF($F33=3,0,IF(OR(101&gt;$R33,EO33&lt;=$I33),EO33,EO33-MIN(INT(ROUND(IF($F33=1,$C33*$J33,IF(IN33&gt;0,IN33*$K33,EO33*$J33))*IF(101=$R33,$S33,12)/12,6)+$B$4),EO33-$I33)))))</f>
        <v/>
      </c>
      <c r="EQ33" s="68" t="n"/>
      <c r="ER33" s="68">
        <f>IF(OR($U33=0,$F33&lt;&gt;2),0,IF(ROUND(AS33*$J33,6)&lt;ROUND($M33,6),AS33,0))</f>
        <v/>
      </c>
      <c r="ES33" s="68">
        <f>IF(OR($U33=0,$F33&lt;&gt;2),0,IF(ER33&gt;0,ER33,IF(ROUND(AT33*$J33,6)&lt;ROUND($M33,6),AT33,0)))</f>
        <v/>
      </c>
      <c r="ET33" s="68">
        <f>IF(OR($U33=0,$F33&lt;&gt;2),0,IF(ES33&gt;0,ES33,IF(ROUND(AU33*$J33,6)&lt;ROUND($M33,6),AU33,0)))</f>
        <v/>
      </c>
      <c r="EU33" s="68">
        <f>IF(OR($U33=0,$F33&lt;&gt;2),0,IF(ET33&gt;0,ET33,IF(ROUND(AV33*$J33,6)&lt;ROUND($M33,6),AV33,0)))</f>
        <v/>
      </c>
      <c r="EV33" s="68">
        <f>IF(OR($U33=0,$F33&lt;&gt;2),0,IF(EU33&gt;0,EU33,IF(ROUND(AW33*$J33,6)&lt;ROUND($M33,6),AW33,0)))</f>
        <v/>
      </c>
      <c r="EW33" s="68">
        <f>IF(OR($U33=0,$F33&lt;&gt;2),0,IF(EV33&gt;0,EV33,IF(ROUND(AX33*$J33,6)&lt;ROUND($M33,6),AX33,0)))</f>
        <v/>
      </c>
      <c r="EX33" s="68">
        <f>IF(OR($U33=0,$F33&lt;&gt;2),0,IF(EW33&gt;0,EW33,IF(ROUND(AY33*$J33,6)&lt;ROUND($M33,6),AY33,0)))</f>
        <v/>
      </c>
      <c r="EY33" s="68">
        <f>IF(OR($U33=0,$F33&lt;&gt;2),0,IF(EX33&gt;0,EX33,IF(ROUND(AZ33*$J33,6)&lt;ROUND($M33,6),AZ33,0)))</f>
        <v/>
      </c>
      <c r="EZ33" s="68">
        <f>IF(OR($U33=0,$F33&lt;&gt;2),0,IF(EY33&gt;0,EY33,IF(ROUND(BA33*$J33,6)&lt;ROUND($M33,6),BA33,0)))</f>
        <v/>
      </c>
      <c r="FA33" s="68">
        <f>IF(OR($U33=0,$F33&lt;&gt;2),0,IF(EZ33&gt;0,EZ33,IF(ROUND(BB33*$J33,6)&lt;ROUND($M33,6),BB33,0)))</f>
        <v/>
      </c>
      <c r="FB33" s="68">
        <f>IF(OR($U33=0,$F33&lt;&gt;2),0,IF(FA33&gt;0,FA33,IF(ROUND(BC33*$J33,6)&lt;ROUND($M33,6),BC33,0)))</f>
        <v/>
      </c>
      <c r="FC33" s="68">
        <f>IF(OR($U33=0,$F33&lt;&gt;2),0,IF(FB33&gt;0,FB33,IF(ROUND(BD33*$J33,6)&lt;ROUND($M33,6),BD33,0)))</f>
        <v/>
      </c>
      <c r="FD33" s="68">
        <f>IF(OR($U33=0,$F33&lt;&gt;2),0,IF(FC33&gt;0,FC33,IF(ROUND(BE33*$J33,6)&lt;ROUND($M33,6),BE33,0)))</f>
        <v/>
      </c>
      <c r="FE33" s="68">
        <f>IF(OR($U33=0,$F33&lt;&gt;2),0,IF(FD33&gt;0,FD33,IF(ROUND(BF33*$J33,6)&lt;ROUND($M33,6),BF33,0)))</f>
        <v/>
      </c>
      <c r="FF33" s="68">
        <f>IF(OR($U33=0,$F33&lt;&gt;2),0,IF(FE33&gt;0,FE33,IF(ROUND(BG33*$J33,6)&lt;ROUND($M33,6),BG33,0)))</f>
        <v/>
      </c>
      <c r="FG33" s="68">
        <f>IF(OR($U33=0,$F33&lt;&gt;2),0,IF(FF33&gt;0,FF33,IF(ROUND(BH33*$J33,6)&lt;ROUND($M33,6),BH33,0)))</f>
        <v/>
      </c>
      <c r="FH33" s="68">
        <f>IF(OR($U33=0,$F33&lt;&gt;2),0,IF(FG33&gt;0,FG33,IF(ROUND(BI33*$J33,6)&lt;ROUND($M33,6),BI33,0)))</f>
        <v/>
      </c>
      <c r="FI33" s="68">
        <f>IF(OR($U33=0,$F33&lt;&gt;2),0,IF(FH33&gt;0,FH33,IF(ROUND(BJ33*$J33,6)&lt;ROUND($M33,6),BJ33,0)))</f>
        <v/>
      </c>
      <c r="FJ33" s="68">
        <f>IF(OR($U33=0,$F33&lt;&gt;2),0,IF(FI33&gt;0,FI33,IF(ROUND(BK33*$J33,6)&lt;ROUND($M33,6),BK33,0)))</f>
        <v/>
      </c>
      <c r="FK33" s="68">
        <f>IF(OR($U33=0,$F33&lt;&gt;2),0,IF(FJ33&gt;0,FJ33,IF(ROUND(BL33*$J33,6)&lt;ROUND($M33,6),BL33,0)))</f>
        <v/>
      </c>
      <c r="FL33" s="68">
        <f>IF(OR($U33=0,$F33&lt;&gt;2),0,IF(FK33&gt;0,FK33,IF(ROUND(BM33*$J33,6)&lt;ROUND($M33,6),BM33,0)))</f>
        <v/>
      </c>
      <c r="FM33" s="68">
        <f>IF(OR($U33=0,$F33&lt;&gt;2),0,IF(FL33&gt;0,FL33,IF(ROUND(BN33*$J33,6)&lt;ROUND($M33,6),BN33,0)))</f>
        <v/>
      </c>
      <c r="FN33" s="68">
        <f>IF(OR($U33=0,$F33&lt;&gt;2),0,IF(FM33&gt;0,FM33,IF(ROUND(BO33*$J33,6)&lt;ROUND($M33,6),BO33,0)))</f>
        <v/>
      </c>
      <c r="FO33" s="68">
        <f>IF(OR($U33=0,$F33&lt;&gt;2),0,IF(FN33&gt;0,FN33,IF(ROUND(BP33*$J33,6)&lt;ROUND($M33,6),BP33,0)))</f>
        <v/>
      </c>
      <c r="FP33" s="68">
        <f>IF(OR($U33=0,$F33&lt;&gt;2),0,IF(FO33&gt;0,FO33,IF(ROUND(BQ33*$J33,6)&lt;ROUND($M33,6),BQ33,0)))</f>
        <v/>
      </c>
      <c r="FQ33" s="68">
        <f>IF(OR($U33=0,$F33&lt;&gt;2),0,IF(FP33&gt;0,FP33,IF(ROUND(BR33*$J33,6)&lt;ROUND($M33,6),BR33,0)))</f>
        <v/>
      </c>
      <c r="FR33" s="68">
        <f>IF(OR($U33=0,$F33&lt;&gt;2),0,IF(FQ33&gt;0,FQ33,IF(ROUND(BS33*$J33,6)&lt;ROUND($M33,6),BS33,0)))</f>
        <v/>
      </c>
      <c r="FS33" s="68">
        <f>IF(OR($U33=0,$F33&lt;&gt;2),0,IF(FR33&gt;0,FR33,IF(ROUND(BT33*$J33,6)&lt;ROUND($M33,6),BT33,0)))</f>
        <v/>
      </c>
      <c r="FT33" s="68">
        <f>IF(OR($U33=0,$F33&lt;&gt;2),0,IF(FS33&gt;0,FS33,IF(ROUND(BU33*$J33,6)&lt;ROUND($M33,6),BU33,0)))</f>
        <v/>
      </c>
      <c r="FU33" s="68">
        <f>IF(OR($U33=0,$F33&lt;&gt;2),0,IF(FT33&gt;0,FT33,IF(ROUND(BV33*$J33,6)&lt;ROUND($M33,6),BV33,0)))</f>
        <v/>
      </c>
      <c r="FV33" s="68">
        <f>IF(OR($U33=0,$F33&lt;&gt;2),0,IF(FU33&gt;0,FU33,IF(ROUND(BW33*$J33,6)&lt;ROUND($M33,6),BW33,0)))</f>
        <v/>
      </c>
      <c r="FW33" s="68">
        <f>IF(OR($U33=0,$F33&lt;&gt;2),0,IF(FV33&gt;0,FV33,IF(ROUND(BX33*$J33,6)&lt;ROUND($M33,6),BX33,0)))</f>
        <v/>
      </c>
      <c r="FX33" s="68">
        <f>IF(OR($U33=0,$F33&lt;&gt;2),0,IF(FW33&gt;0,FW33,IF(ROUND(BY33*$J33,6)&lt;ROUND($M33,6),BY33,0)))</f>
        <v/>
      </c>
      <c r="FY33" s="68">
        <f>IF(OR($U33=0,$F33&lt;&gt;2),0,IF(FX33&gt;0,FX33,IF(ROUND(BZ33*$J33,6)&lt;ROUND($M33,6),BZ33,0)))</f>
        <v/>
      </c>
      <c r="FZ33" s="68">
        <f>IF(OR($U33=0,$F33&lt;&gt;2),0,IF(FY33&gt;0,FY33,IF(ROUND(CA33*$J33,6)&lt;ROUND($M33,6),CA33,0)))</f>
        <v/>
      </c>
      <c r="GA33" s="68">
        <f>IF(OR($U33=0,$F33&lt;&gt;2),0,IF(FZ33&gt;0,FZ33,IF(ROUND(CB33*$J33,6)&lt;ROUND($M33,6),CB33,0)))</f>
        <v/>
      </c>
      <c r="GB33" s="68">
        <f>IF(OR($U33=0,$F33&lt;&gt;2),0,IF(GA33&gt;0,GA33,IF(ROUND(CC33*$J33,6)&lt;ROUND($M33,6),CC33,0)))</f>
        <v/>
      </c>
      <c r="GC33" s="68">
        <f>IF(OR($U33=0,$F33&lt;&gt;2),0,IF(GB33&gt;0,GB33,IF(ROUND(CD33*$J33,6)&lt;ROUND($M33,6),CD33,0)))</f>
        <v/>
      </c>
      <c r="GD33" s="68">
        <f>IF(OR($U33=0,$F33&lt;&gt;2),0,IF(GC33&gt;0,GC33,IF(ROUND(CE33*$J33,6)&lt;ROUND($M33,6),CE33,0)))</f>
        <v/>
      </c>
      <c r="GE33" s="68">
        <f>IF(OR($U33=0,$F33&lt;&gt;2),0,IF(GD33&gt;0,GD33,IF(ROUND(CF33*$J33,6)&lt;ROUND($M33,6),CF33,0)))</f>
        <v/>
      </c>
      <c r="GF33" s="68">
        <f>IF(OR($U33=0,$F33&lt;&gt;2),0,IF(GE33&gt;0,GE33,IF(ROUND(CG33*$J33,6)&lt;ROUND($M33,6),CG33,0)))</f>
        <v/>
      </c>
      <c r="GG33" s="68">
        <f>IF(OR($U33=0,$F33&lt;&gt;2),0,IF(GF33&gt;0,GF33,IF(ROUND(CH33*$J33,6)&lt;ROUND($M33,6),CH33,0)))</f>
        <v/>
      </c>
      <c r="GH33" s="68">
        <f>IF(OR($U33=0,$F33&lt;&gt;2),0,IF(GG33&gt;0,GG33,IF(ROUND(CI33*$J33,6)&lt;ROUND($M33,6),CI33,0)))</f>
        <v/>
      </c>
      <c r="GI33" s="68">
        <f>IF(OR($U33=0,$F33&lt;&gt;2),0,IF(GH33&gt;0,GH33,IF(ROUND(CJ33*$J33,6)&lt;ROUND($M33,6),CJ33,0)))</f>
        <v/>
      </c>
      <c r="GJ33" s="68">
        <f>IF(OR($U33=0,$F33&lt;&gt;2),0,IF(GI33&gt;0,GI33,IF(ROUND(CK33*$J33,6)&lt;ROUND($M33,6),CK33,0)))</f>
        <v/>
      </c>
      <c r="GK33" s="68">
        <f>IF(OR($U33=0,$F33&lt;&gt;2),0,IF(GJ33&gt;0,GJ33,IF(ROUND(CL33*$J33,6)&lt;ROUND($M33,6),CL33,0)))</f>
        <v/>
      </c>
      <c r="GL33" s="68">
        <f>IF(OR($U33=0,$F33&lt;&gt;2),0,IF(GK33&gt;0,GK33,IF(ROUND(CM33*$J33,6)&lt;ROUND($M33,6),CM33,0)))</f>
        <v/>
      </c>
      <c r="GM33" s="68">
        <f>IF(OR($U33=0,$F33&lt;&gt;2),0,IF(GL33&gt;0,GL33,IF(ROUND(CN33*$J33,6)&lt;ROUND($M33,6),CN33,0)))</f>
        <v/>
      </c>
      <c r="GN33" s="68">
        <f>IF(OR($U33=0,$F33&lt;&gt;2),0,IF(GM33&gt;0,GM33,IF(ROUND(CO33*$J33,6)&lt;ROUND($M33,6),CO33,0)))</f>
        <v/>
      </c>
      <c r="GO33" s="68">
        <f>IF(OR($U33=0,$F33&lt;&gt;2),0,IF(GN33&gt;0,GN33,IF(ROUND(CP33*$J33,6)&lt;ROUND($M33,6),CP33,0)))</f>
        <v/>
      </c>
      <c r="GP33" s="68">
        <f>IF(OR($U33=0,$F33&lt;&gt;2),0,IF(GO33&gt;0,GO33,IF(ROUND(CQ33*$J33,6)&lt;ROUND($M33,6),CQ33,0)))</f>
        <v/>
      </c>
      <c r="GQ33" s="68">
        <f>IF(OR($U33=0,$F33&lt;&gt;2),0,IF(GP33&gt;0,GP33,IF(ROUND(CR33*$J33,6)&lt;ROUND($M33,6),CR33,0)))</f>
        <v/>
      </c>
      <c r="GR33" s="68">
        <f>IF(OR($U33=0,$F33&lt;&gt;2),0,IF(GQ33&gt;0,GQ33,IF(ROUND(CS33*$J33,6)&lt;ROUND($M33,6),CS33,0)))</f>
        <v/>
      </c>
      <c r="GS33" s="68">
        <f>IF(OR($U33=0,$F33&lt;&gt;2),0,IF(GR33&gt;0,GR33,IF(ROUND(CT33*$J33,6)&lt;ROUND($M33,6),CT33,0)))</f>
        <v/>
      </c>
      <c r="GT33" s="68">
        <f>IF(OR($U33=0,$F33&lt;&gt;2),0,IF(GS33&gt;0,GS33,IF(ROUND(CU33*$J33,6)&lt;ROUND($M33,6),CU33,0)))</f>
        <v/>
      </c>
      <c r="GU33" s="68">
        <f>IF(OR($U33=0,$F33&lt;&gt;2),0,IF(GT33&gt;0,GT33,IF(ROUND(CV33*$J33,6)&lt;ROUND($M33,6),CV33,0)))</f>
        <v/>
      </c>
      <c r="GV33" s="68">
        <f>IF(OR($U33=0,$F33&lt;&gt;2),0,IF(GU33&gt;0,GU33,IF(ROUND(CW33*$J33,6)&lt;ROUND($M33,6),CW33,0)))</f>
        <v/>
      </c>
      <c r="GW33" s="68">
        <f>IF(OR($U33=0,$F33&lt;&gt;2),0,IF(GV33&gt;0,GV33,IF(ROUND(CX33*$J33,6)&lt;ROUND($M33,6),CX33,0)))</f>
        <v/>
      </c>
      <c r="GX33" s="68">
        <f>IF(OR($U33=0,$F33&lt;&gt;2),0,IF(GW33&gt;0,GW33,IF(ROUND(CY33*$J33,6)&lt;ROUND($M33,6),CY33,0)))</f>
        <v/>
      </c>
      <c r="GY33" s="68">
        <f>IF(OR($U33=0,$F33&lt;&gt;2),0,IF(GX33&gt;0,GX33,IF(ROUND(CZ33*$J33,6)&lt;ROUND($M33,6),CZ33,0)))</f>
        <v/>
      </c>
      <c r="GZ33" s="68">
        <f>IF(OR($U33=0,$F33&lt;&gt;2),0,IF(GY33&gt;0,GY33,IF(ROUND(DA33*$J33,6)&lt;ROUND($M33,6),DA33,0)))</f>
        <v/>
      </c>
      <c r="HA33" s="68">
        <f>IF(OR($U33=0,$F33&lt;&gt;2),0,IF(GZ33&gt;0,GZ33,IF(ROUND(DB33*$J33,6)&lt;ROUND($M33,6),DB33,0)))</f>
        <v/>
      </c>
      <c r="HB33" s="68">
        <f>IF(OR($U33=0,$F33&lt;&gt;2),0,IF(HA33&gt;0,HA33,IF(ROUND(DC33*$J33,6)&lt;ROUND($M33,6),DC33,0)))</f>
        <v/>
      </c>
      <c r="HC33" s="68">
        <f>IF(OR($U33=0,$F33&lt;&gt;2),0,IF(HB33&gt;0,HB33,IF(ROUND(DD33*$J33,6)&lt;ROUND($M33,6),DD33,0)))</f>
        <v/>
      </c>
      <c r="HD33" s="68">
        <f>IF(OR($U33=0,$F33&lt;&gt;2),0,IF(HC33&gt;0,HC33,IF(ROUND(DE33*$J33,6)&lt;ROUND($M33,6),DE33,0)))</f>
        <v/>
      </c>
      <c r="HE33" s="68">
        <f>IF(OR($U33=0,$F33&lt;&gt;2),0,IF(HD33&gt;0,HD33,IF(ROUND(DF33*$J33,6)&lt;ROUND($M33,6),DF33,0)))</f>
        <v/>
      </c>
      <c r="HF33" s="68">
        <f>IF(OR($U33=0,$F33&lt;&gt;2),0,IF(HE33&gt;0,HE33,IF(ROUND(DG33*$J33,6)&lt;ROUND($M33,6),DG33,0)))</f>
        <v/>
      </c>
      <c r="HG33" s="68">
        <f>IF(OR($U33=0,$F33&lt;&gt;2),0,IF(HF33&gt;0,HF33,IF(ROUND(DH33*$J33,6)&lt;ROUND($M33,6),DH33,0)))</f>
        <v/>
      </c>
      <c r="HH33" s="68">
        <f>IF(OR($U33=0,$F33&lt;&gt;2),0,IF(HG33&gt;0,HG33,IF(ROUND(DI33*$J33,6)&lt;ROUND($M33,6),DI33,0)))</f>
        <v/>
      </c>
      <c r="HI33" s="68">
        <f>IF(OR($U33=0,$F33&lt;&gt;2),0,IF(HH33&gt;0,HH33,IF(ROUND(DJ33*$J33,6)&lt;ROUND($M33,6),DJ33,0)))</f>
        <v/>
      </c>
      <c r="HJ33" s="68">
        <f>IF(OR($U33=0,$F33&lt;&gt;2),0,IF(HI33&gt;0,HI33,IF(ROUND(DK33*$J33,6)&lt;ROUND($M33,6),DK33,0)))</f>
        <v/>
      </c>
      <c r="HK33" s="68">
        <f>IF(OR($U33=0,$F33&lt;&gt;2),0,IF(HJ33&gt;0,HJ33,IF(ROUND(DL33*$J33,6)&lt;ROUND($M33,6),DL33,0)))</f>
        <v/>
      </c>
      <c r="HL33" s="68">
        <f>IF(OR($U33=0,$F33&lt;&gt;2),0,IF(HK33&gt;0,HK33,IF(ROUND(DM33*$J33,6)&lt;ROUND($M33,6),DM33,0)))</f>
        <v/>
      </c>
      <c r="HM33" s="68">
        <f>IF(OR($U33=0,$F33&lt;&gt;2),0,IF(HL33&gt;0,HL33,IF(ROUND(DN33*$J33,6)&lt;ROUND($M33,6),DN33,0)))</f>
        <v/>
      </c>
      <c r="HN33" s="68">
        <f>IF(OR($U33=0,$F33&lt;&gt;2),0,IF(HM33&gt;0,HM33,IF(ROUND(DO33*$J33,6)&lt;ROUND($M33,6),DO33,0)))</f>
        <v/>
      </c>
      <c r="HO33" s="68">
        <f>IF(OR($U33=0,$F33&lt;&gt;2),0,IF(HN33&gt;0,HN33,IF(ROUND(DP33*$J33,6)&lt;ROUND($M33,6),DP33,0)))</f>
        <v/>
      </c>
      <c r="HP33" s="68">
        <f>IF(OR($U33=0,$F33&lt;&gt;2),0,IF(HO33&gt;0,HO33,IF(ROUND(DQ33*$J33,6)&lt;ROUND($M33,6),DQ33,0)))</f>
        <v/>
      </c>
      <c r="HQ33" s="68">
        <f>IF(OR($U33=0,$F33&lt;&gt;2),0,IF(HP33&gt;0,HP33,IF(ROUND(DR33*$J33,6)&lt;ROUND($M33,6),DR33,0)))</f>
        <v/>
      </c>
      <c r="HR33" s="68">
        <f>IF(OR($U33=0,$F33&lt;&gt;2),0,IF(HQ33&gt;0,HQ33,IF(ROUND(DS33*$J33,6)&lt;ROUND($M33,6),DS33,0)))</f>
        <v/>
      </c>
      <c r="HS33" s="68">
        <f>IF(OR($U33=0,$F33&lt;&gt;2),0,IF(HR33&gt;0,HR33,IF(ROUND(DT33*$J33,6)&lt;ROUND($M33,6),DT33,0)))</f>
        <v/>
      </c>
      <c r="HT33" s="68">
        <f>IF(OR($U33=0,$F33&lt;&gt;2),0,IF(HS33&gt;0,HS33,IF(ROUND(DU33*$J33,6)&lt;ROUND($M33,6),DU33,0)))</f>
        <v/>
      </c>
      <c r="HU33" s="68">
        <f>IF(OR($U33=0,$F33&lt;&gt;2),0,IF(HT33&gt;0,HT33,IF(ROUND(DV33*$J33,6)&lt;ROUND($M33,6),DV33,0)))</f>
        <v/>
      </c>
      <c r="HV33" s="68">
        <f>IF(OR($U33=0,$F33&lt;&gt;2),0,IF(HU33&gt;0,HU33,IF(ROUND(DW33*$J33,6)&lt;ROUND($M33,6),DW33,0)))</f>
        <v/>
      </c>
      <c r="HW33" s="68">
        <f>IF(OR($U33=0,$F33&lt;&gt;2),0,IF(HV33&gt;0,HV33,IF(ROUND(DX33*$J33,6)&lt;ROUND($M33,6),DX33,0)))</f>
        <v/>
      </c>
      <c r="HX33" s="68">
        <f>IF(OR($U33=0,$F33&lt;&gt;2),0,IF(HW33&gt;0,HW33,IF(ROUND(DY33*$J33,6)&lt;ROUND($M33,6),DY33,0)))</f>
        <v/>
      </c>
      <c r="HY33" s="68">
        <f>IF(OR($U33=0,$F33&lt;&gt;2),0,IF(HX33&gt;0,HX33,IF(ROUND(DZ33*$J33,6)&lt;ROUND($M33,6),DZ33,0)))</f>
        <v/>
      </c>
      <c r="HZ33" s="68">
        <f>IF(OR($U33=0,$F33&lt;&gt;2),0,IF(HY33&gt;0,HY33,IF(ROUND(EA33*$J33,6)&lt;ROUND($M33,6),EA33,0)))</f>
        <v/>
      </c>
      <c r="IA33" s="68">
        <f>IF(OR($U33=0,$F33&lt;&gt;2),0,IF(HZ33&gt;0,HZ33,IF(ROUND(EB33*$J33,6)&lt;ROUND($M33,6),EB33,0)))</f>
        <v/>
      </c>
      <c r="IB33" s="68">
        <f>IF(OR($U33=0,$F33&lt;&gt;2),0,IF(IA33&gt;0,IA33,IF(ROUND(EC33*$J33,6)&lt;ROUND($M33,6),EC33,0)))</f>
        <v/>
      </c>
      <c r="IC33" s="68">
        <f>IF(OR($U33=0,$F33&lt;&gt;2),0,IF(IB33&gt;0,IB33,IF(ROUND(ED33*$J33,6)&lt;ROUND($M33,6),ED33,0)))</f>
        <v/>
      </c>
      <c r="ID33" s="68">
        <f>IF(OR($U33=0,$F33&lt;&gt;2),0,IF(IC33&gt;0,IC33,IF(ROUND(EE33*$J33,6)&lt;ROUND($M33,6),EE33,0)))</f>
        <v/>
      </c>
      <c r="IE33" s="68">
        <f>IF(OR($U33=0,$F33&lt;&gt;2),0,IF(ID33&gt;0,ID33,IF(ROUND(EF33*$J33,6)&lt;ROUND($M33,6),EF33,0)))</f>
        <v/>
      </c>
      <c r="IF33" s="68">
        <f>IF(OR($U33=0,$F33&lt;&gt;2),0,IF(IE33&gt;0,IE33,IF(ROUND(EG33*$J33,6)&lt;ROUND($M33,6),EG33,0)))</f>
        <v/>
      </c>
      <c r="IG33" s="68">
        <f>IF(OR($U33=0,$F33&lt;&gt;2),0,IF(IF33&gt;0,IF33,IF(ROUND(EH33*$J33,6)&lt;ROUND($M33,6),EH33,0)))</f>
        <v/>
      </c>
      <c r="IH33" s="68">
        <f>IF(OR($U33=0,$F33&lt;&gt;2),0,IF(IG33&gt;0,IG33,IF(ROUND(EI33*$J33,6)&lt;ROUND($M33,6),EI33,0)))</f>
        <v/>
      </c>
      <c r="II33" s="68">
        <f>IF(OR($U33=0,$F33&lt;&gt;2),0,IF(IH33&gt;0,IH33,IF(ROUND(EJ33*$J33,6)&lt;ROUND($M33,6),EJ33,0)))</f>
        <v/>
      </c>
      <c r="IJ33" s="68">
        <f>IF(OR($U33=0,$F33&lt;&gt;2),0,IF(II33&gt;0,II33,IF(ROUND(EK33*$J33,6)&lt;ROUND($M33,6),EK33,0)))</f>
        <v/>
      </c>
      <c r="IK33" s="68">
        <f>IF(OR($U33=0,$F33&lt;&gt;2),0,IF(IJ33&gt;0,IJ33,IF(ROUND(EL33*$J33,6)&lt;ROUND($M33,6),EL33,0)))</f>
        <v/>
      </c>
      <c r="IL33" s="68">
        <f>IF(OR($U33=0,$F33&lt;&gt;2),0,IF(IK33&gt;0,IK33,IF(ROUND(EM33*$J33,6)&lt;ROUND($M33,6),EM33,0)))</f>
        <v/>
      </c>
      <c r="IM33" s="68">
        <f>IF(OR($U33=0,$F33&lt;&gt;2),0,IF(IL33&gt;0,IL33,IF(ROUND(EN33*$J33,6)&lt;ROUND($M33,6),EN33,0)))</f>
        <v/>
      </c>
      <c r="IN33" s="68">
        <f>IF(OR($U33=0,$F33&lt;&gt;2),0,IF(IM33&gt;0,IM33,IF(ROUND(EO33*$J33,6)&lt;ROUND($M33,6),EO33,0)))</f>
        <v/>
      </c>
    </row>
    <row r="34">
      <c r="A34" s="68" t="n">
        <v>29</v>
      </c>
      <c r="B34" s="68">
        <f>IF(OR(TRIM('固定資産台帳'!$B34)&lt;&gt;"",'固定資産台帳'!$E34&lt;&gt;"",'固定資産台帳'!$G34&lt;&gt;"",'固定資産台帳'!$H34&lt;&gt;""),1,0)</f>
        <v/>
      </c>
      <c r="C34" s="68">
        <f>IF(ISNUMBER('固定資産台帳'!$G34),MAX(ROUND('固定資産台帳'!$G34,0),0),0)</f>
        <v/>
      </c>
      <c r="D34" s="84">
        <f>IF(ISNUMBER('固定資産台帳'!$E34),INT('固定資産台帳'!$E34),0)</f>
        <v/>
      </c>
      <c r="E34" s="84">
        <f>IF(ISNUMBER('固定資産台帳'!$F34),INT('固定資産台帳'!$F34),$D34)</f>
        <v/>
      </c>
      <c r="F34" s="68">
        <f>IF('固定資産台帳'!$H34="定額法",1,IF(OR('固定資産台帳'!$H34="定率法",'固定資産台帳'!$H34="定率法（200%）",'固定資産台帳'!$H34="定率法（250%）"),2,IF('固定資産台帳'!$H34="一括償却（3年）",3,IF('固定資産台帳'!$H34="少額特例",4,0))))</f>
        <v/>
      </c>
      <c r="G34" s="68">
        <f>IF('固定資産台帳'!$H34="定率法（250%）",250,IF('固定資産台帳'!$H34="定率法（200%）",200,IF($D34&gt;=DATE(2012,4,1),200,250)))</f>
        <v/>
      </c>
      <c r="H34" s="68">
        <f>IF(ISNUMBER('固定資産台帳'!$I34),IF(AND('固定資産台帳'!$I34&gt;=2,'固定資産台帳'!$I34&lt;=100,'固定資産台帳'!$I34=INT('固定資産台帳'!$I34)),'固定資産台帳'!$I34,0),0)</f>
        <v/>
      </c>
      <c r="I34" s="68">
        <f>IF('固定資産台帳'!$C34="無形固定資産",0,1)</f>
        <v/>
      </c>
      <c r="J34" s="68">
        <f>IF(OR($H34=0,$F34=0,$F34&gt;2),0,IF($F34=1,INDEX('償却率表'!$B$6:$B$104,$H34-1),IF($G34=200,INDEX('償却率表'!$C$6:$C$104,$H34-1),INDEX('償却率表'!$F$6:$F$104,$H34-1))))</f>
        <v/>
      </c>
      <c r="K34" s="68">
        <f>IF(AND($F34=2,$H34&gt;0),IF($G34=200,INDEX('償却率表'!$D$6:$D$104,$H34-1),INDEX('償却率表'!$G$6:$G$104,$H34-1)),0)</f>
        <v/>
      </c>
      <c r="L34" s="68">
        <f>IF(AND($F34=2,$H34&gt;0),IF($G34=200,INDEX('償却率表'!$E$6:$E$104,$H34-1),INDEX('償却率表'!$H$6:$H$104,$H34-1)),0)</f>
        <v/>
      </c>
      <c r="M34" s="68">
        <f>$C34*$L34</f>
        <v/>
      </c>
      <c r="N34" s="68">
        <f>IF($B$1=1,1,IF('固定資産台帳'!$J34="",1,IF(ISNUMBER('固定資産台帳'!$J34),IF(AND('固定資産台帳'!$J34&gt;0,'固定資産台帳'!$J34&lt;=1),'固定資産台帳'!$J34,0),0)))</f>
        <v/>
      </c>
      <c r="O34" s="68">
        <f>IF($E34=0,0,YEAR($E34)-IF(MONTH($E34)&lt;$B$2,1,0))</f>
        <v/>
      </c>
      <c r="P34" s="68">
        <f>IF($E34=0,0,12-MOD(MONTH($E34)-$B$2,12))</f>
        <v/>
      </c>
      <c r="Q34" s="84">
        <f>IF(ISNUMBER('固定資産台帳'!$K34),INT('固定資産台帳'!$K34),0)</f>
        <v/>
      </c>
      <c r="R34" s="68">
        <f>IF(OR($Q34=0,$E34=0),999,YEAR($Q34)-IF(MONTH($Q34)&lt;$B$2,1,0)-$O34)</f>
        <v/>
      </c>
      <c r="S34" s="68">
        <f>IF($R34=999,0,MOD(MONTH($Q34)-$B$2,12)+1-IF($R34=0,12-$P34,0))</f>
        <v/>
      </c>
      <c r="T34" s="68">
        <f>IF($B34=0,0,IF($C34&lt;=0,1,IF($D34=0,2,IF($F34=0,3,IF(AND($F34&lt;=2,$H34=0),4,IF(AND($F34&lt;=2,$D34&lt;DATE(2007,4,1)),5,IF($E34&lt;$D34,6,IF(AND($Q34&gt;0,$Q34&lt;$E34),7,IF($N34=0,8,IF($B$3=0,9,0))))))))))</f>
        <v/>
      </c>
      <c r="U34" s="68">
        <f>IF(AND($B34=1,$T34=0),1,0)</f>
        <v/>
      </c>
      <c r="V34" s="68">
        <f>$B$3-$O34</f>
        <v/>
      </c>
      <c r="W34" s="68">
        <f>IF(AND($U34=1,$V34&gt;=0),1,0)</f>
        <v/>
      </c>
      <c r="X34" s="68">
        <f>IF($W34=0,0,IF($V34=0,$C34,INDEX($AS34:$EP34,MIN($V34,102))))</f>
        <v/>
      </c>
      <c r="Y34" s="68">
        <f>IF($W34=0,0,INDEX($AS34:$EP34,MIN($V34,101)+1))</f>
        <v/>
      </c>
      <c r="Z34" s="68">
        <f>$X34-$Y34</f>
        <v/>
      </c>
      <c r="AA34" s="68">
        <f>IF(AND($W34=1,$F34=2,$V34&gt;=1),INDEX($ER34:$IN34,MIN($V34,101)),0)</f>
        <v/>
      </c>
      <c r="AB34" s="68">
        <f>IF(OR($W34=0,$F34&gt;2,$Z34=0),0,IF($V34=0,IF($R34=0,$S34,$P34),IF($V34=$R34,$S34,12)))</f>
        <v/>
      </c>
      <c r="AC34" s="68">
        <f>IF($W34=0,0,INT(ROUND($Z34*$N34,6)+$B$4))</f>
        <v/>
      </c>
      <c r="AD34" s="68">
        <f>IF(AND($W34=1,$F34&lt;=2,$V34=$R34),1,0)</f>
        <v/>
      </c>
      <c r="AE34" s="68">
        <f>IF(AND($W34=1,$F34&lt;=2,$V34&gt;$R34),1,0)</f>
        <v/>
      </c>
      <c r="AF34" s="68">
        <f>IF(AND($W34=1,$AE34=0,OR($Z34&gt;0,$AD34=1)),1,0)</f>
        <v/>
      </c>
      <c r="AG34" s="68">
        <f>IF($AF34=1,SUM($AF$6:$AF34),0)</f>
        <v/>
      </c>
      <c r="AH34" s="68">
        <f>IF($T34=0,"",CHOOSE($T34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34" s="68">
        <f>IF(AND($F34=2,OR('固定資産台帳'!$C34="建物",'固定資産台帳'!$C34="無形固定資産",AND(OR('固定資産台帳'!$C34="建物附属設備",'固定資産台帳'!$C34="構築物"),$D34&gt;=DATE(2016,4,1)))),"この資産は定額法だけです（定率法は使えません）。","")&amp;IF(AND($F34=3,$C34&gt;=200000),"一括償却は20万円未満の資産だけです。","")&amp;IF(AND($F34=3,$B$1=0,$C34&lt;100000),"10万円未満は一括償却にせず、全額をその年の経費にします。","")&amp;IF(AND($F34=4,$C34&lt;100000),"10万円未満は少額特例ではなく、全額をその年の経費にします。","")&amp;IF(AND($F34=4,$D34&lt;DATE(2026,4,1),$C34&gt;=300000),"2026年3月31日までの取得で少額特例が使えるのは30万円未満です。","")&amp;IF(AND($F34=4,$D34&gt;=DATE(2026,4,1),$C34&gt;=400000),"少額特例は40万円未満の資産だけです。","")&amp;IF(AND($F34=4,OR($D34&lt;DATE(2006,4,1),$D34&gt;DATE(2029,3,31))),"少額特例は2006年4月1日〜2029年3月31日に取得した資産だけです。","")&amp;IF(AND($F34=2,$G34=250,$D34&gt;DATE(2012,12,31)),"250%定率法は2012年12月31日までの取得だけです。","")</f>
        <v/>
      </c>
      <c r="AJ34" s="68">
        <f>IF(AND($F34=2,'固定資産台帳'!$H34="定率法（200%）",$D34&lt;DATE(2012,4,1)),"2012年3月31日までの取得に200%を使うのは、経過措置の届出をした場合です。","")&amp;IF(AND($F34=2,'固定資産台帳'!$H34="定率法（250%）",$D34&gt;=DATE(2012,4,1),$D34&lt;=DATE(2012,12,31)),"2012年4〜12月の取得に250%を使うのは、経過措置を選んだ場合です。","")</f>
        <v/>
      </c>
      <c r="AK34" s="68">
        <f>IF($U34=0,"",IF($V34&lt;0,"表示している年より後に使い始める資産です。",IF($AE34=1,"売却・除却済みです。",IF($AD34=1,"この年に売却・除却。期末の帳簿価額 "&amp;TEXT($Y34,"#,##0")&amp;"円を帳簿から外します。",IF($F34=4,IF($V34=0,"少額特例：この年に全額を経費にします。","少額特例で経費にした資産です。"),IF($F34=3,IF($V34&gt;2,"一括償却は終わっています。","一括償却 "&amp;($V34+1)&amp;"年目（3年のうち）。"),IF($Z34=0,"償却済み（帳簿価額 "&amp;TEXT($Y34,"#,##0")&amp;"円）。",IF($AA34&gt;0,"改定償却率で計算（改定取得価額 "&amp;TEXT($AA34,"#,##0")&amp;"円）。",IF($V34=0,"この年に使い始め（"&amp;$AB34&amp;"か月分）。","")))))))))</f>
        <v/>
      </c>
      <c r="AL34" s="68">
        <f>IF(AND($U34=1,$F34=4,$V34=0),$C34,0)</f>
        <v/>
      </c>
      <c r="AM34" s="68">
        <f>IF($F34=2,INT(ROUND($M34,6)+$B$4),0)</f>
        <v/>
      </c>
      <c r="AN34" s="68">
        <f>IF($W34=0,0,IF($F34=2,IF($AA34&gt;0,$AA34,$X34),$C34))</f>
        <v/>
      </c>
      <c r="AO34" s="68">
        <f>IF($W34=0,"",IF($F34=3,"1/3",IF($F34=4,"―",IF($AA34&gt;0,$K34,$J34))))</f>
        <v/>
      </c>
      <c r="AP34" s="68" t="n"/>
      <c r="AQ34" s="68" t="n"/>
      <c r="AR34" s="68" t="n"/>
      <c r="AS34" s="68">
        <f>IF($U34=0,0,IF($F34=4,0,IF($F34=3,MAX($C34-INT(ROUND($C34/3,6)+$B$4),0),$C34-MIN(INT(ROUND($C34*$J34*IF($R34=0,$S34,$P34)/12,6)+$B$4),MAX($C34-$I34,0)))))</f>
        <v/>
      </c>
      <c r="AT34" s="68">
        <f>IF($U34=0,0,IF($F34=4,0,IF($F34=3,AS34-MIN(INT(ROUND($C34/3,6)+$B$4),AS34),IF(OR(1&gt;$R34,AS34&lt;=$I34),AS34,AS34-MIN(INT(ROUND(IF($F34=1,$C34*$J34,IF(ER34&gt;0,ER34*$K34,AS34*$J34))*IF(1=$R34,$S34,12)/12,6)+$B$4),AS34-$I34)))))</f>
        <v/>
      </c>
      <c r="AU34" s="68">
        <f>IF($U34=0,0,IF($F34=4,0,IF($F34=3,0,IF(OR(2&gt;$R34,AT34&lt;=$I34),AT34,AT34-MIN(INT(ROUND(IF($F34=1,$C34*$J34,IF(ES34&gt;0,ES34*$K34,AT34*$J34))*IF(2=$R34,$S34,12)/12,6)+$B$4),AT34-$I34)))))</f>
        <v/>
      </c>
      <c r="AV34" s="68">
        <f>IF($U34=0,0,IF($F34=4,0,IF($F34=3,0,IF(OR(3&gt;$R34,AU34&lt;=$I34),AU34,AU34-MIN(INT(ROUND(IF($F34=1,$C34*$J34,IF(ET34&gt;0,ET34*$K34,AU34*$J34))*IF(3=$R34,$S34,12)/12,6)+$B$4),AU34-$I34)))))</f>
        <v/>
      </c>
      <c r="AW34" s="68">
        <f>IF($U34=0,0,IF($F34=4,0,IF($F34=3,0,IF(OR(4&gt;$R34,AV34&lt;=$I34),AV34,AV34-MIN(INT(ROUND(IF($F34=1,$C34*$J34,IF(EU34&gt;0,EU34*$K34,AV34*$J34))*IF(4=$R34,$S34,12)/12,6)+$B$4),AV34-$I34)))))</f>
        <v/>
      </c>
      <c r="AX34" s="68">
        <f>IF($U34=0,0,IF($F34=4,0,IF($F34=3,0,IF(OR(5&gt;$R34,AW34&lt;=$I34),AW34,AW34-MIN(INT(ROUND(IF($F34=1,$C34*$J34,IF(EV34&gt;0,EV34*$K34,AW34*$J34))*IF(5=$R34,$S34,12)/12,6)+$B$4),AW34-$I34)))))</f>
        <v/>
      </c>
      <c r="AY34" s="68">
        <f>IF($U34=0,0,IF($F34=4,0,IF($F34=3,0,IF(OR(6&gt;$R34,AX34&lt;=$I34),AX34,AX34-MIN(INT(ROUND(IF($F34=1,$C34*$J34,IF(EW34&gt;0,EW34*$K34,AX34*$J34))*IF(6=$R34,$S34,12)/12,6)+$B$4),AX34-$I34)))))</f>
        <v/>
      </c>
      <c r="AZ34" s="68">
        <f>IF($U34=0,0,IF($F34=4,0,IF($F34=3,0,IF(OR(7&gt;$R34,AY34&lt;=$I34),AY34,AY34-MIN(INT(ROUND(IF($F34=1,$C34*$J34,IF(EX34&gt;0,EX34*$K34,AY34*$J34))*IF(7=$R34,$S34,12)/12,6)+$B$4),AY34-$I34)))))</f>
        <v/>
      </c>
      <c r="BA34" s="68">
        <f>IF($U34=0,0,IF($F34=4,0,IF($F34=3,0,IF(OR(8&gt;$R34,AZ34&lt;=$I34),AZ34,AZ34-MIN(INT(ROUND(IF($F34=1,$C34*$J34,IF(EY34&gt;0,EY34*$K34,AZ34*$J34))*IF(8=$R34,$S34,12)/12,6)+$B$4),AZ34-$I34)))))</f>
        <v/>
      </c>
      <c r="BB34" s="68">
        <f>IF($U34=0,0,IF($F34=4,0,IF($F34=3,0,IF(OR(9&gt;$R34,BA34&lt;=$I34),BA34,BA34-MIN(INT(ROUND(IF($F34=1,$C34*$J34,IF(EZ34&gt;0,EZ34*$K34,BA34*$J34))*IF(9=$R34,$S34,12)/12,6)+$B$4),BA34-$I34)))))</f>
        <v/>
      </c>
      <c r="BC34" s="68">
        <f>IF($U34=0,0,IF($F34=4,0,IF($F34=3,0,IF(OR(10&gt;$R34,BB34&lt;=$I34),BB34,BB34-MIN(INT(ROUND(IF($F34=1,$C34*$J34,IF(FA34&gt;0,FA34*$K34,BB34*$J34))*IF(10=$R34,$S34,12)/12,6)+$B$4),BB34-$I34)))))</f>
        <v/>
      </c>
      <c r="BD34" s="68">
        <f>IF($U34=0,0,IF($F34=4,0,IF($F34=3,0,IF(OR(11&gt;$R34,BC34&lt;=$I34),BC34,BC34-MIN(INT(ROUND(IF($F34=1,$C34*$J34,IF(FB34&gt;0,FB34*$K34,BC34*$J34))*IF(11=$R34,$S34,12)/12,6)+$B$4),BC34-$I34)))))</f>
        <v/>
      </c>
      <c r="BE34" s="68">
        <f>IF($U34=0,0,IF($F34=4,0,IF($F34=3,0,IF(OR(12&gt;$R34,BD34&lt;=$I34),BD34,BD34-MIN(INT(ROUND(IF($F34=1,$C34*$J34,IF(FC34&gt;0,FC34*$K34,BD34*$J34))*IF(12=$R34,$S34,12)/12,6)+$B$4),BD34-$I34)))))</f>
        <v/>
      </c>
      <c r="BF34" s="68">
        <f>IF($U34=0,0,IF($F34=4,0,IF($F34=3,0,IF(OR(13&gt;$R34,BE34&lt;=$I34),BE34,BE34-MIN(INT(ROUND(IF($F34=1,$C34*$J34,IF(FD34&gt;0,FD34*$K34,BE34*$J34))*IF(13=$R34,$S34,12)/12,6)+$B$4),BE34-$I34)))))</f>
        <v/>
      </c>
      <c r="BG34" s="68">
        <f>IF($U34=0,0,IF($F34=4,0,IF($F34=3,0,IF(OR(14&gt;$R34,BF34&lt;=$I34),BF34,BF34-MIN(INT(ROUND(IF($F34=1,$C34*$J34,IF(FE34&gt;0,FE34*$K34,BF34*$J34))*IF(14=$R34,$S34,12)/12,6)+$B$4),BF34-$I34)))))</f>
        <v/>
      </c>
      <c r="BH34" s="68">
        <f>IF($U34=0,0,IF($F34=4,0,IF($F34=3,0,IF(OR(15&gt;$R34,BG34&lt;=$I34),BG34,BG34-MIN(INT(ROUND(IF($F34=1,$C34*$J34,IF(FF34&gt;0,FF34*$K34,BG34*$J34))*IF(15=$R34,$S34,12)/12,6)+$B$4),BG34-$I34)))))</f>
        <v/>
      </c>
      <c r="BI34" s="68">
        <f>IF($U34=0,0,IF($F34=4,0,IF($F34=3,0,IF(OR(16&gt;$R34,BH34&lt;=$I34),BH34,BH34-MIN(INT(ROUND(IF($F34=1,$C34*$J34,IF(FG34&gt;0,FG34*$K34,BH34*$J34))*IF(16=$R34,$S34,12)/12,6)+$B$4),BH34-$I34)))))</f>
        <v/>
      </c>
      <c r="BJ34" s="68">
        <f>IF($U34=0,0,IF($F34=4,0,IF($F34=3,0,IF(OR(17&gt;$R34,BI34&lt;=$I34),BI34,BI34-MIN(INT(ROUND(IF($F34=1,$C34*$J34,IF(FH34&gt;0,FH34*$K34,BI34*$J34))*IF(17=$R34,$S34,12)/12,6)+$B$4),BI34-$I34)))))</f>
        <v/>
      </c>
      <c r="BK34" s="68">
        <f>IF($U34=0,0,IF($F34=4,0,IF($F34=3,0,IF(OR(18&gt;$R34,BJ34&lt;=$I34),BJ34,BJ34-MIN(INT(ROUND(IF($F34=1,$C34*$J34,IF(FI34&gt;0,FI34*$K34,BJ34*$J34))*IF(18=$R34,$S34,12)/12,6)+$B$4),BJ34-$I34)))))</f>
        <v/>
      </c>
      <c r="BL34" s="68">
        <f>IF($U34=0,0,IF($F34=4,0,IF($F34=3,0,IF(OR(19&gt;$R34,BK34&lt;=$I34),BK34,BK34-MIN(INT(ROUND(IF($F34=1,$C34*$J34,IF(FJ34&gt;0,FJ34*$K34,BK34*$J34))*IF(19=$R34,$S34,12)/12,6)+$B$4),BK34-$I34)))))</f>
        <v/>
      </c>
      <c r="BM34" s="68">
        <f>IF($U34=0,0,IF($F34=4,0,IF($F34=3,0,IF(OR(20&gt;$R34,BL34&lt;=$I34),BL34,BL34-MIN(INT(ROUND(IF($F34=1,$C34*$J34,IF(FK34&gt;0,FK34*$K34,BL34*$J34))*IF(20=$R34,$S34,12)/12,6)+$B$4),BL34-$I34)))))</f>
        <v/>
      </c>
      <c r="BN34" s="68">
        <f>IF($U34=0,0,IF($F34=4,0,IF($F34=3,0,IF(OR(21&gt;$R34,BM34&lt;=$I34),BM34,BM34-MIN(INT(ROUND(IF($F34=1,$C34*$J34,IF(FL34&gt;0,FL34*$K34,BM34*$J34))*IF(21=$R34,$S34,12)/12,6)+$B$4),BM34-$I34)))))</f>
        <v/>
      </c>
      <c r="BO34" s="68">
        <f>IF($U34=0,0,IF($F34=4,0,IF($F34=3,0,IF(OR(22&gt;$R34,BN34&lt;=$I34),BN34,BN34-MIN(INT(ROUND(IF($F34=1,$C34*$J34,IF(FM34&gt;0,FM34*$K34,BN34*$J34))*IF(22=$R34,$S34,12)/12,6)+$B$4),BN34-$I34)))))</f>
        <v/>
      </c>
      <c r="BP34" s="68">
        <f>IF($U34=0,0,IF($F34=4,0,IF($F34=3,0,IF(OR(23&gt;$R34,BO34&lt;=$I34),BO34,BO34-MIN(INT(ROUND(IF($F34=1,$C34*$J34,IF(FN34&gt;0,FN34*$K34,BO34*$J34))*IF(23=$R34,$S34,12)/12,6)+$B$4),BO34-$I34)))))</f>
        <v/>
      </c>
      <c r="BQ34" s="68">
        <f>IF($U34=0,0,IF($F34=4,0,IF($F34=3,0,IF(OR(24&gt;$R34,BP34&lt;=$I34),BP34,BP34-MIN(INT(ROUND(IF($F34=1,$C34*$J34,IF(FO34&gt;0,FO34*$K34,BP34*$J34))*IF(24=$R34,$S34,12)/12,6)+$B$4),BP34-$I34)))))</f>
        <v/>
      </c>
      <c r="BR34" s="68">
        <f>IF($U34=0,0,IF($F34=4,0,IF($F34=3,0,IF(OR(25&gt;$R34,BQ34&lt;=$I34),BQ34,BQ34-MIN(INT(ROUND(IF($F34=1,$C34*$J34,IF(FP34&gt;0,FP34*$K34,BQ34*$J34))*IF(25=$R34,$S34,12)/12,6)+$B$4),BQ34-$I34)))))</f>
        <v/>
      </c>
      <c r="BS34" s="68">
        <f>IF($U34=0,0,IF($F34=4,0,IF($F34=3,0,IF(OR(26&gt;$R34,BR34&lt;=$I34),BR34,BR34-MIN(INT(ROUND(IF($F34=1,$C34*$J34,IF(FQ34&gt;0,FQ34*$K34,BR34*$J34))*IF(26=$R34,$S34,12)/12,6)+$B$4),BR34-$I34)))))</f>
        <v/>
      </c>
      <c r="BT34" s="68">
        <f>IF($U34=0,0,IF($F34=4,0,IF($F34=3,0,IF(OR(27&gt;$R34,BS34&lt;=$I34),BS34,BS34-MIN(INT(ROUND(IF($F34=1,$C34*$J34,IF(FR34&gt;0,FR34*$K34,BS34*$J34))*IF(27=$R34,$S34,12)/12,6)+$B$4),BS34-$I34)))))</f>
        <v/>
      </c>
      <c r="BU34" s="68">
        <f>IF($U34=0,0,IF($F34=4,0,IF($F34=3,0,IF(OR(28&gt;$R34,BT34&lt;=$I34),BT34,BT34-MIN(INT(ROUND(IF($F34=1,$C34*$J34,IF(FS34&gt;0,FS34*$K34,BT34*$J34))*IF(28=$R34,$S34,12)/12,6)+$B$4),BT34-$I34)))))</f>
        <v/>
      </c>
      <c r="BV34" s="68">
        <f>IF($U34=0,0,IF($F34=4,0,IF($F34=3,0,IF(OR(29&gt;$R34,BU34&lt;=$I34),BU34,BU34-MIN(INT(ROUND(IF($F34=1,$C34*$J34,IF(FT34&gt;0,FT34*$K34,BU34*$J34))*IF(29=$R34,$S34,12)/12,6)+$B$4),BU34-$I34)))))</f>
        <v/>
      </c>
      <c r="BW34" s="68">
        <f>IF($U34=0,0,IF($F34=4,0,IF($F34=3,0,IF(OR(30&gt;$R34,BV34&lt;=$I34),BV34,BV34-MIN(INT(ROUND(IF($F34=1,$C34*$J34,IF(FU34&gt;0,FU34*$K34,BV34*$J34))*IF(30=$R34,$S34,12)/12,6)+$B$4),BV34-$I34)))))</f>
        <v/>
      </c>
      <c r="BX34" s="68">
        <f>IF($U34=0,0,IF($F34=4,0,IF($F34=3,0,IF(OR(31&gt;$R34,BW34&lt;=$I34),BW34,BW34-MIN(INT(ROUND(IF($F34=1,$C34*$J34,IF(FV34&gt;0,FV34*$K34,BW34*$J34))*IF(31=$R34,$S34,12)/12,6)+$B$4),BW34-$I34)))))</f>
        <v/>
      </c>
      <c r="BY34" s="68">
        <f>IF($U34=0,0,IF($F34=4,0,IF($F34=3,0,IF(OR(32&gt;$R34,BX34&lt;=$I34),BX34,BX34-MIN(INT(ROUND(IF($F34=1,$C34*$J34,IF(FW34&gt;0,FW34*$K34,BX34*$J34))*IF(32=$R34,$S34,12)/12,6)+$B$4),BX34-$I34)))))</f>
        <v/>
      </c>
      <c r="BZ34" s="68">
        <f>IF($U34=0,0,IF($F34=4,0,IF($F34=3,0,IF(OR(33&gt;$R34,BY34&lt;=$I34),BY34,BY34-MIN(INT(ROUND(IF($F34=1,$C34*$J34,IF(FX34&gt;0,FX34*$K34,BY34*$J34))*IF(33=$R34,$S34,12)/12,6)+$B$4),BY34-$I34)))))</f>
        <v/>
      </c>
      <c r="CA34" s="68">
        <f>IF($U34=0,0,IF($F34=4,0,IF($F34=3,0,IF(OR(34&gt;$R34,BZ34&lt;=$I34),BZ34,BZ34-MIN(INT(ROUND(IF($F34=1,$C34*$J34,IF(FY34&gt;0,FY34*$K34,BZ34*$J34))*IF(34=$R34,$S34,12)/12,6)+$B$4),BZ34-$I34)))))</f>
        <v/>
      </c>
      <c r="CB34" s="68">
        <f>IF($U34=0,0,IF($F34=4,0,IF($F34=3,0,IF(OR(35&gt;$R34,CA34&lt;=$I34),CA34,CA34-MIN(INT(ROUND(IF($F34=1,$C34*$J34,IF(FZ34&gt;0,FZ34*$K34,CA34*$J34))*IF(35=$R34,$S34,12)/12,6)+$B$4),CA34-$I34)))))</f>
        <v/>
      </c>
      <c r="CC34" s="68">
        <f>IF($U34=0,0,IF($F34=4,0,IF($F34=3,0,IF(OR(36&gt;$R34,CB34&lt;=$I34),CB34,CB34-MIN(INT(ROUND(IF($F34=1,$C34*$J34,IF(GA34&gt;0,GA34*$K34,CB34*$J34))*IF(36=$R34,$S34,12)/12,6)+$B$4),CB34-$I34)))))</f>
        <v/>
      </c>
      <c r="CD34" s="68">
        <f>IF($U34=0,0,IF($F34=4,0,IF($F34=3,0,IF(OR(37&gt;$R34,CC34&lt;=$I34),CC34,CC34-MIN(INT(ROUND(IF($F34=1,$C34*$J34,IF(GB34&gt;0,GB34*$K34,CC34*$J34))*IF(37=$R34,$S34,12)/12,6)+$B$4),CC34-$I34)))))</f>
        <v/>
      </c>
      <c r="CE34" s="68">
        <f>IF($U34=0,0,IF($F34=4,0,IF($F34=3,0,IF(OR(38&gt;$R34,CD34&lt;=$I34),CD34,CD34-MIN(INT(ROUND(IF($F34=1,$C34*$J34,IF(GC34&gt;0,GC34*$K34,CD34*$J34))*IF(38=$R34,$S34,12)/12,6)+$B$4),CD34-$I34)))))</f>
        <v/>
      </c>
      <c r="CF34" s="68">
        <f>IF($U34=0,0,IF($F34=4,0,IF($F34=3,0,IF(OR(39&gt;$R34,CE34&lt;=$I34),CE34,CE34-MIN(INT(ROUND(IF($F34=1,$C34*$J34,IF(GD34&gt;0,GD34*$K34,CE34*$J34))*IF(39=$R34,$S34,12)/12,6)+$B$4),CE34-$I34)))))</f>
        <v/>
      </c>
      <c r="CG34" s="68">
        <f>IF($U34=0,0,IF($F34=4,0,IF($F34=3,0,IF(OR(40&gt;$R34,CF34&lt;=$I34),CF34,CF34-MIN(INT(ROUND(IF($F34=1,$C34*$J34,IF(GE34&gt;0,GE34*$K34,CF34*$J34))*IF(40=$R34,$S34,12)/12,6)+$B$4),CF34-$I34)))))</f>
        <v/>
      </c>
      <c r="CH34" s="68">
        <f>IF($U34=0,0,IF($F34=4,0,IF($F34=3,0,IF(OR(41&gt;$R34,CG34&lt;=$I34),CG34,CG34-MIN(INT(ROUND(IF($F34=1,$C34*$J34,IF(GF34&gt;0,GF34*$K34,CG34*$J34))*IF(41=$R34,$S34,12)/12,6)+$B$4),CG34-$I34)))))</f>
        <v/>
      </c>
      <c r="CI34" s="68">
        <f>IF($U34=0,0,IF($F34=4,0,IF($F34=3,0,IF(OR(42&gt;$R34,CH34&lt;=$I34),CH34,CH34-MIN(INT(ROUND(IF($F34=1,$C34*$J34,IF(GG34&gt;0,GG34*$K34,CH34*$J34))*IF(42=$R34,$S34,12)/12,6)+$B$4),CH34-$I34)))))</f>
        <v/>
      </c>
      <c r="CJ34" s="68">
        <f>IF($U34=0,0,IF($F34=4,0,IF($F34=3,0,IF(OR(43&gt;$R34,CI34&lt;=$I34),CI34,CI34-MIN(INT(ROUND(IF($F34=1,$C34*$J34,IF(GH34&gt;0,GH34*$K34,CI34*$J34))*IF(43=$R34,$S34,12)/12,6)+$B$4),CI34-$I34)))))</f>
        <v/>
      </c>
      <c r="CK34" s="68">
        <f>IF($U34=0,0,IF($F34=4,0,IF($F34=3,0,IF(OR(44&gt;$R34,CJ34&lt;=$I34),CJ34,CJ34-MIN(INT(ROUND(IF($F34=1,$C34*$J34,IF(GI34&gt;0,GI34*$K34,CJ34*$J34))*IF(44=$R34,$S34,12)/12,6)+$B$4),CJ34-$I34)))))</f>
        <v/>
      </c>
      <c r="CL34" s="68">
        <f>IF($U34=0,0,IF($F34=4,0,IF($F34=3,0,IF(OR(45&gt;$R34,CK34&lt;=$I34),CK34,CK34-MIN(INT(ROUND(IF($F34=1,$C34*$J34,IF(GJ34&gt;0,GJ34*$K34,CK34*$J34))*IF(45=$R34,$S34,12)/12,6)+$B$4),CK34-$I34)))))</f>
        <v/>
      </c>
      <c r="CM34" s="68">
        <f>IF($U34=0,0,IF($F34=4,0,IF($F34=3,0,IF(OR(46&gt;$R34,CL34&lt;=$I34),CL34,CL34-MIN(INT(ROUND(IF($F34=1,$C34*$J34,IF(GK34&gt;0,GK34*$K34,CL34*$J34))*IF(46=$R34,$S34,12)/12,6)+$B$4),CL34-$I34)))))</f>
        <v/>
      </c>
      <c r="CN34" s="68">
        <f>IF($U34=0,0,IF($F34=4,0,IF($F34=3,0,IF(OR(47&gt;$R34,CM34&lt;=$I34),CM34,CM34-MIN(INT(ROUND(IF($F34=1,$C34*$J34,IF(GL34&gt;0,GL34*$K34,CM34*$J34))*IF(47=$R34,$S34,12)/12,6)+$B$4),CM34-$I34)))))</f>
        <v/>
      </c>
      <c r="CO34" s="68">
        <f>IF($U34=0,0,IF($F34=4,0,IF($F34=3,0,IF(OR(48&gt;$R34,CN34&lt;=$I34),CN34,CN34-MIN(INT(ROUND(IF($F34=1,$C34*$J34,IF(GM34&gt;0,GM34*$K34,CN34*$J34))*IF(48=$R34,$S34,12)/12,6)+$B$4),CN34-$I34)))))</f>
        <v/>
      </c>
      <c r="CP34" s="68">
        <f>IF($U34=0,0,IF($F34=4,0,IF($F34=3,0,IF(OR(49&gt;$R34,CO34&lt;=$I34),CO34,CO34-MIN(INT(ROUND(IF($F34=1,$C34*$J34,IF(GN34&gt;0,GN34*$K34,CO34*$J34))*IF(49=$R34,$S34,12)/12,6)+$B$4),CO34-$I34)))))</f>
        <v/>
      </c>
      <c r="CQ34" s="68">
        <f>IF($U34=0,0,IF($F34=4,0,IF($F34=3,0,IF(OR(50&gt;$R34,CP34&lt;=$I34),CP34,CP34-MIN(INT(ROUND(IF($F34=1,$C34*$J34,IF(GO34&gt;0,GO34*$K34,CP34*$J34))*IF(50=$R34,$S34,12)/12,6)+$B$4),CP34-$I34)))))</f>
        <v/>
      </c>
      <c r="CR34" s="68">
        <f>IF($U34=0,0,IF($F34=4,0,IF($F34=3,0,IF(OR(51&gt;$R34,CQ34&lt;=$I34),CQ34,CQ34-MIN(INT(ROUND(IF($F34=1,$C34*$J34,IF(GP34&gt;0,GP34*$K34,CQ34*$J34))*IF(51=$R34,$S34,12)/12,6)+$B$4),CQ34-$I34)))))</f>
        <v/>
      </c>
      <c r="CS34" s="68">
        <f>IF($U34=0,0,IF($F34=4,0,IF($F34=3,0,IF(OR(52&gt;$R34,CR34&lt;=$I34),CR34,CR34-MIN(INT(ROUND(IF($F34=1,$C34*$J34,IF(GQ34&gt;0,GQ34*$K34,CR34*$J34))*IF(52=$R34,$S34,12)/12,6)+$B$4),CR34-$I34)))))</f>
        <v/>
      </c>
      <c r="CT34" s="68">
        <f>IF($U34=0,0,IF($F34=4,0,IF($F34=3,0,IF(OR(53&gt;$R34,CS34&lt;=$I34),CS34,CS34-MIN(INT(ROUND(IF($F34=1,$C34*$J34,IF(GR34&gt;0,GR34*$K34,CS34*$J34))*IF(53=$R34,$S34,12)/12,6)+$B$4),CS34-$I34)))))</f>
        <v/>
      </c>
      <c r="CU34" s="68">
        <f>IF($U34=0,0,IF($F34=4,0,IF($F34=3,0,IF(OR(54&gt;$R34,CT34&lt;=$I34),CT34,CT34-MIN(INT(ROUND(IF($F34=1,$C34*$J34,IF(GS34&gt;0,GS34*$K34,CT34*$J34))*IF(54=$R34,$S34,12)/12,6)+$B$4),CT34-$I34)))))</f>
        <v/>
      </c>
      <c r="CV34" s="68">
        <f>IF($U34=0,0,IF($F34=4,0,IF($F34=3,0,IF(OR(55&gt;$R34,CU34&lt;=$I34),CU34,CU34-MIN(INT(ROUND(IF($F34=1,$C34*$J34,IF(GT34&gt;0,GT34*$K34,CU34*$J34))*IF(55=$R34,$S34,12)/12,6)+$B$4),CU34-$I34)))))</f>
        <v/>
      </c>
      <c r="CW34" s="68">
        <f>IF($U34=0,0,IF($F34=4,0,IF($F34=3,0,IF(OR(56&gt;$R34,CV34&lt;=$I34),CV34,CV34-MIN(INT(ROUND(IF($F34=1,$C34*$J34,IF(GU34&gt;0,GU34*$K34,CV34*$J34))*IF(56=$R34,$S34,12)/12,6)+$B$4),CV34-$I34)))))</f>
        <v/>
      </c>
      <c r="CX34" s="68">
        <f>IF($U34=0,0,IF($F34=4,0,IF($F34=3,0,IF(OR(57&gt;$R34,CW34&lt;=$I34),CW34,CW34-MIN(INT(ROUND(IF($F34=1,$C34*$J34,IF(GV34&gt;0,GV34*$K34,CW34*$J34))*IF(57=$R34,$S34,12)/12,6)+$B$4),CW34-$I34)))))</f>
        <v/>
      </c>
      <c r="CY34" s="68">
        <f>IF($U34=0,0,IF($F34=4,0,IF($F34=3,0,IF(OR(58&gt;$R34,CX34&lt;=$I34),CX34,CX34-MIN(INT(ROUND(IF($F34=1,$C34*$J34,IF(GW34&gt;0,GW34*$K34,CX34*$J34))*IF(58=$R34,$S34,12)/12,6)+$B$4),CX34-$I34)))))</f>
        <v/>
      </c>
      <c r="CZ34" s="68">
        <f>IF($U34=0,0,IF($F34=4,0,IF($F34=3,0,IF(OR(59&gt;$R34,CY34&lt;=$I34),CY34,CY34-MIN(INT(ROUND(IF($F34=1,$C34*$J34,IF(GX34&gt;0,GX34*$K34,CY34*$J34))*IF(59=$R34,$S34,12)/12,6)+$B$4),CY34-$I34)))))</f>
        <v/>
      </c>
      <c r="DA34" s="68">
        <f>IF($U34=0,0,IF($F34=4,0,IF($F34=3,0,IF(OR(60&gt;$R34,CZ34&lt;=$I34),CZ34,CZ34-MIN(INT(ROUND(IF($F34=1,$C34*$J34,IF(GY34&gt;0,GY34*$K34,CZ34*$J34))*IF(60=$R34,$S34,12)/12,6)+$B$4),CZ34-$I34)))))</f>
        <v/>
      </c>
      <c r="DB34" s="68">
        <f>IF($U34=0,0,IF($F34=4,0,IF($F34=3,0,IF(OR(61&gt;$R34,DA34&lt;=$I34),DA34,DA34-MIN(INT(ROUND(IF($F34=1,$C34*$J34,IF(GZ34&gt;0,GZ34*$K34,DA34*$J34))*IF(61=$R34,$S34,12)/12,6)+$B$4),DA34-$I34)))))</f>
        <v/>
      </c>
      <c r="DC34" s="68">
        <f>IF($U34=0,0,IF($F34=4,0,IF($F34=3,0,IF(OR(62&gt;$R34,DB34&lt;=$I34),DB34,DB34-MIN(INT(ROUND(IF($F34=1,$C34*$J34,IF(HA34&gt;0,HA34*$K34,DB34*$J34))*IF(62=$R34,$S34,12)/12,6)+$B$4),DB34-$I34)))))</f>
        <v/>
      </c>
      <c r="DD34" s="68">
        <f>IF($U34=0,0,IF($F34=4,0,IF($F34=3,0,IF(OR(63&gt;$R34,DC34&lt;=$I34),DC34,DC34-MIN(INT(ROUND(IF($F34=1,$C34*$J34,IF(HB34&gt;0,HB34*$K34,DC34*$J34))*IF(63=$R34,$S34,12)/12,6)+$B$4),DC34-$I34)))))</f>
        <v/>
      </c>
      <c r="DE34" s="68">
        <f>IF($U34=0,0,IF($F34=4,0,IF($F34=3,0,IF(OR(64&gt;$R34,DD34&lt;=$I34),DD34,DD34-MIN(INT(ROUND(IF($F34=1,$C34*$J34,IF(HC34&gt;0,HC34*$K34,DD34*$J34))*IF(64=$R34,$S34,12)/12,6)+$B$4),DD34-$I34)))))</f>
        <v/>
      </c>
      <c r="DF34" s="68">
        <f>IF($U34=0,0,IF($F34=4,0,IF($F34=3,0,IF(OR(65&gt;$R34,DE34&lt;=$I34),DE34,DE34-MIN(INT(ROUND(IF($F34=1,$C34*$J34,IF(HD34&gt;0,HD34*$K34,DE34*$J34))*IF(65=$R34,$S34,12)/12,6)+$B$4),DE34-$I34)))))</f>
        <v/>
      </c>
      <c r="DG34" s="68">
        <f>IF($U34=0,0,IF($F34=4,0,IF($F34=3,0,IF(OR(66&gt;$R34,DF34&lt;=$I34),DF34,DF34-MIN(INT(ROUND(IF($F34=1,$C34*$J34,IF(HE34&gt;0,HE34*$K34,DF34*$J34))*IF(66=$R34,$S34,12)/12,6)+$B$4),DF34-$I34)))))</f>
        <v/>
      </c>
      <c r="DH34" s="68">
        <f>IF($U34=0,0,IF($F34=4,0,IF($F34=3,0,IF(OR(67&gt;$R34,DG34&lt;=$I34),DG34,DG34-MIN(INT(ROUND(IF($F34=1,$C34*$J34,IF(HF34&gt;0,HF34*$K34,DG34*$J34))*IF(67=$R34,$S34,12)/12,6)+$B$4),DG34-$I34)))))</f>
        <v/>
      </c>
      <c r="DI34" s="68">
        <f>IF($U34=0,0,IF($F34=4,0,IF($F34=3,0,IF(OR(68&gt;$R34,DH34&lt;=$I34),DH34,DH34-MIN(INT(ROUND(IF($F34=1,$C34*$J34,IF(HG34&gt;0,HG34*$K34,DH34*$J34))*IF(68=$R34,$S34,12)/12,6)+$B$4),DH34-$I34)))))</f>
        <v/>
      </c>
      <c r="DJ34" s="68">
        <f>IF($U34=0,0,IF($F34=4,0,IF($F34=3,0,IF(OR(69&gt;$R34,DI34&lt;=$I34),DI34,DI34-MIN(INT(ROUND(IF($F34=1,$C34*$J34,IF(HH34&gt;0,HH34*$K34,DI34*$J34))*IF(69=$R34,$S34,12)/12,6)+$B$4),DI34-$I34)))))</f>
        <v/>
      </c>
      <c r="DK34" s="68">
        <f>IF($U34=0,0,IF($F34=4,0,IF($F34=3,0,IF(OR(70&gt;$R34,DJ34&lt;=$I34),DJ34,DJ34-MIN(INT(ROUND(IF($F34=1,$C34*$J34,IF(HI34&gt;0,HI34*$K34,DJ34*$J34))*IF(70=$R34,$S34,12)/12,6)+$B$4),DJ34-$I34)))))</f>
        <v/>
      </c>
      <c r="DL34" s="68">
        <f>IF($U34=0,0,IF($F34=4,0,IF($F34=3,0,IF(OR(71&gt;$R34,DK34&lt;=$I34),DK34,DK34-MIN(INT(ROUND(IF($F34=1,$C34*$J34,IF(HJ34&gt;0,HJ34*$K34,DK34*$J34))*IF(71=$R34,$S34,12)/12,6)+$B$4),DK34-$I34)))))</f>
        <v/>
      </c>
      <c r="DM34" s="68">
        <f>IF($U34=0,0,IF($F34=4,0,IF($F34=3,0,IF(OR(72&gt;$R34,DL34&lt;=$I34),DL34,DL34-MIN(INT(ROUND(IF($F34=1,$C34*$J34,IF(HK34&gt;0,HK34*$K34,DL34*$J34))*IF(72=$R34,$S34,12)/12,6)+$B$4),DL34-$I34)))))</f>
        <v/>
      </c>
      <c r="DN34" s="68">
        <f>IF($U34=0,0,IF($F34=4,0,IF($F34=3,0,IF(OR(73&gt;$R34,DM34&lt;=$I34),DM34,DM34-MIN(INT(ROUND(IF($F34=1,$C34*$J34,IF(HL34&gt;0,HL34*$K34,DM34*$J34))*IF(73=$R34,$S34,12)/12,6)+$B$4),DM34-$I34)))))</f>
        <v/>
      </c>
      <c r="DO34" s="68">
        <f>IF($U34=0,0,IF($F34=4,0,IF($F34=3,0,IF(OR(74&gt;$R34,DN34&lt;=$I34),DN34,DN34-MIN(INT(ROUND(IF($F34=1,$C34*$J34,IF(HM34&gt;0,HM34*$K34,DN34*$J34))*IF(74=$R34,$S34,12)/12,6)+$B$4),DN34-$I34)))))</f>
        <v/>
      </c>
      <c r="DP34" s="68">
        <f>IF($U34=0,0,IF($F34=4,0,IF($F34=3,0,IF(OR(75&gt;$R34,DO34&lt;=$I34),DO34,DO34-MIN(INT(ROUND(IF($F34=1,$C34*$J34,IF(HN34&gt;0,HN34*$K34,DO34*$J34))*IF(75=$R34,$S34,12)/12,6)+$B$4),DO34-$I34)))))</f>
        <v/>
      </c>
      <c r="DQ34" s="68">
        <f>IF($U34=0,0,IF($F34=4,0,IF($F34=3,0,IF(OR(76&gt;$R34,DP34&lt;=$I34),DP34,DP34-MIN(INT(ROUND(IF($F34=1,$C34*$J34,IF(HO34&gt;0,HO34*$K34,DP34*$J34))*IF(76=$R34,$S34,12)/12,6)+$B$4),DP34-$I34)))))</f>
        <v/>
      </c>
      <c r="DR34" s="68">
        <f>IF($U34=0,0,IF($F34=4,0,IF($F34=3,0,IF(OR(77&gt;$R34,DQ34&lt;=$I34),DQ34,DQ34-MIN(INT(ROUND(IF($F34=1,$C34*$J34,IF(HP34&gt;0,HP34*$K34,DQ34*$J34))*IF(77=$R34,$S34,12)/12,6)+$B$4),DQ34-$I34)))))</f>
        <v/>
      </c>
      <c r="DS34" s="68">
        <f>IF($U34=0,0,IF($F34=4,0,IF($F34=3,0,IF(OR(78&gt;$R34,DR34&lt;=$I34),DR34,DR34-MIN(INT(ROUND(IF($F34=1,$C34*$J34,IF(HQ34&gt;0,HQ34*$K34,DR34*$J34))*IF(78=$R34,$S34,12)/12,6)+$B$4),DR34-$I34)))))</f>
        <v/>
      </c>
      <c r="DT34" s="68">
        <f>IF($U34=0,0,IF($F34=4,0,IF($F34=3,0,IF(OR(79&gt;$R34,DS34&lt;=$I34),DS34,DS34-MIN(INT(ROUND(IF($F34=1,$C34*$J34,IF(HR34&gt;0,HR34*$K34,DS34*$J34))*IF(79=$R34,$S34,12)/12,6)+$B$4),DS34-$I34)))))</f>
        <v/>
      </c>
      <c r="DU34" s="68">
        <f>IF($U34=0,0,IF($F34=4,0,IF($F34=3,0,IF(OR(80&gt;$R34,DT34&lt;=$I34),DT34,DT34-MIN(INT(ROUND(IF($F34=1,$C34*$J34,IF(HS34&gt;0,HS34*$K34,DT34*$J34))*IF(80=$R34,$S34,12)/12,6)+$B$4),DT34-$I34)))))</f>
        <v/>
      </c>
      <c r="DV34" s="68">
        <f>IF($U34=0,0,IF($F34=4,0,IF($F34=3,0,IF(OR(81&gt;$R34,DU34&lt;=$I34),DU34,DU34-MIN(INT(ROUND(IF($F34=1,$C34*$J34,IF(HT34&gt;0,HT34*$K34,DU34*$J34))*IF(81=$R34,$S34,12)/12,6)+$B$4),DU34-$I34)))))</f>
        <v/>
      </c>
      <c r="DW34" s="68">
        <f>IF($U34=0,0,IF($F34=4,0,IF($F34=3,0,IF(OR(82&gt;$R34,DV34&lt;=$I34),DV34,DV34-MIN(INT(ROUND(IF($F34=1,$C34*$J34,IF(HU34&gt;0,HU34*$K34,DV34*$J34))*IF(82=$R34,$S34,12)/12,6)+$B$4),DV34-$I34)))))</f>
        <v/>
      </c>
      <c r="DX34" s="68">
        <f>IF($U34=0,0,IF($F34=4,0,IF($F34=3,0,IF(OR(83&gt;$R34,DW34&lt;=$I34),DW34,DW34-MIN(INT(ROUND(IF($F34=1,$C34*$J34,IF(HV34&gt;0,HV34*$K34,DW34*$J34))*IF(83=$R34,$S34,12)/12,6)+$B$4),DW34-$I34)))))</f>
        <v/>
      </c>
      <c r="DY34" s="68">
        <f>IF($U34=0,0,IF($F34=4,0,IF($F34=3,0,IF(OR(84&gt;$R34,DX34&lt;=$I34),DX34,DX34-MIN(INT(ROUND(IF($F34=1,$C34*$J34,IF(HW34&gt;0,HW34*$K34,DX34*$J34))*IF(84=$R34,$S34,12)/12,6)+$B$4),DX34-$I34)))))</f>
        <v/>
      </c>
      <c r="DZ34" s="68">
        <f>IF($U34=0,0,IF($F34=4,0,IF($F34=3,0,IF(OR(85&gt;$R34,DY34&lt;=$I34),DY34,DY34-MIN(INT(ROUND(IF($F34=1,$C34*$J34,IF(HX34&gt;0,HX34*$K34,DY34*$J34))*IF(85=$R34,$S34,12)/12,6)+$B$4),DY34-$I34)))))</f>
        <v/>
      </c>
      <c r="EA34" s="68">
        <f>IF($U34=0,0,IF($F34=4,0,IF($F34=3,0,IF(OR(86&gt;$R34,DZ34&lt;=$I34),DZ34,DZ34-MIN(INT(ROUND(IF($F34=1,$C34*$J34,IF(HY34&gt;0,HY34*$K34,DZ34*$J34))*IF(86=$R34,$S34,12)/12,6)+$B$4),DZ34-$I34)))))</f>
        <v/>
      </c>
      <c r="EB34" s="68">
        <f>IF($U34=0,0,IF($F34=4,0,IF($F34=3,0,IF(OR(87&gt;$R34,EA34&lt;=$I34),EA34,EA34-MIN(INT(ROUND(IF($F34=1,$C34*$J34,IF(HZ34&gt;0,HZ34*$K34,EA34*$J34))*IF(87=$R34,$S34,12)/12,6)+$B$4),EA34-$I34)))))</f>
        <v/>
      </c>
      <c r="EC34" s="68">
        <f>IF($U34=0,0,IF($F34=4,0,IF($F34=3,0,IF(OR(88&gt;$R34,EB34&lt;=$I34),EB34,EB34-MIN(INT(ROUND(IF($F34=1,$C34*$J34,IF(IA34&gt;0,IA34*$K34,EB34*$J34))*IF(88=$R34,$S34,12)/12,6)+$B$4),EB34-$I34)))))</f>
        <v/>
      </c>
      <c r="ED34" s="68">
        <f>IF($U34=0,0,IF($F34=4,0,IF($F34=3,0,IF(OR(89&gt;$R34,EC34&lt;=$I34),EC34,EC34-MIN(INT(ROUND(IF($F34=1,$C34*$J34,IF(IB34&gt;0,IB34*$K34,EC34*$J34))*IF(89=$R34,$S34,12)/12,6)+$B$4),EC34-$I34)))))</f>
        <v/>
      </c>
      <c r="EE34" s="68">
        <f>IF($U34=0,0,IF($F34=4,0,IF($F34=3,0,IF(OR(90&gt;$R34,ED34&lt;=$I34),ED34,ED34-MIN(INT(ROUND(IF($F34=1,$C34*$J34,IF(IC34&gt;0,IC34*$K34,ED34*$J34))*IF(90=$R34,$S34,12)/12,6)+$B$4),ED34-$I34)))))</f>
        <v/>
      </c>
      <c r="EF34" s="68">
        <f>IF($U34=0,0,IF($F34=4,0,IF($F34=3,0,IF(OR(91&gt;$R34,EE34&lt;=$I34),EE34,EE34-MIN(INT(ROUND(IF($F34=1,$C34*$J34,IF(ID34&gt;0,ID34*$K34,EE34*$J34))*IF(91=$R34,$S34,12)/12,6)+$B$4),EE34-$I34)))))</f>
        <v/>
      </c>
      <c r="EG34" s="68">
        <f>IF($U34=0,0,IF($F34=4,0,IF($F34=3,0,IF(OR(92&gt;$R34,EF34&lt;=$I34),EF34,EF34-MIN(INT(ROUND(IF($F34=1,$C34*$J34,IF(IE34&gt;0,IE34*$K34,EF34*$J34))*IF(92=$R34,$S34,12)/12,6)+$B$4),EF34-$I34)))))</f>
        <v/>
      </c>
      <c r="EH34" s="68">
        <f>IF($U34=0,0,IF($F34=4,0,IF($F34=3,0,IF(OR(93&gt;$R34,EG34&lt;=$I34),EG34,EG34-MIN(INT(ROUND(IF($F34=1,$C34*$J34,IF(IF34&gt;0,IF34*$K34,EG34*$J34))*IF(93=$R34,$S34,12)/12,6)+$B$4),EG34-$I34)))))</f>
        <v/>
      </c>
      <c r="EI34" s="68">
        <f>IF($U34=0,0,IF($F34=4,0,IF($F34=3,0,IF(OR(94&gt;$R34,EH34&lt;=$I34),EH34,EH34-MIN(INT(ROUND(IF($F34=1,$C34*$J34,IF(IG34&gt;0,IG34*$K34,EH34*$J34))*IF(94=$R34,$S34,12)/12,6)+$B$4),EH34-$I34)))))</f>
        <v/>
      </c>
      <c r="EJ34" s="68">
        <f>IF($U34=0,0,IF($F34=4,0,IF($F34=3,0,IF(OR(95&gt;$R34,EI34&lt;=$I34),EI34,EI34-MIN(INT(ROUND(IF($F34=1,$C34*$J34,IF(IH34&gt;0,IH34*$K34,EI34*$J34))*IF(95=$R34,$S34,12)/12,6)+$B$4),EI34-$I34)))))</f>
        <v/>
      </c>
      <c r="EK34" s="68">
        <f>IF($U34=0,0,IF($F34=4,0,IF($F34=3,0,IF(OR(96&gt;$R34,EJ34&lt;=$I34),EJ34,EJ34-MIN(INT(ROUND(IF($F34=1,$C34*$J34,IF(II34&gt;0,II34*$K34,EJ34*$J34))*IF(96=$R34,$S34,12)/12,6)+$B$4),EJ34-$I34)))))</f>
        <v/>
      </c>
      <c r="EL34" s="68">
        <f>IF($U34=0,0,IF($F34=4,0,IF($F34=3,0,IF(OR(97&gt;$R34,EK34&lt;=$I34),EK34,EK34-MIN(INT(ROUND(IF($F34=1,$C34*$J34,IF(IJ34&gt;0,IJ34*$K34,EK34*$J34))*IF(97=$R34,$S34,12)/12,6)+$B$4),EK34-$I34)))))</f>
        <v/>
      </c>
      <c r="EM34" s="68">
        <f>IF($U34=0,0,IF($F34=4,0,IF($F34=3,0,IF(OR(98&gt;$R34,EL34&lt;=$I34),EL34,EL34-MIN(INT(ROUND(IF($F34=1,$C34*$J34,IF(IK34&gt;0,IK34*$K34,EL34*$J34))*IF(98=$R34,$S34,12)/12,6)+$B$4),EL34-$I34)))))</f>
        <v/>
      </c>
      <c r="EN34" s="68">
        <f>IF($U34=0,0,IF($F34=4,0,IF($F34=3,0,IF(OR(99&gt;$R34,EM34&lt;=$I34),EM34,EM34-MIN(INT(ROUND(IF($F34=1,$C34*$J34,IF(IL34&gt;0,IL34*$K34,EM34*$J34))*IF(99=$R34,$S34,12)/12,6)+$B$4),EM34-$I34)))))</f>
        <v/>
      </c>
      <c r="EO34" s="68">
        <f>IF($U34=0,0,IF($F34=4,0,IF($F34=3,0,IF(OR(100&gt;$R34,EN34&lt;=$I34),EN34,EN34-MIN(INT(ROUND(IF($F34=1,$C34*$J34,IF(IM34&gt;0,IM34*$K34,EN34*$J34))*IF(100=$R34,$S34,12)/12,6)+$B$4),EN34-$I34)))))</f>
        <v/>
      </c>
      <c r="EP34" s="68">
        <f>IF($U34=0,0,IF($F34=4,0,IF($F34=3,0,IF(OR(101&gt;$R34,EO34&lt;=$I34),EO34,EO34-MIN(INT(ROUND(IF($F34=1,$C34*$J34,IF(IN34&gt;0,IN34*$K34,EO34*$J34))*IF(101=$R34,$S34,12)/12,6)+$B$4),EO34-$I34)))))</f>
        <v/>
      </c>
      <c r="EQ34" s="68" t="n"/>
      <c r="ER34" s="68">
        <f>IF(OR($U34=0,$F34&lt;&gt;2),0,IF(ROUND(AS34*$J34,6)&lt;ROUND($M34,6),AS34,0))</f>
        <v/>
      </c>
      <c r="ES34" s="68">
        <f>IF(OR($U34=0,$F34&lt;&gt;2),0,IF(ER34&gt;0,ER34,IF(ROUND(AT34*$J34,6)&lt;ROUND($M34,6),AT34,0)))</f>
        <v/>
      </c>
      <c r="ET34" s="68">
        <f>IF(OR($U34=0,$F34&lt;&gt;2),0,IF(ES34&gt;0,ES34,IF(ROUND(AU34*$J34,6)&lt;ROUND($M34,6),AU34,0)))</f>
        <v/>
      </c>
      <c r="EU34" s="68">
        <f>IF(OR($U34=0,$F34&lt;&gt;2),0,IF(ET34&gt;0,ET34,IF(ROUND(AV34*$J34,6)&lt;ROUND($M34,6),AV34,0)))</f>
        <v/>
      </c>
      <c r="EV34" s="68">
        <f>IF(OR($U34=0,$F34&lt;&gt;2),0,IF(EU34&gt;0,EU34,IF(ROUND(AW34*$J34,6)&lt;ROUND($M34,6),AW34,0)))</f>
        <v/>
      </c>
      <c r="EW34" s="68">
        <f>IF(OR($U34=0,$F34&lt;&gt;2),0,IF(EV34&gt;0,EV34,IF(ROUND(AX34*$J34,6)&lt;ROUND($M34,6),AX34,0)))</f>
        <v/>
      </c>
      <c r="EX34" s="68">
        <f>IF(OR($U34=0,$F34&lt;&gt;2),0,IF(EW34&gt;0,EW34,IF(ROUND(AY34*$J34,6)&lt;ROUND($M34,6),AY34,0)))</f>
        <v/>
      </c>
      <c r="EY34" s="68">
        <f>IF(OR($U34=0,$F34&lt;&gt;2),0,IF(EX34&gt;0,EX34,IF(ROUND(AZ34*$J34,6)&lt;ROUND($M34,6),AZ34,0)))</f>
        <v/>
      </c>
      <c r="EZ34" s="68">
        <f>IF(OR($U34=0,$F34&lt;&gt;2),0,IF(EY34&gt;0,EY34,IF(ROUND(BA34*$J34,6)&lt;ROUND($M34,6),BA34,0)))</f>
        <v/>
      </c>
      <c r="FA34" s="68">
        <f>IF(OR($U34=0,$F34&lt;&gt;2),0,IF(EZ34&gt;0,EZ34,IF(ROUND(BB34*$J34,6)&lt;ROUND($M34,6),BB34,0)))</f>
        <v/>
      </c>
      <c r="FB34" s="68">
        <f>IF(OR($U34=0,$F34&lt;&gt;2),0,IF(FA34&gt;0,FA34,IF(ROUND(BC34*$J34,6)&lt;ROUND($M34,6),BC34,0)))</f>
        <v/>
      </c>
      <c r="FC34" s="68">
        <f>IF(OR($U34=0,$F34&lt;&gt;2),0,IF(FB34&gt;0,FB34,IF(ROUND(BD34*$J34,6)&lt;ROUND($M34,6),BD34,0)))</f>
        <v/>
      </c>
      <c r="FD34" s="68">
        <f>IF(OR($U34=0,$F34&lt;&gt;2),0,IF(FC34&gt;0,FC34,IF(ROUND(BE34*$J34,6)&lt;ROUND($M34,6),BE34,0)))</f>
        <v/>
      </c>
      <c r="FE34" s="68">
        <f>IF(OR($U34=0,$F34&lt;&gt;2),0,IF(FD34&gt;0,FD34,IF(ROUND(BF34*$J34,6)&lt;ROUND($M34,6),BF34,0)))</f>
        <v/>
      </c>
      <c r="FF34" s="68">
        <f>IF(OR($U34=0,$F34&lt;&gt;2),0,IF(FE34&gt;0,FE34,IF(ROUND(BG34*$J34,6)&lt;ROUND($M34,6),BG34,0)))</f>
        <v/>
      </c>
      <c r="FG34" s="68">
        <f>IF(OR($U34=0,$F34&lt;&gt;2),0,IF(FF34&gt;0,FF34,IF(ROUND(BH34*$J34,6)&lt;ROUND($M34,6),BH34,0)))</f>
        <v/>
      </c>
      <c r="FH34" s="68">
        <f>IF(OR($U34=0,$F34&lt;&gt;2),0,IF(FG34&gt;0,FG34,IF(ROUND(BI34*$J34,6)&lt;ROUND($M34,6),BI34,0)))</f>
        <v/>
      </c>
      <c r="FI34" s="68">
        <f>IF(OR($U34=0,$F34&lt;&gt;2),0,IF(FH34&gt;0,FH34,IF(ROUND(BJ34*$J34,6)&lt;ROUND($M34,6),BJ34,0)))</f>
        <v/>
      </c>
      <c r="FJ34" s="68">
        <f>IF(OR($U34=0,$F34&lt;&gt;2),0,IF(FI34&gt;0,FI34,IF(ROUND(BK34*$J34,6)&lt;ROUND($M34,6),BK34,0)))</f>
        <v/>
      </c>
      <c r="FK34" s="68">
        <f>IF(OR($U34=0,$F34&lt;&gt;2),0,IF(FJ34&gt;0,FJ34,IF(ROUND(BL34*$J34,6)&lt;ROUND($M34,6),BL34,0)))</f>
        <v/>
      </c>
      <c r="FL34" s="68">
        <f>IF(OR($U34=0,$F34&lt;&gt;2),0,IF(FK34&gt;0,FK34,IF(ROUND(BM34*$J34,6)&lt;ROUND($M34,6),BM34,0)))</f>
        <v/>
      </c>
      <c r="FM34" s="68">
        <f>IF(OR($U34=0,$F34&lt;&gt;2),0,IF(FL34&gt;0,FL34,IF(ROUND(BN34*$J34,6)&lt;ROUND($M34,6),BN34,0)))</f>
        <v/>
      </c>
      <c r="FN34" s="68">
        <f>IF(OR($U34=0,$F34&lt;&gt;2),0,IF(FM34&gt;0,FM34,IF(ROUND(BO34*$J34,6)&lt;ROUND($M34,6),BO34,0)))</f>
        <v/>
      </c>
      <c r="FO34" s="68">
        <f>IF(OR($U34=0,$F34&lt;&gt;2),0,IF(FN34&gt;0,FN34,IF(ROUND(BP34*$J34,6)&lt;ROUND($M34,6),BP34,0)))</f>
        <v/>
      </c>
      <c r="FP34" s="68">
        <f>IF(OR($U34=0,$F34&lt;&gt;2),0,IF(FO34&gt;0,FO34,IF(ROUND(BQ34*$J34,6)&lt;ROUND($M34,6),BQ34,0)))</f>
        <v/>
      </c>
      <c r="FQ34" s="68">
        <f>IF(OR($U34=0,$F34&lt;&gt;2),0,IF(FP34&gt;0,FP34,IF(ROUND(BR34*$J34,6)&lt;ROUND($M34,6),BR34,0)))</f>
        <v/>
      </c>
      <c r="FR34" s="68">
        <f>IF(OR($U34=0,$F34&lt;&gt;2),0,IF(FQ34&gt;0,FQ34,IF(ROUND(BS34*$J34,6)&lt;ROUND($M34,6),BS34,0)))</f>
        <v/>
      </c>
      <c r="FS34" s="68">
        <f>IF(OR($U34=0,$F34&lt;&gt;2),0,IF(FR34&gt;0,FR34,IF(ROUND(BT34*$J34,6)&lt;ROUND($M34,6),BT34,0)))</f>
        <v/>
      </c>
      <c r="FT34" s="68">
        <f>IF(OR($U34=0,$F34&lt;&gt;2),0,IF(FS34&gt;0,FS34,IF(ROUND(BU34*$J34,6)&lt;ROUND($M34,6),BU34,0)))</f>
        <v/>
      </c>
      <c r="FU34" s="68">
        <f>IF(OR($U34=0,$F34&lt;&gt;2),0,IF(FT34&gt;0,FT34,IF(ROUND(BV34*$J34,6)&lt;ROUND($M34,6),BV34,0)))</f>
        <v/>
      </c>
      <c r="FV34" s="68">
        <f>IF(OR($U34=0,$F34&lt;&gt;2),0,IF(FU34&gt;0,FU34,IF(ROUND(BW34*$J34,6)&lt;ROUND($M34,6),BW34,0)))</f>
        <v/>
      </c>
      <c r="FW34" s="68">
        <f>IF(OR($U34=0,$F34&lt;&gt;2),0,IF(FV34&gt;0,FV34,IF(ROUND(BX34*$J34,6)&lt;ROUND($M34,6),BX34,0)))</f>
        <v/>
      </c>
      <c r="FX34" s="68">
        <f>IF(OR($U34=0,$F34&lt;&gt;2),0,IF(FW34&gt;0,FW34,IF(ROUND(BY34*$J34,6)&lt;ROUND($M34,6),BY34,0)))</f>
        <v/>
      </c>
      <c r="FY34" s="68">
        <f>IF(OR($U34=0,$F34&lt;&gt;2),0,IF(FX34&gt;0,FX34,IF(ROUND(BZ34*$J34,6)&lt;ROUND($M34,6),BZ34,0)))</f>
        <v/>
      </c>
      <c r="FZ34" s="68">
        <f>IF(OR($U34=0,$F34&lt;&gt;2),0,IF(FY34&gt;0,FY34,IF(ROUND(CA34*$J34,6)&lt;ROUND($M34,6),CA34,0)))</f>
        <v/>
      </c>
      <c r="GA34" s="68">
        <f>IF(OR($U34=0,$F34&lt;&gt;2),0,IF(FZ34&gt;0,FZ34,IF(ROUND(CB34*$J34,6)&lt;ROUND($M34,6),CB34,0)))</f>
        <v/>
      </c>
      <c r="GB34" s="68">
        <f>IF(OR($U34=0,$F34&lt;&gt;2),0,IF(GA34&gt;0,GA34,IF(ROUND(CC34*$J34,6)&lt;ROUND($M34,6),CC34,0)))</f>
        <v/>
      </c>
      <c r="GC34" s="68">
        <f>IF(OR($U34=0,$F34&lt;&gt;2),0,IF(GB34&gt;0,GB34,IF(ROUND(CD34*$J34,6)&lt;ROUND($M34,6),CD34,0)))</f>
        <v/>
      </c>
      <c r="GD34" s="68">
        <f>IF(OR($U34=0,$F34&lt;&gt;2),0,IF(GC34&gt;0,GC34,IF(ROUND(CE34*$J34,6)&lt;ROUND($M34,6),CE34,0)))</f>
        <v/>
      </c>
      <c r="GE34" s="68">
        <f>IF(OR($U34=0,$F34&lt;&gt;2),0,IF(GD34&gt;0,GD34,IF(ROUND(CF34*$J34,6)&lt;ROUND($M34,6),CF34,0)))</f>
        <v/>
      </c>
      <c r="GF34" s="68">
        <f>IF(OR($U34=0,$F34&lt;&gt;2),0,IF(GE34&gt;0,GE34,IF(ROUND(CG34*$J34,6)&lt;ROUND($M34,6),CG34,0)))</f>
        <v/>
      </c>
      <c r="GG34" s="68">
        <f>IF(OR($U34=0,$F34&lt;&gt;2),0,IF(GF34&gt;0,GF34,IF(ROUND(CH34*$J34,6)&lt;ROUND($M34,6),CH34,0)))</f>
        <v/>
      </c>
      <c r="GH34" s="68">
        <f>IF(OR($U34=0,$F34&lt;&gt;2),0,IF(GG34&gt;0,GG34,IF(ROUND(CI34*$J34,6)&lt;ROUND($M34,6),CI34,0)))</f>
        <v/>
      </c>
      <c r="GI34" s="68">
        <f>IF(OR($U34=0,$F34&lt;&gt;2),0,IF(GH34&gt;0,GH34,IF(ROUND(CJ34*$J34,6)&lt;ROUND($M34,6),CJ34,0)))</f>
        <v/>
      </c>
      <c r="GJ34" s="68">
        <f>IF(OR($U34=0,$F34&lt;&gt;2),0,IF(GI34&gt;0,GI34,IF(ROUND(CK34*$J34,6)&lt;ROUND($M34,6),CK34,0)))</f>
        <v/>
      </c>
      <c r="GK34" s="68">
        <f>IF(OR($U34=0,$F34&lt;&gt;2),0,IF(GJ34&gt;0,GJ34,IF(ROUND(CL34*$J34,6)&lt;ROUND($M34,6),CL34,0)))</f>
        <v/>
      </c>
      <c r="GL34" s="68">
        <f>IF(OR($U34=0,$F34&lt;&gt;2),0,IF(GK34&gt;0,GK34,IF(ROUND(CM34*$J34,6)&lt;ROUND($M34,6),CM34,0)))</f>
        <v/>
      </c>
      <c r="GM34" s="68">
        <f>IF(OR($U34=0,$F34&lt;&gt;2),0,IF(GL34&gt;0,GL34,IF(ROUND(CN34*$J34,6)&lt;ROUND($M34,6),CN34,0)))</f>
        <v/>
      </c>
      <c r="GN34" s="68">
        <f>IF(OR($U34=0,$F34&lt;&gt;2),0,IF(GM34&gt;0,GM34,IF(ROUND(CO34*$J34,6)&lt;ROUND($M34,6),CO34,0)))</f>
        <v/>
      </c>
      <c r="GO34" s="68">
        <f>IF(OR($U34=0,$F34&lt;&gt;2),0,IF(GN34&gt;0,GN34,IF(ROUND(CP34*$J34,6)&lt;ROUND($M34,6),CP34,0)))</f>
        <v/>
      </c>
      <c r="GP34" s="68">
        <f>IF(OR($U34=0,$F34&lt;&gt;2),0,IF(GO34&gt;0,GO34,IF(ROUND(CQ34*$J34,6)&lt;ROUND($M34,6),CQ34,0)))</f>
        <v/>
      </c>
      <c r="GQ34" s="68">
        <f>IF(OR($U34=0,$F34&lt;&gt;2),0,IF(GP34&gt;0,GP34,IF(ROUND(CR34*$J34,6)&lt;ROUND($M34,6),CR34,0)))</f>
        <v/>
      </c>
      <c r="GR34" s="68">
        <f>IF(OR($U34=0,$F34&lt;&gt;2),0,IF(GQ34&gt;0,GQ34,IF(ROUND(CS34*$J34,6)&lt;ROUND($M34,6),CS34,0)))</f>
        <v/>
      </c>
      <c r="GS34" s="68">
        <f>IF(OR($U34=0,$F34&lt;&gt;2),0,IF(GR34&gt;0,GR34,IF(ROUND(CT34*$J34,6)&lt;ROUND($M34,6),CT34,0)))</f>
        <v/>
      </c>
      <c r="GT34" s="68">
        <f>IF(OR($U34=0,$F34&lt;&gt;2),0,IF(GS34&gt;0,GS34,IF(ROUND(CU34*$J34,6)&lt;ROUND($M34,6),CU34,0)))</f>
        <v/>
      </c>
      <c r="GU34" s="68">
        <f>IF(OR($U34=0,$F34&lt;&gt;2),0,IF(GT34&gt;0,GT34,IF(ROUND(CV34*$J34,6)&lt;ROUND($M34,6),CV34,0)))</f>
        <v/>
      </c>
      <c r="GV34" s="68">
        <f>IF(OR($U34=0,$F34&lt;&gt;2),0,IF(GU34&gt;0,GU34,IF(ROUND(CW34*$J34,6)&lt;ROUND($M34,6),CW34,0)))</f>
        <v/>
      </c>
      <c r="GW34" s="68">
        <f>IF(OR($U34=0,$F34&lt;&gt;2),0,IF(GV34&gt;0,GV34,IF(ROUND(CX34*$J34,6)&lt;ROUND($M34,6),CX34,0)))</f>
        <v/>
      </c>
      <c r="GX34" s="68">
        <f>IF(OR($U34=0,$F34&lt;&gt;2),0,IF(GW34&gt;0,GW34,IF(ROUND(CY34*$J34,6)&lt;ROUND($M34,6),CY34,0)))</f>
        <v/>
      </c>
      <c r="GY34" s="68">
        <f>IF(OR($U34=0,$F34&lt;&gt;2),0,IF(GX34&gt;0,GX34,IF(ROUND(CZ34*$J34,6)&lt;ROUND($M34,6),CZ34,0)))</f>
        <v/>
      </c>
      <c r="GZ34" s="68">
        <f>IF(OR($U34=0,$F34&lt;&gt;2),0,IF(GY34&gt;0,GY34,IF(ROUND(DA34*$J34,6)&lt;ROUND($M34,6),DA34,0)))</f>
        <v/>
      </c>
      <c r="HA34" s="68">
        <f>IF(OR($U34=0,$F34&lt;&gt;2),0,IF(GZ34&gt;0,GZ34,IF(ROUND(DB34*$J34,6)&lt;ROUND($M34,6),DB34,0)))</f>
        <v/>
      </c>
      <c r="HB34" s="68">
        <f>IF(OR($U34=0,$F34&lt;&gt;2),0,IF(HA34&gt;0,HA34,IF(ROUND(DC34*$J34,6)&lt;ROUND($M34,6),DC34,0)))</f>
        <v/>
      </c>
      <c r="HC34" s="68">
        <f>IF(OR($U34=0,$F34&lt;&gt;2),0,IF(HB34&gt;0,HB34,IF(ROUND(DD34*$J34,6)&lt;ROUND($M34,6),DD34,0)))</f>
        <v/>
      </c>
      <c r="HD34" s="68">
        <f>IF(OR($U34=0,$F34&lt;&gt;2),0,IF(HC34&gt;0,HC34,IF(ROUND(DE34*$J34,6)&lt;ROUND($M34,6),DE34,0)))</f>
        <v/>
      </c>
      <c r="HE34" s="68">
        <f>IF(OR($U34=0,$F34&lt;&gt;2),0,IF(HD34&gt;0,HD34,IF(ROUND(DF34*$J34,6)&lt;ROUND($M34,6),DF34,0)))</f>
        <v/>
      </c>
      <c r="HF34" s="68">
        <f>IF(OR($U34=0,$F34&lt;&gt;2),0,IF(HE34&gt;0,HE34,IF(ROUND(DG34*$J34,6)&lt;ROUND($M34,6),DG34,0)))</f>
        <v/>
      </c>
      <c r="HG34" s="68">
        <f>IF(OR($U34=0,$F34&lt;&gt;2),0,IF(HF34&gt;0,HF34,IF(ROUND(DH34*$J34,6)&lt;ROUND($M34,6),DH34,0)))</f>
        <v/>
      </c>
      <c r="HH34" s="68">
        <f>IF(OR($U34=0,$F34&lt;&gt;2),0,IF(HG34&gt;0,HG34,IF(ROUND(DI34*$J34,6)&lt;ROUND($M34,6),DI34,0)))</f>
        <v/>
      </c>
      <c r="HI34" s="68">
        <f>IF(OR($U34=0,$F34&lt;&gt;2),0,IF(HH34&gt;0,HH34,IF(ROUND(DJ34*$J34,6)&lt;ROUND($M34,6),DJ34,0)))</f>
        <v/>
      </c>
      <c r="HJ34" s="68">
        <f>IF(OR($U34=0,$F34&lt;&gt;2),0,IF(HI34&gt;0,HI34,IF(ROUND(DK34*$J34,6)&lt;ROUND($M34,6),DK34,0)))</f>
        <v/>
      </c>
      <c r="HK34" s="68">
        <f>IF(OR($U34=0,$F34&lt;&gt;2),0,IF(HJ34&gt;0,HJ34,IF(ROUND(DL34*$J34,6)&lt;ROUND($M34,6),DL34,0)))</f>
        <v/>
      </c>
      <c r="HL34" s="68">
        <f>IF(OR($U34=0,$F34&lt;&gt;2),0,IF(HK34&gt;0,HK34,IF(ROUND(DM34*$J34,6)&lt;ROUND($M34,6),DM34,0)))</f>
        <v/>
      </c>
      <c r="HM34" s="68">
        <f>IF(OR($U34=0,$F34&lt;&gt;2),0,IF(HL34&gt;0,HL34,IF(ROUND(DN34*$J34,6)&lt;ROUND($M34,6),DN34,0)))</f>
        <v/>
      </c>
      <c r="HN34" s="68">
        <f>IF(OR($U34=0,$F34&lt;&gt;2),0,IF(HM34&gt;0,HM34,IF(ROUND(DO34*$J34,6)&lt;ROUND($M34,6),DO34,0)))</f>
        <v/>
      </c>
      <c r="HO34" s="68">
        <f>IF(OR($U34=0,$F34&lt;&gt;2),0,IF(HN34&gt;0,HN34,IF(ROUND(DP34*$J34,6)&lt;ROUND($M34,6),DP34,0)))</f>
        <v/>
      </c>
      <c r="HP34" s="68">
        <f>IF(OR($U34=0,$F34&lt;&gt;2),0,IF(HO34&gt;0,HO34,IF(ROUND(DQ34*$J34,6)&lt;ROUND($M34,6),DQ34,0)))</f>
        <v/>
      </c>
      <c r="HQ34" s="68">
        <f>IF(OR($U34=0,$F34&lt;&gt;2),0,IF(HP34&gt;0,HP34,IF(ROUND(DR34*$J34,6)&lt;ROUND($M34,6),DR34,0)))</f>
        <v/>
      </c>
      <c r="HR34" s="68">
        <f>IF(OR($U34=0,$F34&lt;&gt;2),0,IF(HQ34&gt;0,HQ34,IF(ROUND(DS34*$J34,6)&lt;ROUND($M34,6),DS34,0)))</f>
        <v/>
      </c>
      <c r="HS34" s="68">
        <f>IF(OR($U34=0,$F34&lt;&gt;2),0,IF(HR34&gt;0,HR34,IF(ROUND(DT34*$J34,6)&lt;ROUND($M34,6),DT34,0)))</f>
        <v/>
      </c>
      <c r="HT34" s="68">
        <f>IF(OR($U34=0,$F34&lt;&gt;2),0,IF(HS34&gt;0,HS34,IF(ROUND(DU34*$J34,6)&lt;ROUND($M34,6),DU34,0)))</f>
        <v/>
      </c>
      <c r="HU34" s="68">
        <f>IF(OR($U34=0,$F34&lt;&gt;2),0,IF(HT34&gt;0,HT34,IF(ROUND(DV34*$J34,6)&lt;ROUND($M34,6),DV34,0)))</f>
        <v/>
      </c>
      <c r="HV34" s="68">
        <f>IF(OR($U34=0,$F34&lt;&gt;2),0,IF(HU34&gt;0,HU34,IF(ROUND(DW34*$J34,6)&lt;ROUND($M34,6),DW34,0)))</f>
        <v/>
      </c>
      <c r="HW34" s="68">
        <f>IF(OR($U34=0,$F34&lt;&gt;2),0,IF(HV34&gt;0,HV34,IF(ROUND(DX34*$J34,6)&lt;ROUND($M34,6),DX34,0)))</f>
        <v/>
      </c>
      <c r="HX34" s="68">
        <f>IF(OR($U34=0,$F34&lt;&gt;2),0,IF(HW34&gt;0,HW34,IF(ROUND(DY34*$J34,6)&lt;ROUND($M34,6),DY34,0)))</f>
        <v/>
      </c>
      <c r="HY34" s="68">
        <f>IF(OR($U34=0,$F34&lt;&gt;2),0,IF(HX34&gt;0,HX34,IF(ROUND(DZ34*$J34,6)&lt;ROUND($M34,6),DZ34,0)))</f>
        <v/>
      </c>
      <c r="HZ34" s="68">
        <f>IF(OR($U34=0,$F34&lt;&gt;2),0,IF(HY34&gt;0,HY34,IF(ROUND(EA34*$J34,6)&lt;ROUND($M34,6),EA34,0)))</f>
        <v/>
      </c>
      <c r="IA34" s="68">
        <f>IF(OR($U34=0,$F34&lt;&gt;2),0,IF(HZ34&gt;0,HZ34,IF(ROUND(EB34*$J34,6)&lt;ROUND($M34,6),EB34,0)))</f>
        <v/>
      </c>
      <c r="IB34" s="68">
        <f>IF(OR($U34=0,$F34&lt;&gt;2),0,IF(IA34&gt;0,IA34,IF(ROUND(EC34*$J34,6)&lt;ROUND($M34,6),EC34,0)))</f>
        <v/>
      </c>
      <c r="IC34" s="68">
        <f>IF(OR($U34=0,$F34&lt;&gt;2),0,IF(IB34&gt;0,IB34,IF(ROUND(ED34*$J34,6)&lt;ROUND($M34,6),ED34,0)))</f>
        <v/>
      </c>
      <c r="ID34" s="68">
        <f>IF(OR($U34=0,$F34&lt;&gt;2),0,IF(IC34&gt;0,IC34,IF(ROUND(EE34*$J34,6)&lt;ROUND($M34,6),EE34,0)))</f>
        <v/>
      </c>
      <c r="IE34" s="68">
        <f>IF(OR($U34=0,$F34&lt;&gt;2),0,IF(ID34&gt;0,ID34,IF(ROUND(EF34*$J34,6)&lt;ROUND($M34,6),EF34,0)))</f>
        <v/>
      </c>
      <c r="IF34" s="68">
        <f>IF(OR($U34=0,$F34&lt;&gt;2),0,IF(IE34&gt;0,IE34,IF(ROUND(EG34*$J34,6)&lt;ROUND($M34,6),EG34,0)))</f>
        <v/>
      </c>
      <c r="IG34" s="68">
        <f>IF(OR($U34=0,$F34&lt;&gt;2),0,IF(IF34&gt;0,IF34,IF(ROUND(EH34*$J34,6)&lt;ROUND($M34,6),EH34,0)))</f>
        <v/>
      </c>
      <c r="IH34" s="68">
        <f>IF(OR($U34=0,$F34&lt;&gt;2),0,IF(IG34&gt;0,IG34,IF(ROUND(EI34*$J34,6)&lt;ROUND($M34,6),EI34,0)))</f>
        <v/>
      </c>
      <c r="II34" s="68">
        <f>IF(OR($U34=0,$F34&lt;&gt;2),0,IF(IH34&gt;0,IH34,IF(ROUND(EJ34*$J34,6)&lt;ROUND($M34,6),EJ34,0)))</f>
        <v/>
      </c>
      <c r="IJ34" s="68">
        <f>IF(OR($U34=0,$F34&lt;&gt;2),0,IF(II34&gt;0,II34,IF(ROUND(EK34*$J34,6)&lt;ROUND($M34,6),EK34,0)))</f>
        <v/>
      </c>
      <c r="IK34" s="68">
        <f>IF(OR($U34=0,$F34&lt;&gt;2),0,IF(IJ34&gt;0,IJ34,IF(ROUND(EL34*$J34,6)&lt;ROUND($M34,6),EL34,0)))</f>
        <v/>
      </c>
      <c r="IL34" s="68">
        <f>IF(OR($U34=0,$F34&lt;&gt;2),0,IF(IK34&gt;0,IK34,IF(ROUND(EM34*$J34,6)&lt;ROUND($M34,6),EM34,0)))</f>
        <v/>
      </c>
      <c r="IM34" s="68">
        <f>IF(OR($U34=0,$F34&lt;&gt;2),0,IF(IL34&gt;0,IL34,IF(ROUND(EN34*$J34,6)&lt;ROUND($M34,6),EN34,0)))</f>
        <v/>
      </c>
      <c r="IN34" s="68">
        <f>IF(OR($U34=0,$F34&lt;&gt;2),0,IF(IM34&gt;0,IM34,IF(ROUND(EO34*$J34,6)&lt;ROUND($M34,6),EO34,0)))</f>
        <v/>
      </c>
    </row>
    <row r="35">
      <c r="A35" s="68" t="n">
        <v>30</v>
      </c>
      <c r="B35" s="68">
        <f>IF(OR(TRIM('固定資産台帳'!$B35)&lt;&gt;"",'固定資産台帳'!$E35&lt;&gt;"",'固定資産台帳'!$G35&lt;&gt;"",'固定資産台帳'!$H35&lt;&gt;""),1,0)</f>
        <v/>
      </c>
      <c r="C35" s="68">
        <f>IF(ISNUMBER('固定資産台帳'!$G35),MAX(ROUND('固定資産台帳'!$G35,0),0),0)</f>
        <v/>
      </c>
      <c r="D35" s="84">
        <f>IF(ISNUMBER('固定資産台帳'!$E35),INT('固定資産台帳'!$E35),0)</f>
        <v/>
      </c>
      <c r="E35" s="84">
        <f>IF(ISNUMBER('固定資産台帳'!$F35),INT('固定資産台帳'!$F35),$D35)</f>
        <v/>
      </c>
      <c r="F35" s="68">
        <f>IF('固定資産台帳'!$H35="定額法",1,IF(OR('固定資産台帳'!$H35="定率法",'固定資産台帳'!$H35="定率法（200%）",'固定資産台帳'!$H35="定率法（250%）"),2,IF('固定資産台帳'!$H35="一括償却（3年）",3,IF('固定資産台帳'!$H35="少額特例",4,0))))</f>
        <v/>
      </c>
      <c r="G35" s="68">
        <f>IF('固定資産台帳'!$H35="定率法（250%）",250,IF('固定資産台帳'!$H35="定率法（200%）",200,IF($D35&gt;=DATE(2012,4,1),200,250)))</f>
        <v/>
      </c>
      <c r="H35" s="68">
        <f>IF(ISNUMBER('固定資産台帳'!$I35),IF(AND('固定資産台帳'!$I35&gt;=2,'固定資産台帳'!$I35&lt;=100,'固定資産台帳'!$I35=INT('固定資産台帳'!$I35)),'固定資産台帳'!$I35,0),0)</f>
        <v/>
      </c>
      <c r="I35" s="68">
        <f>IF('固定資産台帳'!$C35="無形固定資産",0,1)</f>
        <v/>
      </c>
      <c r="J35" s="68">
        <f>IF(OR($H35=0,$F35=0,$F35&gt;2),0,IF($F35=1,INDEX('償却率表'!$B$6:$B$104,$H35-1),IF($G35=200,INDEX('償却率表'!$C$6:$C$104,$H35-1),INDEX('償却率表'!$F$6:$F$104,$H35-1))))</f>
        <v/>
      </c>
      <c r="K35" s="68">
        <f>IF(AND($F35=2,$H35&gt;0),IF($G35=200,INDEX('償却率表'!$D$6:$D$104,$H35-1),INDEX('償却率表'!$G$6:$G$104,$H35-1)),0)</f>
        <v/>
      </c>
      <c r="L35" s="68">
        <f>IF(AND($F35=2,$H35&gt;0),IF($G35=200,INDEX('償却率表'!$E$6:$E$104,$H35-1),INDEX('償却率表'!$H$6:$H$104,$H35-1)),0)</f>
        <v/>
      </c>
      <c r="M35" s="68">
        <f>$C35*$L35</f>
        <v/>
      </c>
      <c r="N35" s="68">
        <f>IF($B$1=1,1,IF('固定資産台帳'!$J35="",1,IF(ISNUMBER('固定資産台帳'!$J35),IF(AND('固定資産台帳'!$J35&gt;0,'固定資産台帳'!$J35&lt;=1),'固定資産台帳'!$J35,0),0)))</f>
        <v/>
      </c>
      <c r="O35" s="68">
        <f>IF($E35=0,0,YEAR($E35)-IF(MONTH($E35)&lt;$B$2,1,0))</f>
        <v/>
      </c>
      <c r="P35" s="68">
        <f>IF($E35=0,0,12-MOD(MONTH($E35)-$B$2,12))</f>
        <v/>
      </c>
      <c r="Q35" s="84">
        <f>IF(ISNUMBER('固定資産台帳'!$K35),INT('固定資産台帳'!$K35),0)</f>
        <v/>
      </c>
      <c r="R35" s="68">
        <f>IF(OR($Q35=0,$E35=0),999,YEAR($Q35)-IF(MONTH($Q35)&lt;$B$2,1,0)-$O35)</f>
        <v/>
      </c>
      <c r="S35" s="68">
        <f>IF($R35=999,0,MOD(MONTH($Q35)-$B$2,12)+1-IF($R35=0,12-$P35,0))</f>
        <v/>
      </c>
      <c r="T35" s="68">
        <f>IF($B35=0,0,IF($C35&lt;=0,1,IF($D35=0,2,IF($F35=0,3,IF(AND($F35&lt;=2,$H35=0),4,IF(AND($F35&lt;=2,$D35&lt;DATE(2007,4,1)),5,IF($E35&lt;$D35,6,IF(AND($Q35&gt;0,$Q35&lt;$E35),7,IF($N35=0,8,IF($B$3=0,9,0))))))))))</f>
        <v/>
      </c>
      <c r="U35" s="68">
        <f>IF(AND($B35=1,$T35=0),1,0)</f>
        <v/>
      </c>
      <c r="V35" s="68">
        <f>$B$3-$O35</f>
        <v/>
      </c>
      <c r="W35" s="68">
        <f>IF(AND($U35=1,$V35&gt;=0),1,0)</f>
        <v/>
      </c>
      <c r="X35" s="68">
        <f>IF($W35=0,0,IF($V35=0,$C35,INDEX($AS35:$EP35,MIN($V35,102))))</f>
        <v/>
      </c>
      <c r="Y35" s="68">
        <f>IF($W35=0,0,INDEX($AS35:$EP35,MIN($V35,101)+1))</f>
        <v/>
      </c>
      <c r="Z35" s="68">
        <f>$X35-$Y35</f>
        <v/>
      </c>
      <c r="AA35" s="68">
        <f>IF(AND($W35=1,$F35=2,$V35&gt;=1),INDEX($ER35:$IN35,MIN($V35,101)),0)</f>
        <v/>
      </c>
      <c r="AB35" s="68">
        <f>IF(OR($W35=0,$F35&gt;2,$Z35=0),0,IF($V35=0,IF($R35=0,$S35,$P35),IF($V35=$R35,$S35,12)))</f>
        <v/>
      </c>
      <c r="AC35" s="68">
        <f>IF($W35=0,0,INT(ROUND($Z35*$N35,6)+$B$4))</f>
        <v/>
      </c>
      <c r="AD35" s="68">
        <f>IF(AND($W35=1,$F35&lt;=2,$V35=$R35),1,0)</f>
        <v/>
      </c>
      <c r="AE35" s="68">
        <f>IF(AND($W35=1,$F35&lt;=2,$V35&gt;$R35),1,0)</f>
        <v/>
      </c>
      <c r="AF35" s="68">
        <f>IF(AND($W35=1,$AE35=0,OR($Z35&gt;0,$AD35=1)),1,0)</f>
        <v/>
      </c>
      <c r="AG35" s="68">
        <f>IF($AF35=1,SUM($AF$6:$AF35),0)</f>
        <v/>
      </c>
      <c r="AH35" s="68">
        <f>IF($T35=0,"",CHOOSE($T35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35" s="68">
        <f>IF(AND($F35=2,OR('固定資産台帳'!$C35="建物",'固定資産台帳'!$C35="無形固定資産",AND(OR('固定資産台帳'!$C35="建物附属設備",'固定資産台帳'!$C35="構築物"),$D35&gt;=DATE(2016,4,1)))),"この資産は定額法だけです（定率法は使えません）。","")&amp;IF(AND($F35=3,$C35&gt;=200000),"一括償却は20万円未満の資産だけです。","")&amp;IF(AND($F35=3,$B$1=0,$C35&lt;100000),"10万円未満は一括償却にせず、全額をその年の経費にします。","")&amp;IF(AND($F35=4,$C35&lt;100000),"10万円未満は少額特例ではなく、全額をその年の経費にします。","")&amp;IF(AND($F35=4,$D35&lt;DATE(2026,4,1),$C35&gt;=300000),"2026年3月31日までの取得で少額特例が使えるのは30万円未満です。","")&amp;IF(AND($F35=4,$D35&gt;=DATE(2026,4,1),$C35&gt;=400000),"少額特例は40万円未満の資産だけです。","")&amp;IF(AND($F35=4,OR($D35&lt;DATE(2006,4,1),$D35&gt;DATE(2029,3,31))),"少額特例は2006年4月1日〜2029年3月31日に取得した資産だけです。","")&amp;IF(AND($F35=2,$G35=250,$D35&gt;DATE(2012,12,31)),"250%定率法は2012年12月31日までの取得だけです。","")</f>
        <v/>
      </c>
      <c r="AJ35" s="68">
        <f>IF(AND($F35=2,'固定資産台帳'!$H35="定率法（200%）",$D35&lt;DATE(2012,4,1)),"2012年3月31日までの取得に200%を使うのは、経過措置の届出をした場合です。","")&amp;IF(AND($F35=2,'固定資産台帳'!$H35="定率法（250%）",$D35&gt;=DATE(2012,4,1),$D35&lt;=DATE(2012,12,31)),"2012年4〜12月の取得に250%を使うのは、経過措置を選んだ場合です。","")</f>
        <v/>
      </c>
      <c r="AK35" s="68">
        <f>IF($U35=0,"",IF($V35&lt;0,"表示している年より後に使い始める資産です。",IF($AE35=1,"売却・除却済みです。",IF($AD35=1,"この年に売却・除却。期末の帳簿価額 "&amp;TEXT($Y35,"#,##0")&amp;"円を帳簿から外します。",IF($F35=4,IF($V35=0,"少額特例：この年に全額を経費にします。","少額特例で経費にした資産です。"),IF($F35=3,IF($V35&gt;2,"一括償却は終わっています。","一括償却 "&amp;($V35+1)&amp;"年目（3年のうち）。"),IF($Z35=0,"償却済み（帳簿価額 "&amp;TEXT($Y35,"#,##0")&amp;"円）。",IF($AA35&gt;0,"改定償却率で計算（改定取得価額 "&amp;TEXT($AA35,"#,##0")&amp;"円）。",IF($V35=0,"この年に使い始め（"&amp;$AB35&amp;"か月分）。","")))))))))</f>
        <v/>
      </c>
      <c r="AL35" s="68">
        <f>IF(AND($U35=1,$F35=4,$V35=0),$C35,0)</f>
        <v/>
      </c>
      <c r="AM35" s="68">
        <f>IF($F35=2,INT(ROUND($M35,6)+$B$4),0)</f>
        <v/>
      </c>
      <c r="AN35" s="68">
        <f>IF($W35=0,0,IF($F35=2,IF($AA35&gt;0,$AA35,$X35),$C35))</f>
        <v/>
      </c>
      <c r="AO35" s="68">
        <f>IF($W35=0,"",IF($F35=3,"1/3",IF($F35=4,"―",IF($AA35&gt;0,$K35,$J35))))</f>
        <v/>
      </c>
      <c r="AP35" s="68" t="n"/>
      <c r="AQ35" s="68" t="n"/>
      <c r="AR35" s="68" t="n"/>
      <c r="AS35" s="68">
        <f>IF($U35=0,0,IF($F35=4,0,IF($F35=3,MAX($C35-INT(ROUND($C35/3,6)+$B$4),0),$C35-MIN(INT(ROUND($C35*$J35*IF($R35=0,$S35,$P35)/12,6)+$B$4),MAX($C35-$I35,0)))))</f>
        <v/>
      </c>
      <c r="AT35" s="68">
        <f>IF($U35=0,0,IF($F35=4,0,IF($F35=3,AS35-MIN(INT(ROUND($C35/3,6)+$B$4),AS35),IF(OR(1&gt;$R35,AS35&lt;=$I35),AS35,AS35-MIN(INT(ROUND(IF($F35=1,$C35*$J35,IF(ER35&gt;0,ER35*$K35,AS35*$J35))*IF(1=$R35,$S35,12)/12,6)+$B$4),AS35-$I35)))))</f>
        <v/>
      </c>
      <c r="AU35" s="68">
        <f>IF($U35=0,0,IF($F35=4,0,IF($F35=3,0,IF(OR(2&gt;$R35,AT35&lt;=$I35),AT35,AT35-MIN(INT(ROUND(IF($F35=1,$C35*$J35,IF(ES35&gt;0,ES35*$K35,AT35*$J35))*IF(2=$R35,$S35,12)/12,6)+$B$4),AT35-$I35)))))</f>
        <v/>
      </c>
      <c r="AV35" s="68">
        <f>IF($U35=0,0,IF($F35=4,0,IF($F35=3,0,IF(OR(3&gt;$R35,AU35&lt;=$I35),AU35,AU35-MIN(INT(ROUND(IF($F35=1,$C35*$J35,IF(ET35&gt;0,ET35*$K35,AU35*$J35))*IF(3=$R35,$S35,12)/12,6)+$B$4),AU35-$I35)))))</f>
        <v/>
      </c>
      <c r="AW35" s="68">
        <f>IF($U35=0,0,IF($F35=4,0,IF($F35=3,0,IF(OR(4&gt;$R35,AV35&lt;=$I35),AV35,AV35-MIN(INT(ROUND(IF($F35=1,$C35*$J35,IF(EU35&gt;0,EU35*$K35,AV35*$J35))*IF(4=$R35,$S35,12)/12,6)+$B$4),AV35-$I35)))))</f>
        <v/>
      </c>
      <c r="AX35" s="68">
        <f>IF($U35=0,0,IF($F35=4,0,IF($F35=3,0,IF(OR(5&gt;$R35,AW35&lt;=$I35),AW35,AW35-MIN(INT(ROUND(IF($F35=1,$C35*$J35,IF(EV35&gt;0,EV35*$K35,AW35*$J35))*IF(5=$R35,$S35,12)/12,6)+$B$4),AW35-$I35)))))</f>
        <v/>
      </c>
      <c r="AY35" s="68">
        <f>IF($U35=0,0,IF($F35=4,0,IF($F35=3,0,IF(OR(6&gt;$R35,AX35&lt;=$I35),AX35,AX35-MIN(INT(ROUND(IF($F35=1,$C35*$J35,IF(EW35&gt;0,EW35*$K35,AX35*$J35))*IF(6=$R35,$S35,12)/12,6)+$B$4),AX35-$I35)))))</f>
        <v/>
      </c>
      <c r="AZ35" s="68">
        <f>IF($U35=0,0,IF($F35=4,0,IF($F35=3,0,IF(OR(7&gt;$R35,AY35&lt;=$I35),AY35,AY35-MIN(INT(ROUND(IF($F35=1,$C35*$J35,IF(EX35&gt;0,EX35*$K35,AY35*$J35))*IF(7=$R35,$S35,12)/12,6)+$B$4),AY35-$I35)))))</f>
        <v/>
      </c>
      <c r="BA35" s="68">
        <f>IF($U35=0,0,IF($F35=4,0,IF($F35=3,0,IF(OR(8&gt;$R35,AZ35&lt;=$I35),AZ35,AZ35-MIN(INT(ROUND(IF($F35=1,$C35*$J35,IF(EY35&gt;0,EY35*$K35,AZ35*$J35))*IF(8=$R35,$S35,12)/12,6)+$B$4),AZ35-$I35)))))</f>
        <v/>
      </c>
      <c r="BB35" s="68">
        <f>IF($U35=0,0,IF($F35=4,0,IF($F35=3,0,IF(OR(9&gt;$R35,BA35&lt;=$I35),BA35,BA35-MIN(INT(ROUND(IF($F35=1,$C35*$J35,IF(EZ35&gt;0,EZ35*$K35,BA35*$J35))*IF(9=$R35,$S35,12)/12,6)+$B$4),BA35-$I35)))))</f>
        <v/>
      </c>
      <c r="BC35" s="68">
        <f>IF($U35=0,0,IF($F35=4,0,IF($F35=3,0,IF(OR(10&gt;$R35,BB35&lt;=$I35),BB35,BB35-MIN(INT(ROUND(IF($F35=1,$C35*$J35,IF(FA35&gt;0,FA35*$K35,BB35*$J35))*IF(10=$R35,$S35,12)/12,6)+$B$4),BB35-$I35)))))</f>
        <v/>
      </c>
      <c r="BD35" s="68">
        <f>IF($U35=0,0,IF($F35=4,0,IF($F35=3,0,IF(OR(11&gt;$R35,BC35&lt;=$I35),BC35,BC35-MIN(INT(ROUND(IF($F35=1,$C35*$J35,IF(FB35&gt;0,FB35*$K35,BC35*$J35))*IF(11=$R35,$S35,12)/12,6)+$B$4),BC35-$I35)))))</f>
        <v/>
      </c>
      <c r="BE35" s="68">
        <f>IF($U35=0,0,IF($F35=4,0,IF($F35=3,0,IF(OR(12&gt;$R35,BD35&lt;=$I35),BD35,BD35-MIN(INT(ROUND(IF($F35=1,$C35*$J35,IF(FC35&gt;0,FC35*$K35,BD35*$J35))*IF(12=$R35,$S35,12)/12,6)+$B$4),BD35-$I35)))))</f>
        <v/>
      </c>
      <c r="BF35" s="68">
        <f>IF($U35=0,0,IF($F35=4,0,IF($F35=3,0,IF(OR(13&gt;$R35,BE35&lt;=$I35),BE35,BE35-MIN(INT(ROUND(IF($F35=1,$C35*$J35,IF(FD35&gt;0,FD35*$K35,BE35*$J35))*IF(13=$R35,$S35,12)/12,6)+$B$4),BE35-$I35)))))</f>
        <v/>
      </c>
      <c r="BG35" s="68">
        <f>IF($U35=0,0,IF($F35=4,0,IF($F35=3,0,IF(OR(14&gt;$R35,BF35&lt;=$I35),BF35,BF35-MIN(INT(ROUND(IF($F35=1,$C35*$J35,IF(FE35&gt;0,FE35*$K35,BF35*$J35))*IF(14=$R35,$S35,12)/12,6)+$B$4),BF35-$I35)))))</f>
        <v/>
      </c>
      <c r="BH35" s="68">
        <f>IF($U35=0,0,IF($F35=4,0,IF($F35=3,0,IF(OR(15&gt;$R35,BG35&lt;=$I35),BG35,BG35-MIN(INT(ROUND(IF($F35=1,$C35*$J35,IF(FF35&gt;0,FF35*$K35,BG35*$J35))*IF(15=$R35,$S35,12)/12,6)+$B$4),BG35-$I35)))))</f>
        <v/>
      </c>
      <c r="BI35" s="68">
        <f>IF($U35=0,0,IF($F35=4,0,IF($F35=3,0,IF(OR(16&gt;$R35,BH35&lt;=$I35),BH35,BH35-MIN(INT(ROUND(IF($F35=1,$C35*$J35,IF(FG35&gt;0,FG35*$K35,BH35*$J35))*IF(16=$R35,$S35,12)/12,6)+$B$4),BH35-$I35)))))</f>
        <v/>
      </c>
      <c r="BJ35" s="68">
        <f>IF($U35=0,0,IF($F35=4,0,IF($F35=3,0,IF(OR(17&gt;$R35,BI35&lt;=$I35),BI35,BI35-MIN(INT(ROUND(IF($F35=1,$C35*$J35,IF(FH35&gt;0,FH35*$K35,BI35*$J35))*IF(17=$R35,$S35,12)/12,6)+$B$4),BI35-$I35)))))</f>
        <v/>
      </c>
      <c r="BK35" s="68">
        <f>IF($U35=0,0,IF($F35=4,0,IF($F35=3,0,IF(OR(18&gt;$R35,BJ35&lt;=$I35),BJ35,BJ35-MIN(INT(ROUND(IF($F35=1,$C35*$J35,IF(FI35&gt;0,FI35*$K35,BJ35*$J35))*IF(18=$R35,$S35,12)/12,6)+$B$4),BJ35-$I35)))))</f>
        <v/>
      </c>
      <c r="BL35" s="68">
        <f>IF($U35=0,0,IF($F35=4,0,IF($F35=3,0,IF(OR(19&gt;$R35,BK35&lt;=$I35),BK35,BK35-MIN(INT(ROUND(IF($F35=1,$C35*$J35,IF(FJ35&gt;0,FJ35*$K35,BK35*$J35))*IF(19=$R35,$S35,12)/12,6)+$B$4),BK35-$I35)))))</f>
        <v/>
      </c>
      <c r="BM35" s="68">
        <f>IF($U35=0,0,IF($F35=4,0,IF($F35=3,0,IF(OR(20&gt;$R35,BL35&lt;=$I35),BL35,BL35-MIN(INT(ROUND(IF($F35=1,$C35*$J35,IF(FK35&gt;0,FK35*$K35,BL35*$J35))*IF(20=$R35,$S35,12)/12,6)+$B$4),BL35-$I35)))))</f>
        <v/>
      </c>
      <c r="BN35" s="68">
        <f>IF($U35=0,0,IF($F35=4,0,IF($F35=3,0,IF(OR(21&gt;$R35,BM35&lt;=$I35),BM35,BM35-MIN(INT(ROUND(IF($F35=1,$C35*$J35,IF(FL35&gt;0,FL35*$K35,BM35*$J35))*IF(21=$R35,$S35,12)/12,6)+$B$4),BM35-$I35)))))</f>
        <v/>
      </c>
      <c r="BO35" s="68">
        <f>IF($U35=0,0,IF($F35=4,0,IF($F35=3,0,IF(OR(22&gt;$R35,BN35&lt;=$I35),BN35,BN35-MIN(INT(ROUND(IF($F35=1,$C35*$J35,IF(FM35&gt;0,FM35*$K35,BN35*$J35))*IF(22=$R35,$S35,12)/12,6)+$B$4),BN35-$I35)))))</f>
        <v/>
      </c>
      <c r="BP35" s="68">
        <f>IF($U35=0,0,IF($F35=4,0,IF($F35=3,0,IF(OR(23&gt;$R35,BO35&lt;=$I35),BO35,BO35-MIN(INT(ROUND(IF($F35=1,$C35*$J35,IF(FN35&gt;0,FN35*$K35,BO35*$J35))*IF(23=$R35,$S35,12)/12,6)+$B$4),BO35-$I35)))))</f>
        <v/>
      </c>
      <c r="BQ35" s="68">
        <f>IF($U35=0,0,IF($F35=4,0,IF($F35=3,0,IF(OR(24&gt;$R35,BP35&lt;=$I35),BP35,BP35-MIN(INT(ROUND(IF($F35=1,$C35*$J35,IF(FO35&gt;0,FO35*$K35,BP35*$J35))*IF(24=$R35,$S35,12)/12,6)+$B$4),BP35-$I35)))))</f>
        <v/>
      </c>
      <c r="BR35" s="68">
        <f>IF($U35=0,0,IF($F35=4,0,IF($F35=3,0,IF(OR(25&gt;$R35,BQ35&lt;=$I35),BQ35,BQ35-MIN(INT(ROUND(IF($F35=1,$C35*$J35,IF(FP35&gt;0,FP35*$K35,BQ35*$J35))*IF(25=$R35,$S35,12)/12,6)+$B$4),BQ35-$I35)))))</f>
        <v/>
      </c>
      <c r="BS35" s="68">
        <f>IF($U35=0,0,IF($F35=4,0,IF($F35=3,0,IF(OR(26&gt;$R35,BR35&lt;=$I35),BR35,BR35-MIN(INT(ROUND(IF($F35=1,$C35*$J35,IF(FQ35&gt;0,FQ35*$K35,BR35*$J35))*IF(26=$R35,$S35,12)/12,6)+$B$4),BR35-$I35)))))</f>
        <v/>
      </c>
      <c r="BT35" s="68">
        <f>IF($U35=0,0,IF($F35=4,0,IF($F35=3,0,IF(OR(27&gt;$R35,BS35&lt;=$I35),BS35,BS35-MIN(INT(ROUND(IF($F35=1,$C35*$J35,IF(FR35&gt;0,FR35*$K35,BS35*$J35))*IF(27=$R35,$S35,12)/12,6)+$B$4),BS35-$I35)))))</f>
        <v/>
      </c>
      <c r="BU35" s="68">
        <f>IF($U35=0,0,IF($F35=4,0,IF($F35=3,0,IF(OR(28&gt;$R35,BT35&lt;=$I35),BT35,BT35-MIN(INT(ROUND(IF($F35=1,$C35*$J35,IF(FS35&gt;0,FS35*$K35,BT35*$J35))*IF(28=$R35,$S35,12)/12,6)+$B$4),BT35-$I35)))))</f>
        <v/>
      </c>
      <c r="BV35" s="68">
        <f>IF($U35=0,0,IF($F35=4,0,IF($F35=3,0,IF(OR(29&gt;$R35,BU35&lt;=$I35),BU35,BU35-MIN(INT(ROUND(IF($F35=1,$C35*$J35,IF(FT35&gt;0,FT35*$K35,BU35*$J35))*IF(29=$R35,$S35,12)/12,6)+$B$4),BU35-$I35)))))</f>
        <v/>
      </c>
      <c r="BW35" s="68">
        <f>IF($U35=0,0,IF($F35=4,0,IF($F35=3,0,IF(OR(30&gt;$R35,BV35&lt;=$I35),BV35,BV35-MIN(INT(ROUND(IF($F35=1,$C35*$J35,IF(FU35&gt;0,FU35*$K35,BV35*$J35))*IF(30=$R35,$S35,12)/12,6)+$B$4),BV35-$I35)))))</f>
        <v/>
      </c>
      <c r="BX35" s="68">
        <f>IF($U35=0,0,IF($F35=4,0,IF($F35=3,0,IF(OR(31&gt;$R35,BW35&lt;=$I35),BW35,BW35-MIN(INT(ROUND(IF($F35=1,$C35*$J35,IF(FV35&gt;0,FV35*$K35,BW35*$J35))*IF(31=$R35,$S35,12)/12,6)+$B$4),BW35-$I35)))))</f>
        <v/>
      </c>
      <c r="BY35" s="68">
        <f>IF($U35=0,0,IF($F35=4,0,IF($F35=3,0,IF(OR(32&gt;$R35,BX35&lt;=$I35),BX35,BX35-MIN(INT(ROUND(IF($F35=1,$C35*$J35,IF(FW35&gt;0,FW35*$K35,BX35*$J35))*IF(32=$R35,$S35,12)/12,6)+$B$4),BX35-$I35)))))</f>
        <v/>
      </c>
      <c r="BZ35" s="68">
        <f>IF($U35=0,0,IF($F35=4,0,IF($F35=3,0,IF(OR(33&gt;$R35,BY35&lt;=$I35),BY35,BY35-MIN(INT(ROUND(IF($F35=1,$C35*$J35,IF(FX35&gt;0,FX35*$K35,BY35*$J35))*IF(33=$R35,$S35,12)/12,6)+$B$4),BY35-$I35)))))</f>
        <v/>
      </c>
      <c r="CA35" s="68">
        <f>IF($U35=0,0,IF($F35=4,0,IF($F35=3,0,IF(OR(34&gt;$R35,BZ35&lt;=$I35),BZ35,BZ35-MIN(INT(ROUND(IF($F35=1,$C35*$J35,IF(FY35&gt;0,FY35*$K35,BZ35*$J35))*IF(34=$R35,$S35,12)/12,6)+$B$4),BZ35-$I35)))))</f>
        <v/>
      </c>
      <c r="CB35" s="68">
        <f>IF($U35=0,0,IF($F35=4,0,IF($F35=3,0,IF(OR(35&gt;$R35,CA35&lt;=$I35),CA35,CA35-MIN(INT(ROUND(IF($F35=1,$C35*$J35,IF(FZ35&gt;0,FZ35*$K35,CA35*$J35))*IF(35=$R35,$S35,12)/12,6)+$B$4),CA35-$I35)))))</f>
        <v/>
      </c>
      <c r="CC35" s="68">
        <f>IF($U35=0,0,IF($F35=4,0,IF($F35=3,0,IF(OR(36&gt;$R35,CB35&lt;=$I35),CB35,CB35-MIN(INT(ROUND(IF($F35=1,$C35*$J35,IF(GA35&gt;0,GA35*$K35,CB35*$J35))*IF(36=$R35,$S35,12)/12,6)+$B$4),CB35-$I35)))))</f>
        <v/>
      </c>
      <c r="CD35" s="68">
        <f>IF($U35=0,0,IF($F35=4,0,IF($F35=3,0,IF(OR(37&gt;$R35,CC35&lt;=$I35),CC35,CC35-MIN(INT(ROUND(IF($F35=1,$C35*$J35,IF(GB35&gt;0,GB35*$K35,CC35*$J35))*IF(37=$R35,$S35,12)/12,6)+$B$4),CC35-$I35)))))</f>
        <v/>
      </c>
      <c r="CE35" s="68">
        <f>IF($U35=0,0,IF($F35=4,0,IF($F35=3,0,IF(OR(38&gt;$R35,CD35&lt;=$I35),CD35,CD35-MIN(INT(ROUND(IF($F35=1,$C35*$J35,IF(GC35&gt;0,GC35*$K35,CD35*$J35))*IF(38=$R35,$S35,12)/12,6)+$B$4),CD35-$I35)))))</f>
        <v/>
      </c>
      <c r="CF35" s="68">
        <f>IF($U35=0,0,IF($F35=4,0,IF($F35=3,0,IF(OR(39&gt;$R35,CE35&lt;=$I35),CE35,CE35-MIN(INT(ROUND(IF($F35=1,$C35*$J35,IF(GD35&gt;0,GD35*$K35,CE35*$J35))*IF(39=$R35,$S35,12)/12,6)+$B$4),CE35-$I35)))))</f>
        <v/>
      </c>
      <c r="CG35" s="68">
        <f>IF($U35=0,0,IF($F35=4,0,IF($F35=3,0,IF(OR(40&gt;$R35,CF35&lt;=$I35),CF35,CF35-MIN(INT(ROUND(IF($F35=1,$C35*$J35,IF(GE35&gt;0,GE35*$K35,CF35*$J35))*IF(40=$R35,$S35,12)/12,6)+$B$4),CF35-$I35)))))</f>
        <v/>
      </c>
      <c r="CH35" s="68">
        <f>IF($U35=0,0,IF($F35=4,0,IF($F35=3,0,IF(OR(41&gt;$R35,CG35&lt;=$I35),CG35,CG35-MIN(INT(ROUND(IF($F35=1,$C35*$J35,IF(GF35&gt;0,GF35*$K35,CG35*$J35))*IF(41=$R35,$S35,12)/12,6)+$B$4),CG35-$I35)))))</f>
        <v/>
      </c>
      <c r="CI35" s="68">
        <f>IF($U35=0,0,IF($F35=4,0,IF($F35=3,0,IF(OR(42&gt;$R35,CH35&lt;=$I35),CH35,CH35-MIN(INT(ROUND(IF($F35=1,$C35*$J35,IF(GG35&gt;0,GG35*$K35,CH35*$J35))*IF(42=$R35,$S35,12)/12,6)+$B$4),CH35-$I35)))))</f>
        <v/>
      </c>
      <c r="CJ35" s="68">
        <f>IF($U35=0,0,IF($F35=4,0,IF($F35=3,0,IF(OR(43&gt;$R35,CI35&lt;=$I35),CI35,CI35-MIN(INT(ROUND(IF($F35=1,$C35*$J35,IF(GH35&gt;0,GH35*$K35,CI35*$J35))*IF(43=$R35,$S35,12)/12,6)+$B$4),CI35-$I35)))))</f>
        <v/>
      </c>
      <c r="CK35" s="68">
        <f>IF($U35=0,0,IF($F35=4,0,IF($F35=3,0,IF(OR(44&gt;$R35,CJ35&lt;=$I35),CJ35,CJ35-MIN(INT(ROUND(IF($F35=1,$C35*$J35,IF(GI35&gt;0,GI35*$K35,CJ35*$J35))*IF(44=$R35,$S35,12)/12,6)+$B$4),CJ35-$I35)))))</f>
        <v/>
      </c>
      <c r="CL35" s="68">
        <f>IF($U35=0,0,IF($F35=4,0,IF($F35=3,0,IF(OR(45&gt;$R35,CK35&lt;=$I35),CK35,CK35-MIN(INT(ROUND(IF($F35=1,$C35*$J35,IF(GJ35&gt;0,GJ35*$K35,CK35*$J35))*IF(45=$R35,$S35,12)/12,6)+$B$4),CK35-$I35)))))</f>
        <v/>
      </c>
      <c r="CM35" s="68">
        <f>IF($U35=0,0,IF($F35=4,0,IF($F35=3,0,IF(OR(46&gt;$R35,CL35&lt;=$I35),CL35,CL35-MIN(INT(ROUND(IF($F35=1,$C35*$J35,IF(GK35&gt;0,GK35*$K35,CL35*$J35))*IF(46=$R35,$S35,12)/12,6)+$B$4),CL35-$I35)))))</f>
        <v/>
      </c>
      <c r="CN35" s="68">
        <f>IF($U35=0,0,IF($F35=4,0,IF($F35=3,0,IF(OR(47&gt;$R35,CM35&lt;=$I35),CM35,CM35-MIN(INT(ROUND(IF($F35=1,$C35*$J35,IF(GL35&gt;0,GL35*$K35,CM35*$J35))*IF(47=$R35,$S35,12)/12,6)+$B$4),CM35-$I35)))))</f>
        <v/>
      </c>
      <c r="CO35" s="68">
        <f>IF($U35=0,0,IF($F35=4,0,IF($F35=3,0,IF(OR(48&gt;$R35,CN35&lt;=$I35),CN35,CN35-MIN(INT(ROUND(IF($F35=1,$C35*$J35,IF(GM35&gt;0,GM35*$K35,CN35*$J35))*IF(48=$R35,$S35,12)/12,6)+$B$4),CN35-$I35)))))</f>
        <v/>
      </c>
      <c r="CP35" s="68">
        <f>IF($U35=0,0,IF($F35=4,0,IF($F35=3,0,IF(OR(49&gt;$R35,CO35&lt;=$I35),CO35,CO35-MIN(INT(ROUND(IF($F35=1,$C35*$J35,IF(GN35&gt;0,GN35*$K35,CO35*$J35))*IF(49=$R35,$S35,12)/12,6)+$B$4),CO35-$I35)))))</f>
        <v/>
      </c>
      <c r="CQ35" s="68">
        <f>IF($U35=0,0,IF($F35=4,0,IF($F35=3,0,IF(OR(50&gt;$R35,CP35&lt;=$I35),CP35,CP35-MIN(INT(ROUND(IF($F35=1,$C35*$J35,IF(GO35&gt;0,GO35*$K35,CP35*$J35))*IF(50=$R35,$S35,12)/12,6)+$B$4),CP35-$I35)))))</f>
        <v/>
      </c>
      <c r="CR35" s="68">
        <f>IF($U35=0,0,IF($F35=4,0,IF($F35=3,0,IF(OR(51&gt;$R35,CQ35&lt;=$I35),CQ35,CQ35-MIN(INT(ROUND(IF($F35=1,$C35*$J35,IF(GP35&gt;0,GP35*$K35,CQ35*$J35))*IF(51=$R35,$S35,12)/12,6)+$B$4),CQ35-$I35)))))</f>
        <v/>
      </c>
      <c r="CS35" s="68">
        <f>IF($U35=0,0,IF($F35=4,0,IF($F35=3,0,IF(OR(52&gt;$R35,CR35&lt;=$I35),CR35,CR35-MIN(INT(ROUND(IF($F35=1,$C35*$J35,IF(GQ35&gt;0,GQ35*$K35,CR35*$J35))*IF(52=$R35,$S35,12)/12,6)+$B$4),CR35-$I35)))))</f>
        <v/>
      </c>
      <c r="CT35" s="68">
        <f>IF($U35=0,0,IF($F35=4,0,IF($F35=3,0,IF(OR(53&gt;$R35,CS35&lt;=$I35),CS35,CS35-MIN(INT(ROUND(IF($F35=1,$C35*$J35,IF(GR35&gt;0,GR35*$K35,CS35*$J35))*IF(53=$R35,$S35,12)/12,6)+$B$4),CS35-$I35)))))</f>
        <v/>
      </c>
      <c r="CU35" s="68">
        <f>IF($U35=0,0,IF($F35=4,0,IF($F35=3,0,IF(OR(54&gt;$R35,CT35&lt;=$I35),CT35,CT35-MIN(INT(ROUND(IF($F35=1,$C35*$J35,IF(GS35&gt;0,GS35*$K35,CT35*$J35))*IF(54=$R35,$S35,12)/12,6)+$B$4),CT35-$I35)))))</f>
        <v/>
      </c>
      <c r="CV35" s="68">
        <f>IF($U35=0,0,IF($F35=4,0,IF($F35=3,0,IF(OR(55&gt;$R35,CU35&lt;=$I35),CU35,CU35-MIN(INT(ROUND(IF($F35=1,$C35*$J35,IF(GT35&gt;0,GT35*$K35,CU35*$J35))*IF(55=$R35,$S35,12)/12,6)+$B$4),CU35-$I35)))))</f>
        <v/>
      </c>
      <c r="CW35" s="68">
        <f>IF($U35=0,0,IF($F35=4,0,IF($F35=3,0,IF(OR(56&gt;$R35,CV35&lt;=$I35),CV35,CV35-MIN(INT(ROUND(IF($F35=1,$C35*$J35,IF(GU35&gt;0,GU35*$K35,CV35*$J35))*IF(56=$R35,$S35,12)/12,6)+$B$4),CV35-$I35)))))</f>
        <v/>
      </c>
      <c r="CX35" s="68">
        <f>IF($U35=0,0,IF($F35=4,0,IF($F35=3,0,IF(OR(57&gt;$R35,CW35&lt;=$I35),CW35,CW35-MIN(INT(ROUND(IF($F35=1,$C35*$J35,IF(GV35&gt;0,GV35*$K35,CW35*$J35))*IF(57=$R35,$S35,12)/12,6)+$B$4),CW35-$I35)))))</f>
        <v/>
      </c>
      <c r="CY35" s="68">
        <f>IF($U35=0,0,IF($F35=4,0,IF($F35=3,0,IF(OR(58&gt;$R35,CX35&lt;=$I35),CX35,CX35-MIN(INT(ROUND(IF($F35=1,$C35*$J35,IF(GW35&gt;0,GW35*$K35,CX35*$J35))*IF(58=$R35,$S35,12)/12,6)+$B$4),CX35-$I35)))))</f>
        <v/>
      </c>
      <c r="CZ35" s="68">
        <f>IF($U35=0,0,IF($F35=4,0,IF($F35=3,0,IF(OR(59&gt;$R35,CY35&lt;=$I35),CY35,CY35-MIN(INT(ROUND(IF($F35=1,$C35*$J35,IF(GX35&gt;0,GX35*$K35,CY35*$J35))*IF(59=$R35,$S35,12)/12,6)+$B$4),CY35-$I35)))))</f>
        <v/>
      </c>
      <c r="DA35" s="68">
        <f>IF($U35=0,0,IF($F35=4,0,IF($F35=3,0,IF(OR(60&gt;$R35,CZ35&lt;=$I35),CZ35,CZ35-MIN(INT(ROUND(IF($F35=1,$C35*$J35,IF(GY35&gt;0,GY35*$K35,CZ35*$J35))*IF(60=$R35,$S35,12)/12,6)+$B$4),CZ35-$I35)))))</f>
        <v/>
      </c>
      <c r="DB35" s="68">
        <f>IF($U35=0,0,IF($F35=4,0,IF($F35=3,0,IF(OR(61&gt;$R35,DA35&lt;=$I35),DA35,DA35-MIN(INT(ROUND(IF($F35=1,$C35*$J35,IF(GZ35&gt;0,GZ35*$K35,DA35*$J35))*IF(61=$R35,$S35,12)/12,6)+$B$4),DA35-$I35)))))</f>
        <v/>
      </c>
      <c r="DC35" s="68">
        <f>IF($U35=0,0,IF($F35=4,0,IF($F35=3,0,IF(OR(62&gt;$R35,DB35&lt;=$I35),DB35,DB35-MIN(INT(ROUND(IF($F35=1,$C35*$J35,IF(HA35&gt;0,HA35*$K35,DB35*$J35))*IF(62=$R35,$S35,12)/12,6)+$B$4),DB35-$I35)))))</f>
        <v/>
      </c>
      <c r="DD35" s="68">
        <f>IF($U35=0,0,IF($F35=4,0,IF($F35=3,0,IF(OR(63&gt;$R35,DC35&lt;=$I35),DC35,DC35-MIN(INT(ROUND(IF($F35=1,$C35*$J35,IF(HB35&gt;0,HB35*$K35,DC35*$J35))*IF(63=$R35,$S35,12)/12,6)+$B$4),DC35-$I35)))))</f>
        <v/>
      </c>
      <c r="DE35" s="68">
        <f>IF($U35=0,0,IF($F35=4,0,IF($F35=3,0,IF(OR(64&gt;$R35,DD35&lt;=$I35),DD35,DD35-MIN(INT(ROUND(IF($F35=1,$C35*$J35,IF(HC35&gt;0,HC35*$K35,DD35*$J35))*IF(64=$R35,$S35,12)/12,6)+$B$4),DD35-$I35)))))</f>
        <v/>
      </c>
      <c r="DF35" s="68">
        <f>IF($U35=0,0,IF($F35=4,0,IF($F35=3,0,IF(OR(65&gt;$R35,DE35&lt;=$I35),DE35,DE35-MIN(INT(ROUND(IF($F35=1,$C35*$J35,IF(HD35&gt;0,HD35*$K35,DE35*$J35))*IF(65=$R35,$S35,12)/12,6)+$B$4),DE35-$I35)))))</f>
        <v/>
      </c>
      <c r="DG35" s="68">
        <f>IF($U35=0,0,IF($F35=4,0,IF($F35=3,0,IF(OR(66&gt;$R35,DF35&lt;=$I35),DF35,DF35-MIN(INT(ROUND(IF($F35=1,$C35*$J35,IF(HE35&gt;0,HE35*$K35,DF35*$J35))*IF(66=$R35,$S35,12)/12,6)+$B$4),DF35-$I35)))))</f>
        <v/>
      </c>
      <c r="DH35" s="68">
        <f>IF($U35=0,0,IF($F35=4,0,IF($F35=3,0,IF(OR(67&gt;$R35,DG35&lt;=$I35),DG35,DG35-MIN(INT(ROUND(IF($F35=1,$C35*$J35,IF(HF35&gt;0,HF35*$K35,DG35*$J35))*IF(67=$R35,$S35,12)/12,6)+$B$4),DG35-$I35)))))</f>
        <v/>
      </c>
      <c r="DI35" s="68">
        <f>IF($U35=0,0,IF($F35=4,0,IF($F35=3,0,IF(OR(68&gt;$R35,DH35&lt;=$I35),DH35,DH35-MIN(INT(ROUND(IF($F35=1,$C35*$J35,IF(HG35&gt;0,HG35*$K35,DH35*$J35))*IF(68=$R35,$S35,12)/12,6)+$B$4),DH35-$I35)))))</f>
        <v/>
      </c>
      <c r="DJ35" s="68">
        <f>IF($U35=0,0,IF($F35=4,0,IF($F35=3,0,IF(OR(69&gt;$R35,DI35&lt;=$I35),DI35,DI35-MIN(INT(ROUND(IF($F35=1,$C35*$J35,IF(HH35&gt;0,HH35*$K35,DI35*$J35))*IF(69=$R35,$S35,12)/12,6)+$B$4),DI35-$I35)))))</f>
        <v/>
      </c>
      <c r="DK35" s="68">
        <f>IF($U35=0,0,IF($F35=4,0,IF($F35=3,0,IF(OR(70&gt;$R35,DJ35&lt;=$I35),DJ35,DJ35-MIN(INT(ROUND(IF($F35=1,$C35*$J35,IF(HI35&gt;0,HI35*$K35,DJ35*$J35))*IF(70=$R35,$S35,12)/12,6)+$B$4),DJ35-$I35)))))</f>
        <v/>
      </c>
      <c r="DL35" s="68">
        <f>IF($U35=0,0,IF($F35=4,0,IF($F35=3,0,IF(OR(71&gt;$R35,DK35&lt;=$I35),DK35,DK35-MIN(INT(ROUND(IF($F35=1,$C35*$J35,IF(HJ35&gt;0,HJ35*$K35,DK35*$J35))*IF(71=$R35,$S35,12)/12,6)+$B$4),DK35-$I35)))))</f>
        <v/>
      </c>
      <c r="DM35" s="68">
        <f>IF($U35=0,0,IF($F35=4,0,IF($F35=3,0,IF(OR(72&gt;$R35,DL35&lt;=$I35),DL35,DL35-MIN(INT(ROUND(IF($F35=1,$C35*$J35,IF(HK35&gt;0,HK35*$K35,DL35*$J35))*IF(72=$R35,$S35,12)/12,6)+$B$4),DL35-$I35)))))</f>
        <v/>
      </c>
      <c r="DN35" s="68">
        <f>IF($U35=0,0,IF($F35=4,0,IF($F35=3,0,IF(OR(73&gt;$R35,DM35&lt;=$I35),DM35,DM35-MIN(INT(ROUND(IF($F35=1,$C35*$J35,IF(HL35&gt;0,HL35*$K35,DM35*$J35))*IF(73=$R35,$S35,12)/12,6)+$B$4),DM35-$I35)))))</f>
        <v/>
      </c>
      <c r="DO35" s="68">
        <f>IF($U35=0,0,IF($F35=4,0,IF($F35=3,0,IF(OR(74&gt;$R35,DN35&lt;=$I35),DN35,DN35-MIN(INT(ROUND(IF($F35=1,$C35*$J35,IF(HM35&gt;0,HM35*$K35,DN35*$J35))*IF(74=$R35,$S35,12)/12,6)+$B$4),DN35-$I35)))))</f>
        <v/>
      </c>
      <c r="DP35" s="68">
        <f>IF($U35=0,0,IF($F35=4,0,IF($F35=3,0,IF(OR(75&gt;$R35,DO35&lt;=$I35),DO35,DO35-MIN(INT(ROUND(IF($F35=1,$C35*$J35,IF(HN35&gt;0,HN35*$K35,DO35*$J35))*IF(75=$R35,$S35,12)/12,6)+$B$4),DO35-$I35)))))</f>
        <v/>
      </c>
      <c r="DQ35" s="68">
        <f>IF($U35=0,0,IF($F35=4,0,IF($F35=3,0,IF(OR(76&gt;$R35,DP35&lt;=$I35),DP35,DP35-MIN(INT(ROUND(IF($F35=1,$C35*$J35,IF(HO35&gt;0,HO35*$K35,DP35*$J35))*IF(76=$R35,$S35,12)/12,6)+$B$4),DP35-$I35)))))</f>
        <v/>
      </c>
      <c r="DR35" s="68">
        <f>IF($U35=0,0,IF($F35=4,0,IF($F35=3,0,IF(OR(77&gt;$R35,DQ35&lt;=$I35),DQ35,DQ35-MIN(INT(ROUND(IF($F35=1,$C35*$J35,IF(HP35&gt;0,HP35*$K35,DQ35*$J35))*IF(77=$R35,$S35,12)/12,6)+$B$4),DQ35-$I35)))))</f>
        <v/>
      </c>
      <c r="DS35" s="68">
        <f>IF($U35=0,0,IF($F35=4,0,IF($F35=3,0,IF(OR(78&gt;$R35,DR35&lt;=$I35),DR35,DR35-MIN(INT(ROUND(IF($F35=1,$C35*$J35,IF(HQ35&gt;0,HQ35*$K35,DR35*$J35))*IF(78=$R35,$S35,12)/12,6)+$B$4),DR35-$I35)))))</f>
        <v/>
      </c>
      <c r="DT35" s="68">
        <f>IF($U35=0,0,IF($F35=4,0,IF($F35=3,0,IF(OR(79&gt;$R35,DS35&lt;=$I35),DS35,DS35-MIN(INT(ROUND(IF($F35=1,$C35*$J35,IF(HR35&gt;0,HR35*$K35,DS35*$J35))*IF(79=$R35,$S35,12)/12,6)+$B$4),DS35-$I35)))))</f>
        <v/>
      </c>
      <c r="DU35" s="68">
        <f>IF($U35=0,0,IF($F35=4,0,IF($F35=3,0,IF(OR(80&gt;$R35,DT35&lt;=$I35),DT35,DT35-MIN(INT(ROUND(IF($F35=1,$C35*$J35,IF(HS35&gt;0,HS35*$K35,DT35*$J35))*IF(80=$R35,$S35,12)/12,6)+$B$4),DT35-$I35)))))</f>
        <v/>
      </c>
      <c r="DV35" s="68">
        <f>IF($U35=0,0,IF($F35=4,0,IF($F35=3,0,IF(OR(81&gt;$R35,DU35&lt;=$I35),DU35,DU35-MIN(INT(ROUND(IF($F35=1,$C35*$J35,IF(HT35&gt;0,HT35*$K35,DU35*$J35))*IF(81=$R35,$S35,12)/12,6)+$B$4),DU35-$I35)))))</f>
        <v/>
      </c>
      <c r="DW35" s="68">
        <f>IF($U35=0,0,IF($F35=4,0,IF($F35=3,0,IF(OR(82&gt;$R35,DV35&lt;=$I35),DV35,DV35-MIN(INT(ROUND(IF($F35=1,$C35*$J35,IF(HU35&gt;0,HU35*$K35,DV35*$J35))*IF(82=$R35,$S35,12)/12,6)+$B$4),DV35-$I35)))))</f>
        <v/>
      </c>
      <c r="DX35" s="68">
        <f>IF($U35=0,0,IF($F35=4,0,IF($F35=3,0,IF(OR(83&gt;$R35,DW35&lt;=$I35),DW35,DW35-MIN(INT(ROUND(IF($F35=1,$C35*$J35,IF(HV35&gt;0,HV35*$K35,DW35*$J35))*IF(83=$R35,$S35,12)/12,6)+$B$4),DW35-$I35)))))</f>
        <v/>
      </c>
      <c r="DY35" s="68">
        <f>IF($U35=0,0,IF($F35=4,0,IF($F35=3,0,IF(OR(84&gt;$R35,DX35&lt;=$I35),DX35,DX35-MIN(INT(ROUND(IF($F35=1,$C35*$J35,IF(HW35&gt;0,HW35*$K35,DX35*$J35))*IF(84=$R35,$S35,12)/12,6)+$B$4),DX35-$I35)))))</f>
        <v/>
      </c>
      <c r="DZ35" s="68">
        <f>IF($U35=0,0,IF($F35=4,0,IF($F35=3,0,IF(OR(85&gt;$R35,DY35&lt;=$I35),DY35,DY35-MIN(INT(ROUND(IF($F35=1,$C35*$J35,IF(HX35&gt;0,HX35*$K35,DY35*$J35))*IF(85=$R35,$S35,12)/12,6)+$B$4),DY35-$I35)))))</f>
        <v/>
      </c>
      <c r="EA35" s="68">
        <f>IF($U35=0,0,IF($F35=4,0,IF($F35=3,0,IF(OR(86&gt;$R35,DZ35&lt;=$I35),DZ35,DZ35-MIN(INT(ROUND(IF($F35=1,$C35*$J35,IF(HY35&gt;0,HY35*$K35,DZ35*$J35))*IF(86=$R35,$S35,12)/12,6)+$B$4),DZ35-$I35)))))</f>
        <v/>
      </c>
      <c r="EB35" s="68">
        <f>IF($U35=0,0,IF($F35=4,0,IF($F35=3,0,IF(OR(87&gt;$R35,EA35&lt;=$I35),EA35,EA35-MIN(INT(ROUND(IF($F35=1,$C35*$J35,IF(HZ35&gt;0,HZ35*$K35,EA35*$J35))*IF(87=$R35,$S35,12)/12,6)+$B$4),EA35-$I35)))))</f>
        <v/>
      </c>
      <c r="EC35" s="68">
        <f>IF($U35=0,0,IF($F35=4,0,IF($F35=3,0,IF(OR(88&gt;$R35,EB35&lt;=$I35),EB35,EB35-MIN(INT(ROUND(IF($F35=1,$C35*$J35,IF(IA35&gt;0,IA35*$K35,EB35*$J35))*IF(88=$R35,$S35,12)/12,6)+$B$4),EB35-$I35)))))</f>
        <v/>
      </c>
      <c r="ED35" s="68">
        <f>IF($U35=0,0,IF($F35=4,0,IF($F35=3,0,IF(OR(89&gt;$R35,EC35&lt;=$I35),EC35,EC35-MIN(INT(ROUND(IF($F35=1,$C35*$J35,IF(IB35&gt;0,IB35*$K35,EC35*$J35))*IF(89=$R35,$S35,12)/12,6)+$B$4),EC35-$I35)))))</f>
        <v/>
      </c>
      <c r="EE35" s="68">
        <f>IF($U35=0,0,IF($F35=4,0,IF($F35=3,0,IF(OR(90&gt;$R35,ED35&lt;=$I35),ED35,ED35-MIN(INT(ROUND(IF($F35=1,$C35*$J35,IF(IC35&gt;0,IC35*$K35,ED35*$J35))*IF(90=$R35,$S35,12)/12,6)+$B$4),ED35-$I35)))))</f>
        <v/>
      </c>
      <c r="EF35" s="68">
        <f>IF($U35=0,0,IF($F35=4,0,IF($F35=3,0,IF(OR(91&gt;$R35,EE35&lt;=$I35),EE35,EE35-MIN(INT(ROUND(IF($F35=1,$C35*$J35,IF(ID35&gt;0,ID35*$K35,EE35*$J35))*IF(91=$R35,$S35,12)/12,6)+$B$4),EE35-$I35)))))</f>
        <v/>
      </c>
      <c r="EG35" s="68">
        <f>IF($U35=0,0,IF($F35=4,0,IF($F35=3,0,IF(OR(92&gt;$R35,EF35&lt;=$I35),EF35,EF35-MIN(INT(ROUND(IF($F35=1,$C35*$J35,IF(IE35&gt;0,IE35*$K35,EF35*$J35))*IF(92=$R35,$S35,12)/12,6)+$B$4),EF35-$I35)))))</f>
        <v/>
      </c>
      <c r="EH35" s="68">
        <f>IF($U35=0,0,IF($F35=4,0,IF($F35=3,0,IF(OR(93&gt;$R35,EG35&lt;=$I35),EG35,EG35-MIN(INT(ROUND(IF($F35=1,$C35*$J35,IF(IF35&gt;0,IF35*$K35,EG35*$J35))*IF(93=$R35,$S35,12)/12,6)+$B$4),EG35-$I35)))))</f>
        <v/>
      </c>
      <c r="EI35" s="68">
        <f>IF($U35=0,0,IF($F35=4,0,IF($F35=3,0,IF(OR(94&gt;$R35,EH35&lt;=$I35),EH35,EH35-MIN(INT(ROUND(IF($F35=1,$C35*$J35,IF(IG35&gt;0,IG35*$K35,EH35*$J35))*IF(94=$R35,$S35,12)/12,6)+$B$4),EH35-$I35)))))</f>
        <v/>
      </c>
      <c r="EJ35" s="68">
        <f>IF($U35=0,0,IF($F35=4,0,IF($F35=3,0,IF(OR(95&gt;$R35,EI35&lt;=$I35),EI35,EI35-MIN(INT(ROUND(IF($F35=1,$C35*$J35,IF(IH35&gt;0,IH35*$K35,EI35*$J35))*IF(95=$R35,$S35,12)/12,6)+$B$4),EI35-$I35)))))</f>
        <v/>
      </c>
      <c r="EK35" s="68">
        <f>IF($U35=0,0,IF($F35=4,0,IF($F35=3,0,IF(OR(96&gt;$R35,EJ35&lt;=$I35),EJ35,EJ35-MIN(INT(ROUND(IF($F35=1,$C35*$J35,IF(II35&gt;0,II35*$K35,EJ35*$J35))*IF(96=$R35,$S35,12)/12,6)+$B$4),EJ35-$I35)))))</f>
        <v/>
      </c>
      <c r="EL35" s="68">
        <f>IF($U35=0,0,IF($F35=4,0,IF($F35=3,0,IF(OR(97&gt;$R35,EK35&lt;=$I35),EK35,EK35-MIN(INT(ROUND(IF($F35=1,$C35*$J35,IF(IJ35&gt;0,IJ35*$K35,EK35*$J35))*IF(97=$R35,$S35,12)/12,6)+$B$4),EK35-$I35)))))</f>
        <v/>
      </c>
      <c r="EM35" s="68">
        <f>IF($U35=0,0,IF($F35=4,0,IF($F35=3,0,IF(OR(98&gt;$R35,EL35&lt;=$I35),EL35,EL35-MIN(INT(ROUND(IF($F35=1,$C35*$J35,IF(IK35&gt;0,IK35*$K35,EL35*$J35))*IF(98=$R35,$S35,12)/12,6)+$B$4),EL35-$I35)))))</f>
        <v/>
      </c>
      <c r="EN35" s="68">
        <f>IF($U35=0,0,IF($F35=4,0,IF($F35=3,0,IF(OR(99&gt;$R35,EM35&lt;=$I35),EM35,EM35-MIN(INT(ROUND(IF($F35=1,$C35*$J35,IF(IL35&gt;0,IL35*$K35,EM35*$J35))*IF(99=$R35,$S35,12)/12,6)+$B$4),EM35-$I35)))))</f>
        <v/>
      </c>
      <c r="EO35" s="68">
        <f>IF($U35=0,0,IF($F35=4,0,IF($F35=3,0,IF(OR(100&gt;$R35,EN35&lt;=$I35),EN35,EN35-MIN(INT(ROUND(IF($F35=1,$C35*$J35,IF(IM35&gt;0,IM35*$K35,EN35*$J35))*IF(100=$R35,$S35,12)/12,6)+$B$4),EN35-$I35)))))</f>
        <v/>
      </c>
      <c r="EP35" s="68">
        <f>IF($U35=0,0,IF($F35=4,0,IF($F35=3,0,IF(OR(101&gt;$R35,EO35&lt;=$I35),EO35,EO35-MIN(INT(ROUND(IF($F35=1,$C35*$J35,IF(IN35&gt;0,IN35*$K35,EO35*$J35))*IF(101=$R35,$S35,12)/12,6)+$B$4),EO35-$I35)))))</f>
        <v/>
      </c>
      <c r="EQ35" s="68" t="n"/>
      <c r="ER35" s="68">
        <f>IF(OR($U35=0,$F35&lt;&gt;2),0,IF(ROUND(AS35*$J35,6)&lt;ROUND($M35,6),AS35,0))</f>
        <v/>
      </c>
      <c r="ES35" s="68">
        <f>IF(OR($U35=0,$F35&lt;&gt;2),0,IF(ER35&gt;0,ER35,IF(ROUND(AT35*$J35,6)&lt;ROUND($M35,6),AT35,0)))</f>
        <v/>
      </c>
      <c r="ET35" s="68">
        <f>IF(OR($U35=0,$F35&lt;&gt;2),0,IF(ES35&gt;0,ES35,IF(ROUND(AU35*$J35,6)&lt;ROUND($M35,6),AU35,0)))</f>
        <v/>
      </c>
      <c r="EU35" s="68">
        <f>IF(OR($U35=0,$F35&lt;&gt;2),0,IF(ET35&gt;0,ET35,IF(ROUND(AV35*$J35,6)&lt;ROUND($M35,6),AV35,0)))</f>
        <v/>
      </c>
      <c r="EV35" s="68">
        <f>IF(OR($U35=0,$F35&lt;&gt;2),0,IF(EU35&gt;0,EU35,IF(ROUND(AW35*$J35,6)&lt;ROUND($M35,6),AW35,0)))</f>
        <v/>
      </c>
      <c r="EW35" s="68">
        <f>IF(OR($U35=0,$F35&lt;&gt;2),0,IF(EV35&gt;0,EV35,IF(ROUND(AX35*$J35,6)&lt;ROUND($M35,6),AX35,0)))</f>
        <v/>
      </c>
      <c r="EX35" s="68">
        <f>IF(OR($U35=0,$F35&lt;&gt;2),0,IF(EW35&gt;0,EW35,IF(ROUND(AY35*$J35,6)&lt;ROUND($M35,6),AY35,0)))</f>
        <v/>
      </c>
      <c r="EY35" s="68">
        <f>IF(OR($U35=0,$F35&lt;&gt;2),0,IF(EX35&gt;0,EX35,IF(ROUND(AZ35*$J35,6)&lt;ROUND($M35,6),AZ35,0)))</f>
        <v/>
      </c>
      <c r="EZ35" s="68">
        <f>IF(OR($U35=0,$F35&lt;&gt;2),0,IF(EY35&gt;0,EY35,IF(ROUND(BA35*$J35,6)&lt;ROUND($M35,6),BA35,0)))</f>
        <v/>
      </c>
      <c r="FA35" s="68">
        <f>IF(OR($U35=0,$F35&lt;&gt;2),0,IF(EZ35&gt;0,EZ35,IF(ROUND(BB35*$J35,6)&lt;ROUND($M35,6),BB35,0)))</f>
        <v/>
      </c>
      <c r="FB35" s="68">
        <f>IF(OR($U35=0,$F35&lt;&gt;2),0,IF(FA35&gt;0,FA35,IF(ROUND(BC35*$J35,6)&lt;ROUND($M35,6),BC35,0)))</f>
        <v/>
      </c>
      <c r="FC35" s="68">
        <f>IF(OR($U35=0,$F35&lt;&gt;2),0,IF(FB35&gt;0,FB35,IF(ROUND(BD35*$J35,6)&lt;ROUND($M35,6),BD35,0)))</f>
        <v/>
      </c>
      <c r="FD35" s="68">
        <f>IF(OR($U35=0,$F35&lt;&gt;2),0,IF(FC35&gt;0,FC35,IF(ROUND(BE35*$J35,6)&lt;ROUND($M35,6),BE35,0)))</f>
        <v/>
      </c>
      <c r="FE35" s="68">
        <f>IF(OR($U35=0,$F35&lt;&gt;2),0,IF(FD35&gt;0,FD35,IF(ROUND(BF35*$J35,6)&lt;ROUND($M35,6),BF35,0)))</f>
        <v/>
      </c>
      <c r="FF35" s="68">
        <f>IF(OR($U35=0,$F35&lt;&gt;2),0,IF(FE35&gt;0,FE35,IF(ROUND(BG35*$J35,6)&lt;ROUND($M35,6),BG35,0)))</f>
        <v/>
      </c>
      <c r="FG35" s="68">
        <f>IF(OR($U35=0,$F35&lt;&gt;2),0,IF(FF35&gt;0,FF35,IF(ROUND(BH35*$J35,6)&lt;ROUND($M35,6),BH35,0)))</f>
        <v/>
      </c>
      <c r="FH35" s="68">
        <f>IF(OR($U35=0,$F35&lt;&gt;2),0,IF(FG35&gt;0,FG35,IF(ROUND(BI35*$J35,6)&lt;ROUND($M35,6),BI35,0)))</f>
        <v/>
      </c>
      <c r="FI35" s="68">
        <f>IF(OR($U35=0,$F35&lt;&gt;2),0,IF(FH35&gt;0,FH35,IF(ROUND(BJ35*$J35,6)&lt;ROUND($M35,6),BJ35,0)))</f>
        <v/>
      </c>
      <c r="FJ35" s="68">
        <f>IF(OR($U35=0,$F35&lt;&gt;2),0,IF(FI35&gt;0,FI35,IF(ROUND(BK35*$J35,6)&lt;ROUND($M35,6),BK35,0)))</f>
        <v/>
      </c>
      <c r="FK35" s="68">
        <f>IF(OR($U35=0,$F35&lt;&gt;2),0,IF(FJ35&gt;0,FJ35,IF(ROUND(BL35*$J35,6)&lt;ROUND($M35,6),BL35,0)))</f>
        <v/>
      </c>
      <c r="FL35" s="68">
        <f>IF(OR($U35=0,$F35&lt;&gt;2),0,IF(FK35&gt;0,FK35,IF(ROUND(BM35*$J35,6)&lt;ROUND($M35,6),BM35,0)))</f>
        <v/>
      </c>
      <c r="FM35" s="68">
        <f>IF(OR($U35=0,$F35&lt;&gt;2),0,IF(FL35&gt;0,FL35,IF(ROUND(BN35*$J35,6)&lt;ROUND($M35,6),BN35,0)))</f>
        <v/>
      </c>
      <c r="FN35" s="68">
        <f>IF(OR($U35=0,$F35&lt;&gt;2),0,IF(FM35&gt;0,FM35,IF(ROUND(BO35*$J35,6)&lt;ROUND($M35,6),BO35,0)))</f>
        <v/>
      </c>
      <c r="FO35" s="68">
        <f>IF(OR($U35=0,$F35&lt;&gt;2),0,IF(FN35&gt;0,FN35,IF(ROUND(BP35*$J35,6)&lt;ROUND($M35,6),BP35,0)))</f>
        <v/>
      </c>
      <c r="FP35" s="68">
        <f>IF(OR($U35=0,$F35&lt;&gt;2),0,IF(FO35&gt;0,FO35,IF(ROUND(BQ35*$J35,6)&lt;ROUND($M35,6),BQ35,0)))</f>
        <v/>
      </c>
      <c r="FQ35" s="68">
        <f>IF(OR($U35=0,$F35&lt;&gt;2),0,IF(FP35&gt;0,FP35,IF(ROUND(BR35*$J35,6)&lt;ROUND($M35,6),BR35,0)))</f>
        <v/>
      </c>
      <c r="FR35" s="68">
        <f>IF(OR($U35=0,$F35&lt;&gt;2),0,IF(FQ35&gt;0,FQ35,IF(ROUND(BS35*$J35,6)&lt;ROUND($M35,6),BS35,0)))</f>
        <v/>
      </c>
      <c r="FS35" s="68">
        <f>IF(OR($U35=0,$F35&lt;&gt;2),0,IF(FR35&gt;0,FR35,IF(ROUND(BT35*$J35,6)&lt;ROUND($M35,6),BT35,0)))</f>
        <v/>
      </c>
      <c r="FT35" s="68">
        <f>IF(OR($U35=0,$F35&lt;&gt;2),0,IF(FS35&gt;0,FS35,IF(ROUND(BU35*$J35,6)&lt;ROUND($M35,6),BU35,0)))</f>
        <v/>
      </c>
      <c r="FU35" s="68">
        <f>IF(OR($U35=0,$F35&lt;&gt;2),0,IF(FT35&gt;0,FT35,IF(ROUND(BV35*$J35,6)&lt;ROUND($M35,6),BV35,0)))</f>
        <v/>
      </c>
      <c r="FV35" s="68">
        <f>IF(OR($U35=0,$F35&lt;&gt;2),0,IF(FU35&gt;0,FU35,IF(ROUND(BW35*$J35,6)&lt;ROUND($M35,6),BW35,0)))</f>
        <v/>
      </c>
      <c r="FW35" s="68">
        <f>IF(OR($U35=0,$F35&lt;&gt;2),0,IF(FV35&gt;0,FV35,IF(ROUND(BX35*$J35,6)&lt;ROUND($M35,6),BX35,0)))</f>
        <v/>
      </c>
      <c r="FX35" s="68">
        <f>IF(OR($U35=0,$F35&lt;&gt;2),0,IF(FW35&gt;0,FW35,IF(ROUND(BY35*$J35,6)&lt;ROUND($M35,6),BY35,0)))</f>
        <v/>
      </c>
      <c r="FY35" s="68">
        <f>IF(OR($U35=0,$F35&lt;&gt;2),0,IF(FX35&gt;0,FX35,IF(ROUND(BZ35*$J35,6)&lt;ROUND($M35,6),BZ35,0)))</f>
        <v/>
      </c>
      <c r="FZ35" s="68">
        <f>IF(OR($U35=0,$F35&lt;&gt;2),0,IF(FY35&gt;0,FY35,IF(ROUND(CA35*$J35,6)&lt;ROUND($M35,6),CA35,0)))</f>
        <v/>
      </c>
      <c r="GA35" s="68">
        <f>IF(OR($U35=0,$F35&lt;&gt;2),0,IF(FZ35&gt;0,FZ35,IF(ROUND(CB35*$J35,6)&lt;ROUND($M35,6),CB35,0)))</f>
        <v/>
      </c>
      <c r="GB35" s="68">
        <f>IF(OR($U35=0,$F35&lt;&gt;2),0,IF(GA35&gt;0,GA35,IF(ROUND(CC35*$J35,6)&lt;ROUND($M35,6),CC35,0)))</f>
        <v/>
      </c>
      <c r="GC35" s="68">
        <f>IF(OR($U35=0,$F35&lt;&gt;2),0,IF(GB35&gt;0,GB35,IF(ROUND(CD35*$J35,6)&lt;ROUND($M35,6),CD35,0)))</f>
        <v/>
      </c>
      <c r="GD35" s="68">
        <f>IF(OR($U35=0,$F35&lt;&gt;2),0,IF(GC35&gt;0,GC35,IF(ROUND(CE35*$J35,6)&lt;ROUND($M35,6),CE35,0)))</f>
        <v/>
      </c>
      <c r="GE35" s="68">
        <f>IF(OR($U35=0,$F35&lt;&gt;2),0,IF(GD35&gt;0,GD35,IF(ROUND(CF35*$J35,6)&lt;ROUND($M35,6),CF35,0)))</f>
        <v/>
      </c>
      <c r="GF35" s="68">
        <f>IF(OR($U35=0,$F35&lt;&gt;2),0,IF(GE35&gt;0,GE35,IF(ROUND(CG35*$J35,6)&lt;ROUND($M35,6),CG35,0)))</f>
        <v/>
      </c>
      <c r="GG35" s="68">
        <f>IF(OR($U35=0,$F35&lt;&gt;2),0,IF(GF35&gt;0,GF35,IF(ROUND(CH35*$J35,6)&lt;ROUND($M35,6),CH35,0)))</f>
        <v/>
      </c>
      <c r="GH35" s="68">
        <f>IF(OR($U35=0,$F35&lt;&gt;2),0,IF(GG35&gt;0,GG35,IF(ROUND(CI35*$J35,6)&lt;ROUND($M35,6),CI35,0)))</f>
        <v/>
      </c>
      <c r="GI35" s="68">
        <f>IF(OR($U35=0,$F35&lt;&gt;2),0,IF(GH35&gt;0,GH35,IF(ROUND(CJ35*$J35,6)&lt;ROUND($M35,6),CJ35,0)))</f>
        <v/>
      </c>
      <c r="GJ35" s="68">
        <f>IF(OR($U35=0,$F35&lt;&gt;2),0,IF(GI35&gt;0,GI35,IF(ROUND(CK35*$J35,6)&lt;ROUND($M35,6),CK35,0)))</f>
        <v/>
      </c>
      <c r="GK35" s="68">
        <f>IF(OR($U35=0,$F35&lt;&gt;2),0,IF(GJ35&gt;0,GJ35,IF(ROUND(CL35*$J35,6)&lt;ROUND($M35,6),CL35,0)))</f>
        <v/>
      </c>
      <c r="GL35" s="68">
        <f>IF(OR($U35=0,$F35&lt;&gt;2),0,IF(GK35&gt;0,GK35,IF(ROUND(CM35*$J35,6)&lt;ROUND($M35,6),CM35,0)))</f>
        <v/>
      </c>
      <c r="GM35" s="68">
        <f>IF(OR($U35=0,$F35&lt;&gt;2),0,IF(GL35&gt;0,GL35,IF(ROUND(CN35*$J35,6)&lt;ROUND($M35,6),CN35,0)))</f>
        <v/>
      </c>
      <c r="GN35" s="68">
        <f>IF(OR($U35=0,$F35&lt;&gt;2),0,IF(GM35&gt;0,GM35,IF(ROUND(CO35*$J35,6)&lt;ROUND($M35,6),CO35,0)))</f>
        <v/>
      </c>
      <c r="GO35" s="68">
        <f>IF(OR($U35=0,$F35&lt;&gt;2),0,IF(GN35&gt;0,GN35,IF(ROUND(CP35*$J35,6)&lt;ROUND($M35,6),CP35,0)))</f>
        <v/>
      </c>
      <c r="GP35" s="68">
        <f>IF(OR($U35=0,$F35&lt;&gt;2),0,IF(GO35&gt;0,GO35,IF(ROUND(CQ35*$J35,6)&lt;ROUND($M35,6),CQ35,0)))</f>
        <v/>
      </c>
      <c r="GQ35" s="68">
        <f>IF(OR($U35=0,$F35&lt;&gt;2),0,IF(GP35&gt;0,GP35,IF(ROUND(CR35*$J35,6)&lt;ROUND($M35,6),CR35,0)))</f>
        <v/>
      </c>
      <c r="GR35" s="68">
        <f>IF(OR($U35=0,$F35&lt;&gt;2),0,IF(GQ35&gt;0,GQ35,IF(ROUND(CS35*$J35,6)&lt;ROUND($M35,6),CS35,0)))</f>
        <v/>
      </c>
      <c r="GS35" s="68">
        <f>IF(OR($U35=0,$F35&lt;&gt;2),0,IF(GR35&gt;0,GR35,IF(ROUND(CT35*$J35,6)&lt;ROUND($M35,6),CT35,0)))</f>
        <v/>
      </c>
      <c r="GT35" s="68">
        <f>IF(OR($U35=0,$F35&lt;&gt;2),0,IF(GS35&gt;0,GS35,IF(ROUND(CU35*$J35,6)&lt;ROUND($M35,6),CU35,0)))</f>
        <v/>
      </c>
      <c r="GU35" s="68">
        <f>IF(OR($U35=0,$F35&lt;&gt;2),0,IF(GT35&gt;0,GT35,IF(ROUND(CV35*$J35,6)&lt;ROUND($M35,6),CV35,0)))</f>
        <v/>
      </c>
      <c r="GV35" s="68">
        <f>IF(OR($U35=0,$F35&lt;&gt;2),0,IF(GU35&gt;0,GU35,IF(ROUND(CW35*$J35,6)&lt;ROUND($M35,6),CW35,0)))</f>
        <v/>
      </c>
      <c r="GW35" s="68">
        <f>IF(OR($U35=0,$F35&lt;&gt;2),0,IF(GV35&gt;0,GV35,IF(ROUND(CX35*$J35,6)&lt;ROUND($M35,6),CX35,0)))</f>
        <v/>
      </c>
      <c r="GX35" s="68">
        <f>IF(OR($U35=0,$F35&lt;&gt;2),0,IF(GW35&gt;0,GW35,IF(ROUND(CY35*$J35,6)&lt;ROUND($M35,6),CY35,0)))</f>
        <v/>
      </c>
      <c r="GY35" s="68">
        <f>IF(OR($U35=0,$F35&lt;&gt;2),0,IF(GX35&gt;0,GX35,IF(ROUND(CZ35*$J35,6)&lt;ROUND($M35,6),CZ35,0)))</f>
        <v/>
      </c>
      <c r="GZ35" s="68">
        <f>IF(OR($U35=0,$F35&lt;&gt;2),0,IF(GY35&gt;0,GY35,IF(ROUND(DA35*$J35,6)&lt;ROUND($M35,6),DA35,0)))</f>
        <v/>
      </c>
      <c r="HA35" s="68">
        <f>IF(OR($U35=0,$F35&lt;&gt;2),0,IF(GZ35&gt;0,GZ35,IF(ROUND(DB35*$J35,6)&lt;ROUND($M35,6),DB35,0)))</f>
        <v/>
      </c>
      <c r="HB35" s="68">
        <f>IF(OR($U35=0,$F35&lt;&gt;2),0,IF(HA35&gt;0,HA35,IF(ROUND(DC35*$J35,6)&lt;ROUND($M35,6),DC35,0)))</f>
        <v/>
      </c>
      <c r="HC35" s="68">
        <f>IF(OR($U35=0,$F35&lt;&gt;2),0,IF(HB35&gt;0,HB35,IF(ROUND(DD35*$J35,6)&lt;ROUND($M35,6),DD35,0)))</f>
        <v/>
      </c>
      <c r="HD35" s="68">
        <f>IF(OR($U35=0,$F35&lt;&gt;2),0,IF(HC35&gt;0,HC35,IF(ROUND(DE35*$J35,6)&lt;ROUND($M35,6),DE35,0)))</f>
        <v/>
      </c>
      <c r="HE35" s="68">
        <f>IF(OR($U35=0,$F35&lt;&gt;2),0,IF(HD35&gt;0,HD35,IF(ROUND(DF35*$J35,6)&lt;ROUND($M35,6),DF35,0)))</f>
        <v/>
      </c>
      <c r="HF35" s="68">
        <f>IF(OR($U35=0,$F35&lt;&gt;2),0,IF(HE35&gt;0,HE35,IF(ROUND(DG35*$J35,6)&lt;ROUND($M35,6),DG35,0)))</f>
        <v/>
      </c>
      <c r="HG35" s="68">
        <f>IF(OR($U35=0,$F35&lt;&gt;2),0,IF(HF35&gt;0,HF35,IF(ROUND(DH35*$J35,6)&lt;ROUND($M35,6),DH35,0)))</f>
        <v/>
      </c>
      <c r="HH35" s="68">
        <f>IF(OR($U35=0,$F35&lt;&gt;2),0,IF(HG35&gt;0,HG35,IF(ROUND(DI35*$J35,6)&lt;ROUND($M35,6),DI35,0)))</f>
        <v/>
      </c>
      <c r="HI35" s="68">
        <f>IF(OR($U35=0,$F35&lt;&gt;2),0,IF(HH35&gt;0,HH35,IF(ROUND(DJ35*$J35,6)&lt;ROUND($M35,6),DJ35,0)))</f>
        <v/>
      </c>
      <c r="HJ35" s="68">
        <f>IF(OR($U35=0,$F35&lt;&gt;2),0,IF(HI35&gt;0,HI35,IF(ROUND(DK35*$J35,6)&lt;ROUND($M35,6),DK35,0)))</f>
        <v/>
      </c>
      <c r="HK35" s="68">
        <f>IF(OR($U35=0,$F35&lt;&gt;2),0,IF(HJ35&gt;0,HJ35,IF(ROUND(DL35*$J35,6)&lt;ROUND($M35,6),DL35,0)))</f>
        <v/>
      </c>
      <c r="HL35" s="68">
        <f>IF(OR($U35=0,$F35&lt;&gt;2),0,IF(HK35&gt;0,HK35,IF(ROUND(DM35*$J35,6)&lt;ROUND($M35,6),DM35,0)))</f>
        <v/>
      </c>
      <c r="HM35" s="68">
        <f>IF(OR($U35=0,$F35&lt;&gt;2),0,IF(HL35&gt;0,HL35,IF(ROUND(DN35*$J35,6)&lt;ROUND($M35,6),DN35,0)))</f>
        <v/>
      </c>
      <c r="HN35" s="68">
        <f>IF(OR($U35=0,$F35&lt;&gt;2),0,IF(HM35&gt;0,HM35,IF(ROUND(DO35*$J35,6)&lt;ROUND($M35,6),DO35,0)))</f>
        <v/>
      </c>
      <c r="HO35" s="68">
        <f>IF(OR($U35=0,$F35&lt;&gt;2),0,IF(HN35&gt;0,HN35,IF(ROUND(DP35*$J35,6)&lt;ROUND($M35,6),DP35,0)))</f>
        <v/>
      </c>
      <c r="HP35" s="68">
        <f>IF(OR($U35=0,$F35&lt;&gt;2),0,IF(HO35&gt;0,HO35,IF(ROUND(DQ35*$J35,6)&lt;ROUND($M35,6),DQ35,0)))</f>
        <v/>
      </c>
      <c r="HQ35" s="68">
        <f>IF(OR($U35=0,$F35&lt;&gt;2),0,IF(HP35&gt;0,HP35,IF(ROUND(DR35*$J35,6)&lt;ROUND($M35,6),DR35,0)))</f>
        <v/>
      </c>
      <c r="HR35" s="68">
        <f>IF(OR($U35=0,$F35&lt;&gt;2),0,IF(HQ35&gt;0,HQ35,IF(ROUND(DS35*$J35,6)&lt;ROUND($M35,6),DS35,0)))</f>
        <v/>
      </c>
      <c r="HS35" s="68">
        <f>IF(OR($U35=0,$F35&lt;&gt;2),0,IF(HR35&gt;0,HR35,IF(ROUND(DT35*$J35,6)&lt;ROUND($M35,6),DT35,0)))</f>
        <v/>
      </c>
      <c r="HT35" s="68">
        <f>IF(OR($U35=0,$F35&lt;&gt;2),0,IF(HS35&gt;0,HS35,IF(ROUND(DU35*$J35,6)&lt;ROUND($M35,6),DU35,0)))</f>
        <v/>
      </c>
      <c r="HU35" s="68">
        <f>IF(OR($U35=0,$F35&lt;&gt;2),0,IF(HT35&gt;0,HT35,IF(ROUND(DV35*$J35,6)&lt;ROUND($M35,6),DV35,0)))</f>
        <v/>
      </c>
      <c r="HV35" s="68">
        <f>IF(OR($U35=0,$F35&lt;&gt;2),0,IF(HU35&gt;0,HU35,IF(ROUND(DW35*$J35,6)&lt;ROUND($M35,6),DW35,0)))</f>
        <v/>
      </c>
      <c r="HW35" s="68">
        <f>IF(OR($U35=0,$F35&lt;&gt;2),0,IF(HV35&gt;0,HV35,IF(ROUND(DX35*$J35,6)&lt;ROUND($M35,6),DX35,0)))</f>
        <v/>
      </c>
      <c r="HX35" s="68">
        <f>IF(OR($U35=0,$F35&lt;&gt;2),0,IF(HW35&gt;0,HW35,IF(ROUND(DY35*$J35,6)&lt;ROUND($M35,6),DY35,0)))</f>
        <v/>
      </c>
      <c r="HY35" s="68">
        <f>IF(OR($U35=0,$F35&lt;&gt;2),0,IF(HX35&gt;0,HX35,IF(ROUND(DZ35*$J35,6)&lt;ROUND($M35,6),DZ35,0)))</f>
        <v/>
      </c>
      <c r="HZ35" s="68">
        <f>IF(OR($U35=0,$F35&lt;&gt;2),0,IF(HY35&gt;0,HY35,IF(ROUND(EA35*$J35,6)&lt;ROUND($M35,6),EA35,0)))</f>
        <v/>
      </c>
      <c r="IA35" s="68">
        <f>IF(OR($U35=0,$F35&lt;&gt;2),0,IF(HZ35&gt;0,HZ35,IF(ROUND(EB35*$J35,6)&lt;ROUND($M35,6),EB35,0)))</f>
        <v/>
      </c>
      <c r="IB35" s="68">
        <f>IF(OR($U35=0,$F35&lt;&gt;2),0,IF(IA35&gt;0,IA35,IF(ROUND(EC35*$J35,6)&lt;ROUND($M35,6),EC35,0)))</f>
        <v/>
      </c>
      <c r="IC35" s="68">
        <f>IF(OR($U35=0,$F35&lt;&gt;2),0,IF(IB35&gt;0,IB35,IF(ROUND(ED35*$J35,6)&lt;ROUND($M35,6),ED35,0)))</f>
        <v/>
      </c>
      <c r="ID35" s="68">
        <f>IF(OR($U35=0,$F35&lt;&gt;2),0,IF(IC35&gt;0,IC35,IF(ROUND(EE35*$J35,6)&lt;ROUND($M35,6),EE35,0)))</f>
        <v/>
      </c>
      <c r="IE35" s="68">
        <f>IF(OR($U35=0,$F35&lt;&gt;2),0,IF(ID35&gt;0,ID35,IF(ROUND(EF35*$J35,6)&lt;ROUND($M35,6),EF35,0)))</f>
        <v/>
      </c>
      <c r="IF35" s="68">
        <f>IF(OR($U35=0,$F35&lt;&gt;2),0,IF(IE35&gt;0,IE35,IF(ROUND(EG35*$J35,6)&lt;ROUND($M35,6),EG35,0)))</f>
        <v/>
      </c>
      <c r="IG35" s="68">
        <f>IF(OR($U35=0,$F35&lt;&gt;2),0,IF(IF35&gt;0,IF35,IF(ROUND(EH35*$J35,6)&lt;ROUND($M35,6),EH35,0)))</f>
        <v/>
      </c>
      <c r="IH35" s="68">
        <f>IF(OR($U35=0,$F35&lt;&gt;2),0,IF(IG35&gt;0,IG35,IF(ROUND(EI35*$J35,6)&lt;ROUND($M35,6),EI35,0)))</f>
        <v/>
      </c>
      <c r="II35" s="68">
        <f>IF(OR($U35=0,$F35&lt;&gt;2),0,IF(IH35&gt;0,IH35,IF(ROUND(EJ35*$J35,6)&lt;ROUND($M35,6),EJ35,0)))</f>
        <v/>
      </c>
      <c r="IJ35" s="68">
        <f>IF(OR($U35=0,$F35&lt;&gt;2),0,IF(II35&gt;0,II35,IF(ROUND(EK35*$J35,6)&lt;ROUND($M35,6),EK35,0)))</f>
        <v/>
      </c>
      <c r="IK35" s="68">
        <f>IF(OR($U35=0,$F35&lt;&gt;2),0,IF(IJ35&gt;0,IJ35,IF(ROUND(EL35*$J35,6)&lt;ROUND($M35,6),EL35,0)))</f>
        <v/>
      </c>
      <c r="IL35" s="68">
        <f>IF(OR($U35=0,$F35&lt;&gt;2),0,IF(IK35&gt;0,IK35,IF(ROUND(EM35*$J35,6)&lt;ROUND($M35,6),EM35,0)))</f>
        <v/>
      </c>
      <c r="IM35" s="68">
        <f>IF(OR($U35=0,$F35&lt;&gt;2),0,IF(IL35&gt;0,IL35,IF(ROUND(EN35*$J35,6)&lt;ROUND($M35,6),EN35,0)))</f>
        <v/>
      </c>
      <c r="IN35" s="68">
        <f>IF(OR($U35=0,$F35&lt;&gt;2),0,IF(IM35&gt;0,IM35,IF(ROUND(EO35*$J35,6)&lt;ROUND($M35,6),EO35,0)))</f>
        <v/>
      </c>
    </row>
    <row r="36">
      <c r="A36" s="68" t="n">
        <v>31</v>
      </c>
      <c r="B36" s="68">
        <f>IF(OR(TRIM('固定資産台帳'!$B36)&lt;&gt;"",'固定資産台帳'!$E36&lt;&gt;"",'固定資産台帳'!$G36&lt;&gt;"",'固定資産台帳'!$H36&lt;&gt;""),1,0)</f>
        <v/>
      </c>
      <c r="C36" s="68">
        <f>IF(ISNUMBER('固定資産台帳'!$G36),MAX(ROUND('固定資産台帳'!$G36,0),0),0)</f>
        <v/>
      </c>
      <c r="D36" s="84">
        <f>IF(ISNUMBER('固定資産台帳'!$E36),INT('固定資産台帳'!$E36),0)</f>
        <v/>
      </c>
      <c r="E36" s="84">
        <f>IF(ISNUMBER('固定資産台帳'!$F36),INT('固定資産台帳'!$F36),$D36)</f>
        <v/>
      </c>
      <c r="F36" s="68">
        <f>IF('固定資産台帳'!$H36="定額法",1,IF(OR('固定資産台帳'!$H36="定率法",'固定資産台帳'!$H36="定率法（200%）",'固定資産台帳'!$H36="定率法（250%）"),2,IF('固定資産台帳'!$H36="一括償却（3年）",3,IF('固定資産台帳'!$H36="少額特例",4,0))))</f>
        <v/>
      </c>
      <c r="G36" s="68">
        <f>IF('固定資産台帳'!$H36="定率法（250%）",250,IF('固定資産台帳'!$H36="定率法（200%）",200,IF($D36&gt;=DATE(2012,4,1),200,250)))</f>
        <v/>
      </c>
      <c r="H36" s="68">
        <f>IF(ISNUMBER('固定資産台帳'!$I36),IF(AND('固定資産台帳'!$I36&gt;=2,'固定資産台帳'!$I36&lt;=100,'固定資産台帳'!$I36=INT('固定資産台帳'!$I36)),'固定資産台帳'!$I36,0),0)</f>
        <v/>
      </c>
      <c r="I36" s="68">
        <f>IF('固定資産台帳'!$C36="無形固定資産",0,1)</f>
        <v/>
      </c>
      <c r="J36" s="68">
        <f>IF(OR($H36=0,$F36=0,$F36&gt;2),0,IF($F36=1,INDEX('償却率表'!$B$6:$B$104,$H36-1),IF($G36=200,INDEX('償却率表'!$C$6:$C$104,$H36-1),INDEX('償却率表'!$F$6:$F$104,$H36-1))))</f>
        <v/>
      </c>
      <c r="K36" s="68">
        <f>IF(AND($F36=2,$H36&gt;0),IF($G36=200,INDEX('償却率表'!$D$6:$D$104,$H36-1),INDEX('償却率表'!$G$6:$G$104,$H36-1)),0)</f>
        <v/>
      </c>
      <c r="L36" s="68">
        <f>IF(AND($F36=2,$H36&gt;0),IF($G36=200,INDEX('償却率表'!$E$6:$E$104,$H36-1),INDEX('償却率表'!$H$6:$H$104,$H36-1)),0)</f>
        <v/>
      </c>
      <c r="M36" s="68">
        <f>$C36*$L36</f>
        <v/>
      </c>
      <c r="N36" s="68">
        <f>IF($B$1=1,1,IF('固定資産台帳'!$J36="",1,IF(ISNUMBER('固定資産台帳'!$J36),IF(AND('固定資産台帳'!$J36&gt;0,'固定資産台帳'!$J36&lt;=1),'固定資産台帳'!$J36,0),0)))</f>
        <v/>
      </c>
      <c r="O36" s="68">
        <f>IF($E36=0,0,YEAR($E36)-IF(MONTH($E36)&lt;$B$2,1,0))</f>
        <v/>
      </c>
      <c r="P36" s="68">
        <f>IF($E36=0,0,12-MOD(MONTH($E36)-$B$2,12))</f>
        <v/>
      </c>
      <c r="Q36" s="84">
        <f>IF(ISNUMBER('固定資産台帳'!$K36),INT('固定資産台帳'!$K36),0)</f>
        <v/>
      </c>
      <c r="R36" s="68">
        <f>IF(OR($Q36=0,$E36=0),999,YEAR($Q36)-IF(MONTH($Q36)&lt;$B$2,1,0)-$O36)</f>
        <v/>
      </c>
      <c r="S36" s="68">
        <f>IF($R36=999,0,MOD(MONTH($Q36)-$B$2,12)+1-IF($R36=0,12-$P36,0))</f>
        <v/>
      </c>
      <c r="T36" s="68">
        <f>IF($B36=0,0,IF($C36&lt;=0,1,IF($D36=0,2,IF($F36=0,3,IF(AND($F36&lt;=2,$H36=0),4,IF(AND($F36&lt;=2,$D36&lt;DATE(2007,4,1)),5,IF($E36&lt;$D36,6,IF(AND($Q36&gt;0,$Q36&lt;$E36),7,IF($N36=0,8,IF($B$3=0,9,0))))))))))</f>
        <v/>
      </c>
      <c r="U36" s="68">
        <f>IF(AND($B36=1,$T36=0),1,0)</f>
        <v/>
      </c>
      <c r="V36" s="68">
        <f>$B$3-$O36</f>
        <v/>
      </c>
      <c r="W36" s="68">
        <f>IF(AND($U36=1,$V36&gt;=0),1,0)</f>
        <v/>
      </c>
      <c r="X36" s="68">
        <f>IF($W36=0,0,IF($V36=0,$C36,INDEX($AS36:$EP36,MIN($V36,102))))</f>
        <v/>
      </c>
      <c r="Y36" s="68">
        <f>IF($W36=0,0,INDEX($AS36:$EP36,MIN($V36,101)+1))</f>
        <v/>
      </c>
      <c r="Z36" s="68">
        <f>$X36-$Y36</f>
        <v/>
      </c>
      <c r="AA36" s="68">
        <f>IF(AND($W36=1,$F36=2,$V36&gt;=1),INDEX($ER36:$IN36,MIN($V36,101)),0)</f>
        <v/>
      </c>
      <c r="AB36" s="68">
        <f>IF(OR($W36=0,$F36&gt;2,$Z36=0),0,IF($V36=0,IF($R36=0,$S36,$P36),IF($V36=$R36,$S36,12)))</f>
        <v/>
      </c>
      <c r="AC36" s="68">
        <f>IF($W36=0,0,INT(ROUND($Z36*$N36,6)+$B$4))</f>
        <v/>
      </c>
      <c r="AD36" s="68">
        <f>IF(AND($W36=1,$F36&lt;=2,$V36=$R36),1,0)</f>
        <v/>
      </c>
      <c r="AE36" s="68">
        <f>IF(AND($W36=1,$F36&lt;=2,$V36&gt;$R36),1,0)</f>
        <v/>
      </c>
      <c r="AF36" s="68">
        <f>IF(AND($W36=1,$AE36=0,OR($Z36&gt;0,$AD36=1)),1,0)</f>
        <v/>
      </c>
      <c r="AG36" s="68">
        <f>IF($AF36=1,SUM($AF$6:$AF36),0)</f>
        <v/>
      </c>
      <c r="AH36" s="68">
        <f>IF($T36=0,"",CHOOSE($T36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36" s="68">
        <f>IF(AND($F36=2,OR('固定資産台帳'!$C36="建物",'固定資産台帳'!$C36="無形固定資産",AND(OR('固定資産台帳'!$C36="建物附属設備",'固定資産台帳'!$C36="構築物"),$D36&gt;=DATE(2016,4,1)))),"この資産は定額法だけです（定率法は使えません）。","")&amp;IF(AND($F36=3,$C36&gt;=200000),"一括償却は20万円未満の資産だけです。","")&amp;IF(AND($F36=3,$B$1=0,$C36&lt;100000),"10万円未満は一括償却にせず、全額をその年の経費にします。","")&amp;IF(AND($F36=4,$C36&lt;100000),"10万円未満は少額特例ではなく、全額をその年の経費にします。","")&amp;IF(AND($F36=4,$D36&lt;DATE(2026,4,1),$C36&gt;=300000),"2026年3月31日までの取得で少額特例が使えるのは30万円未満です。","")&amp;IF(AND($F36=4,$D36&gt;=DATE(2026,4,1),$C36&gt;=400000),"少額特例は40万円未満の資産だけです。","")&amp;IF(AND($F36=4,OR($D36&lt;DATE(2006,4,1),$D36&gt;DATE(2029,3,31))),"少額特例は2006年4月1日〜2029年3月31日に取得した資産だけです。","")&amp;IF(AND($F36=2,$G36=250,$D36&gt;DATE(2012,12,31)),"250%定率法は2012年12月31日までの取得だけです。","")</f>
        <v/>
      </c>
      <c r="AJ36" s="68">
        <f>IF(AND($F36=2,'固定資産台帳'!$H36="定率法（200%）",$D36&lt;DATE(2012,4,1)),"2012年3月31日までの取得に200%を使うのは、経過措置の届出をした場合です。","")&amp;IF(AND($F36=2,'固定資産台帳'!$H36="定率法（250%）",$D36&gt;=DATE(2012,4,1),$D36&lt;=DATE(2012,12,31)),"2012年4〜12月の取得に250%を使うのは、経過措置を選んだ場合です。","")</f>
        <v/>
      </c>
      <c r="AK36" s="68">
        <f>IF($U36=0,"",IF($V36&lt;0,"表示している年より後に使い始める資産です。",IF($AE36=1,"売却・除却済みです。",IF($AD36=1,"この年に売却・除却。期末の帳簿価額 "&amp;TEXT($Y36,"#,##0")&amp;"円を帳簿から外します。",IF($F36=4,IF($V36=0,"少額特例：この年に全額を経費にします。","少額特例で経費にした資産です。"),IF($F36=3,IF($V36&gt;2,"一括償却は終わっています。","一括償却 "&amp;($V36+1)&amp;"年目（3年のうち）。"),IF($Z36=0,"償却済み（帳簿価額 "&amp;TEXT($Y36,"#,##0")&amp;"円）。",IF($AA36&gt;0,"改定償却率で計算（改定取得価額 "&amp;TEXT($AA36,"#,##0")&amp;"円）。",IF($V36=0,"この年に使い始め（"&amp;$AB36&amp;"か月分）。","")))))))))</f>
        <v/>
      </c>
      <c r="AL36" s="68">
        <f>IF(AND($U36=1,$F36=4,$V36=0),$C36,0)</f>
        <v/>
      </c>
      <c r="AM36" s="68">
        <f>IF($F36=2,INT(ROUND($M36,6)+$B$4),0)</f>
        <v/>
      </c>
      <c r="AN36" s="68">
        <f>IF($W36=0,0,IF($F36=2,IF($AA36&gt;0,$AA36,$X36),$C36))</f>
        <v/>
      </c>
      <c r="AO36" s="68">
        <f>IF($W36=0,"",IF($F36=3,"1/3",IF($F36=4,"―",IF($AA36&gt;0,$K36,$J36))))</f>
        <v/>
      </c>
      <c r="AP36" s="68" t="n"/>
      <c r="AQ36" s="68" t="n"/>
      <c r="AR36" s="68" t="n"/>
      <c r="AS36" s="68">
        <f>IF($U36=0,0,IF($F36=4,0,IF($F36=3,MAX($C36-INT(ROUND($C36/3,6)+$B$4),0),$C36-MIN(INT(ROUND($C36*$J36*IF($R36=0,$S36,$P36)/12,6)+$B$4),MAX($C36-$I36,0)))))</f>
        <v/>
      </c>
      <c r="AT36" s="68">
        <f>IF($U36=0,0,IF($F36=4,0,IF($F36=3,AS36-MIN(INT(ROUND($C36/3,6)+$B$4),AS36),IF(OR(1&gt;$R36,AS36&lt;=$I36),AS36,AS36-MIN(INT(ROUND(IF($F36=1,$C36*$J36,IF(ER36&gt;0,ER36*$K36,AS36*$J36))*IF(1=$R36,$S36,12)/12,6)+$B$4),AS36-$I36)))))</f>
        <v/>
      </c>
      <c r="AU36" s="68">
        <f>IF($U36=0,0,IF($F36=4,0,IF($F36=3,0,IF(OR(2&gt;$R36,AT36&lt;=$I36),AT36,AT36-MIN(INT(ROUND(IF($F36=1,$C36*$J36,IF(ES36&gt;0,ES36*$K36,AT36*$J36))*IF(2=$R36,$S36,12)/12,6)+$B$4),AT36-$I36)))))</f>
        <v/>
      </c>
      <c r="AV36" s="68">
        <f>IF($U36=0,0,IF($F36=4,0,IF($F36=3,0,IF(OR(3&gt;$R36,AU36&lt;=$I36),AU36,AU36-MIN(INT(ROUND(IF($F36=1,$C36*$J36,IF(ET36&gt;0,ET36*$K36,AU36*$J36))*IF(3=$R36,$S36,12)/12,6)+$B$4),AU36-$I36)))))</f>
        <v/>
      </c>
      <c r="AW36" s="68">
        <f>IF($U36=0,0,IF($F36=4,0,IF($F36=3,0,IF(OR(4&gt;$R36,AV36&lt;=$I36),AV36,AV36-MIN(INT(ROUND(IF($F36=1,$C36*$J36,IF(EU36&gt;0,EU36*$K36,AV36*$J36))*IF(4=$R36,$S36,12)/12,6)+$B$4),AV36-$I36)))))</f>
        <v/>
      </c>
      <c r="AX36" s="68">
        <f>IF($U36=0,0,IF($F36=4,0,IF($F36=3,0,IF(OR(5&gt;$R36,AW36&lt;=$I36),AW36,AW36-MIN(INT(ROUND(IF($F36=1,$C36*$J36,IF(EV36&gt;0,EV36*$K36,AW36*$J36))*IF(5=$R36,$S36,12)/12,6)+$B$4),AW36-$I36)))))</f>
        <v/>
      </c>
      <c r="AY36" s="68">
        <f>IF($U36=0,0,IF($F36=4,0,IF($F36=3,0,IF(OR(6&gt;$R36,AX36&lt;=$I36),AX36,AX36-MIN(INT(ROUND(IF($F36=1,$C36*$J36,IF(EW36&gt;0,EW36*$K36,AX36*$J36))*IF(6=$R36,$S36,12)/12,6)+$B$4),AX36-$I36)))))</f>
        <v/>
      </c>
      <c r="AZ36" s="68">
        <f>IF($U36=0,0,IF($F36=4,0,IF($F36=3,0,IF(OR(7&gt;$R36,AY36&lt;=$I36),AY36,AY36-MIN(INT(ROUND(IF($F36=1,$C36*$J36,IF(EX36&gt;0,EX36*$K36,AY36*$J36))*IF(7=$R36,$S36,12)/12,6)+$B$4),AY36-$I36)))))</f>
        <v/>
      </c>
      <c r="BA36" s="68">
        <f>IF($U36=0,0,IF($F36=4,0,IF($F36=3,0,IF(OR(8&gt;$R36,AZ36&lt;=$I36),AZ36,AZ36-MIN(INT(ROUND(IF($F36=1,$C36*$J36,IF(EY36&gt;0,EY36*$K36,AZ36*$J36))*IF(8=$R36,$S36,12)/12,6)+$B$4),AZ36-$I36)))))</f>
        <v/>
      </c>
      <c r="BB36" s="68">
        <f>IF($U36=0,0,IF($F36=4,0,IF($F36=3,0,IF(OR(9&gt;$R36,BA36&lt;=$I36),BA36,BA36-MIN(INT(ROUND(IF($F36=1,$C36*$J36,IF(EZ36&gt;0,EZ36*$K36,BA36*$J36))*IF(9=$R36,$S36,12)/12,6)+$B$4),BA36-$I36)))))</f>
        <v/>
      </c>
      <c r="BC36" s="68">
        <f>IF($U36=0,0,IF($F36=4,0,IF($F36=3,0,IF(OR(10&gt;$R36,BB36&lt;=$I36),BB36,BB36-MIN(INT(ROUND(IF($F36=1,$C36*$J36,IF(FA36&gt;0,FA36*$K36,BB36*$J36))*IF(10=$R36,$S36,12)/12,6)+$B$4),BB36-$I36)))))</f>
        <v/>
      </c>
      <c r="BD36" s="68">
        <f>IF($U36=0,0,IF($F36=4,0,IF($F36=3,0,IF(OR(11&gt;$R36,BC36&lt;=$I36),BC36,BC36-MIN(INT(ROUND(IF($F36=1,$C36*$J36,IF(FB36&gt;0,FB36*$K36,BC36*$J36))*IF(11=$R36,$S36,12)/12,6)+$B$4),BC36-$I36)))))</f>
        <v/>
      </c>
      <c r="BE36" s="68">
        <f>IF($U36=0,0,IF($F36=4,0,IF($F36=3,0,IF(OR(12&gt;$R36,BD36&lt;=$I36),BD36,BD36-MIN(INT(ROUND(IF($F36=1,$C36*$J36,IF(FC36&gt;0,FC36*$K36,BD36*$J36))*IF(12=$R36,$S36,12)/12,6)+$B$4),BD36-$I36)))))</f>
        <v/>
      </c>
      <c r="BF36" s="68">
        <f>IF($U36=0,0,IF($F36=4,0,IF($F36=3,0,IF(OR(13&gt;$R36,BE36&lt;=$I36),BE36,BE36-MIN(INT(ROUND(IF($F36=1,$C36*$J36,IF(FD36&gt;0,FD36*$K36,BE36*$J36))*IF(13=$R36,$S36,12)/12,6)+$B$4),BE36-$I36)))))</f>
        <v/>
      </c>
      <c r="BG36" s="68">
        <f>IF($U36=0,0,IF($F36=4,0,IF($F36=3,0,IF(OR(14&gt;$R36,BF36&lt;=$I36),BF36,BF36-MIN(INT(ROUND(IF($F36=1,$C36*$J36,IF(FE36&gt;0,FE36*$K36,BF36*$J36))*IF(14=$R36,$S36,12)/12,6)+$B$4),BF36-$I36)))))</f>
        <v/>
      </c>
      <c r="BH36" s="68">
        <f>IF($U36=0,0,IF($F36=4,0,IF($F36=3,0,IF(OR(15&gt;$R36,BG36&lt;=$I36),BG36,BG36-MIN(INT(ROUND(IF($F36=1,$C36*$J36,IF(FF36&gt;0,FF36*$K36,BG36*$J36))*IF(15=$R36,$S36,12)/12,6)+$B$4),BG36-$I36)))))</f>
        <v/>
      </c>
      <c r="BI36" s="68">
        <f>IF($U36=0,0,IF($F36=4,0,IF($F36=3,0,IF(OR(16&gt;$R36,BH36&lt;=$I36),BH36,BH36-MIN(INT(ROUND(IF($F36=1,$C36*$J36,IF(FG36&gt;0,FG36*$K36,BH36*$J36))*IF(16=$R36,$S36,12)/12,6)+$B$4),BH36-$I36)))))</f>
        <v/>
      </c>
      <c r="BJ36" s="68">
        <f>IF($U36=0,0,IF($F36=4,0,IF($F36=3,0,IF(OR(17&gt;$R36,BI36&lt;=$I36),BI36,BI36-MIN(INT(ROUND(IF($F36=1,$C36*$J36,IF(FH36&gt;0,FH36*$K36,BI36*$J36))*IF(17=$R36,$S36,12)/12,6)+$B$4),BI36-$I36)))))</f>
        <v/>
      </c>
      <c r="BK36" s="68">
        <f>IF($U36=0,0,IF($F36=4,0,IF($F36=3,0,IF(OR(18&gt;$R36,BJ36&lt;=$I36),BJ36,BJ36-MIN(INT(ROUND(IF($F36=1,$C36*$J36,IF(FI36&gt;0,FI36*$K36,BJ36*$J36))*IF(18=$R36,$S36,12)/12,6)+$B$4),BJ36-$I36)))))</f>
        <v/>
      </c>
      <c r="BL36" s="68">
        <f>IF($U36=0,0,IF($F36=4,0,IF($F36=3,0,IF(OR(19&gt;$R36,BK36&lt;=$I36),BK36,BK36-MIN(INT(ROUND(IF($F36=1,$C36*$J36,IF(FJ36&gt;0,FJ36*$K36,BK36*$J36))*IF(19=$R36,$S36,12)/12,6)+$B$4),BK36-$I36)))))</f>
        <v/>
      </c>
      <c r="BM36" s="68">
        <f>IF($U36=0,0,IF($F36=4,0,IF($F36=3,0,IF(OR(20&gt;$R36,BL36&lt;=$I36),BL36,BL36-MIN(INT(ROUND(IF($F36=1,$C36*$J36,IF(FK36&gt;0,FK36*$K36,BL36*$J36))*IF(20=$R36,$S36,12)/12,6)+$B$4),BL36-$I36)))))</f>
        <v/>
      </c>
      <c r="BN36" s="68">
        <f>IF($U36=0,0,IF($F36=4,0,IF($F36=3,0,IF(OR(21&gt;$R36,BM36&lt;=$I36),BM36,BM36-MIN(INT(ROUND(IF($F36=1,$C36*$J36,IF(FL36&gt;0,FL36*$K36,BM36*$J36))*IF(21=$R36,$S36,12)/12,6)+$B$4),BM36-$I36)))))</f>
        <v/>
      </c>
      <c r="BO36" s="68">
        <f>IF($U36=0,0,IF($F36=4,0,IF($F36=3,0,IF(OR(22&gt;$R36,BN36&lt;=$I36),BN36,BN36-MIN(INT(ROUND(IF($F36=1,$C36*$J36,IF(FM36&gt;0,FM36*$K36,BN36*$J36))*IF(22=$R36,$S36,12)/12,6)+$B$4),BN36-$I36)))))</f>
        <v/>
      </c>
      <c r="BP36" s="68">
        <f>IF($U36=0,0,IF($F36=4,0,IF($F36=3,0,IF(OR(23&gt;$R36,BO36&lt;=$I36),BO36,BO36-MIN(INT(ROUND(IF($F36=1,$C36*$J36,IF(FN36&gt;0,FN36*$K36,BO36*$J36))*IF(23=$R36,$S36,12)/12,6)+$B$4),BO36-$I36)))))</f>
        <v/>
      </c>
      <c r="BQ36" s="68">
        <f>IF($U36=0,0,IF($F36=4,0,IF($F36=3,0,IF(OR(24&gt;$R36,BP36&lt;=$I36),BP36,BP36-MIN(INT(ROUND(IF($F36=1,$C36*$J36,IF(FO36&gt;0,FO36*$K36,BP36*$J36))*IF(24=$R36,$S36,12)/12,6)+$B$4),BP36-$I36)))))</f>
        <v/>
      </c>
      <c r="BR36" s="68">
        <f>IF($U36=0,0,IF($F36=4,0,IF($F36=3,0,IF(OR(25&gt;$R36,BQ36&lt;=$I36),BQ36,BQ36-MIN(INT(ROUND(IF($F36=1,$C36*$J36,IF(FP36&gt;0,FP36*$K36,BQ36*$J36))*IF(25=$R36,$S36,12)/12,6)+$B$4),BQ36-$I36)))))</f>
        <v/>
      </c>
      <c r="BS36" s="68">
        <f>IF($U36=0,0,IF($F36=4,0,IF($F36=3,0,IF(OR(26&gt;$R36,BR36&lt;=$I36),BR36,BR36-MIN(INT(ROUND(IF($F36=1,$C36*$J36,IF(FQ36&gt;0,FQ36*$K36,BR36*$J36))*IF(26=$R36,$S36,12)/12,6)+$B$4),BR36-$I36)))))</f>
        <v/>
      </c>
      <c r="BT36" s="68">
        <f>IF($U36=0,0,IF($F36=4,0,IF($F36=3,0,IF(OR(27&gt;$R36,BS36&lt;=$I36),BS36,BS36-MIN(INT(ROUND(IF($F36=1,$C36*$J36,IF(FR36&gt;0,FR36*$K36,BS36*$J36))*IF(27=$R36,$S36,12)/12,6)+$B$4),BS36-$I36)))))</f>
        <v/>
      </c>
      <c r="BU36" s="68">
        <f>IF($U36=0,0,IF($F36=4,0,IF($F36=3,0,IF(OR(28&gt;$R36,BT36&lt;=$I36),BT36,BT36-MIN(INT(ROUND(IF($F36=1,$C36*$J36,IF(FS36&gt;0,FS36*$K36,BT36*$J36))*IF(28=$R36,$S36,12)/12,6)+$B$4),BT36-$I36)))))</f>
        <v/>
      </c>
      <c r="BV36" s="68">
        <f>IF($U36=0,0,IF($F36=4,0,IF($F36=3,0,IF(OR(29&gt;$R36,BU36&lt;=$I36),BU36,BU36-MIN(INT(ROUND(IF($F36=1,$C36*$J36,IF(FT36&gt;0,FT36*$K36,BU36*$J36))*IF(29=$R36,$S36,12)/12,6)+$B$4),BU36-$I36)))))</f>
        <v/>
      </c>
      <c r="BW36" s="68">
        <f>IF($U36=0,0,IF($F36=4,0,IF($F36=3,0,IF(OR(30&gt;$R36,BV36&lt;=$I36),BV36,BV36-MIN(INT(ROUND(IF($F36=1,$C36*$J36,IF(FU36&gt;0,FU36*$K36,BV36*$J36))*IF(30=$R36,$S36,12)/12,6)+$B$4),BV36-$I36)))))</f>
        <v/>
      </c>
      <c r="BX36" s="68">
        <f>IF($U36=0,0,IF($F36=4,0,IF($F36=3,0,IF(OR(31&gt;$R36,BW36&lt;=$I36),BW36,BW36-MIN(INT(ROUND(IF($F36=1,$C36*$J36,IF(FV36&gt;0,FV36*$K36,BW36*$J36))*IF(31=$R36,$S36,12)/12,6)+$B$4),BW36-$I36)))))</f>
        <v/>
      </c>
      <c r="BY36" s="68">
        <f>IF($U36=0,0,IF($F36=4,0,IF($F36=3,0,IF(OR(32&gt;$R36,BX36&lt;=$I36),BX36,BX36-MIN(INT(ROUND(IF($F36=1,$C36*$J36,IF(FW36&gt;0,FW36*$K36,BX36*$J36))*IF(32=$R36,$S36,12)/12,6)+$B$4),BX36-$I36)))))</f>
        <v/>
      </c>
      <c r="BZ36" s="68">
        <f>IF($U36=0,0,IF($F36=4,0,IF($F36=3,0,IF(OR(33&gt;$R36,BY36&lt;=$I36),BY36,BY36-MIN(INT(ROUND(IF($F36=1,$C36*$J36,IF(FX36&gt;0,FX36*$K36,BY36*$J36))*IF(33=$R36,$S36,12)/12,6)+$B$4),BY36-$I36)))))</f>
        <v/>
      </c>
      <c r="CA36" s="68">
        <f>IF($U36=0,0,IF($F36=4,0,IF($F36=3,0,IF(OR(34&gt;$R36,BZ36&lt;=$I36),BZ36,BZ36-MIN(INT(ROUND(IF($F36=1,$C36*$J36,IF(FY36&gt;0,FY36*$K36,BZ36*$J36))*IF(34=$R36,$S36,12)/12,6)+$B$4),BZ36-$I36)))))</f>
        <v/>
      </c>
      <c r="CB36" s="68">
        <f>IF($U36=0,0,IF($F36=4,0,IF($F36=3,0,IF(OR(35&gt;$R36,CA36&lt;=$I36),CA36,CA36-MIN(INT(ROUND(IF($F36=1,$C36*$J36,IF(FZ36&gt;0,FZ36*$K36,CA36*$J36))*IF(35=$R36,$S36,12)/12,6)+$B$4),CA36-$I36)))))</f>
        <v/>
      </c>
      <c r="CC36" s="68">
        <f>IF($U36=0,0,IF($F36=4,0,IF($F36=3,0,IF(OR(36&gt;$R36,CB36&lt;=$I36),CB36,CB36-MIN(INT(ROUND(IF($F36=1,$C36*$J36,IF(GA36&gt;0,GA36*$K36,CB36*$J36))*IF(36=$R36,$S36,12)/12,6)+$B$4),CB36-$I36)))))</f>
        <v/>
      </c>
      <c r="CD36" s="68">
        <f>IF($U36=0,0,IF($F36=4,0,IF($F36=3,0,IF(OR(37&gt;$R36,CC36&lt;=$I36),CC36,CC36-MIN(INT(ROUND(IF($F36=1,$C36*$J36,IF(GB36&gt;0,GB36*$K36,CC36*$J36))*IF(37=$R36,$S36,12)/12,6)+$B$4),CC36-$I36)))))</f>
        <v/>
      </c>
      <c r="CE36" s="68">
        <f>IF($U36=0,0,IF($F36=4,0,IF($F36=3,0,IF(OR(38&gt;$R36,CD36&lt;=$I36),CD36,CD36-MIN(INT(ROUND(IF($F36=1,$C36*$J36,IF(GC36&gt;0,GC36*$K36,CD36*$J36))*IF(38=$R36,$S36,12)/12,6)+$B$4),CD36-$I36)))))</f>
        <v/>
      </c>
      <c r="CF36" s="68">
        <f>IF($U36=0,0,IF($F36=4,0,IF($F36=3,0,IF(OR(39&gt;$R36,CE36&lt;=$I36),CE36,CE36-MIN(INT(ROUND(IF($F36=1,$C36*$J36,IF(GD36&gt;0,GD36*$K36,CE36*$J36))*IF(39=$R36,$S36,12)/12,6)+$B$4),CE36-$I36)))))</f>
        <v/>
      </c>
      <c r="CG36" s="68">
        <f>IF($U36=0,0,IF($F36=4,0,IF($F36=3,0,IF(OR(40&gt;$R36,CF36&lt;=$I36),CF36,CF36-MIN(INT(ROUND(IF($F36=1,$C36*$J36,IF(GE36&gt;0,GE36*$K36,CF36*$J36))*IF(40=$R36,$S36,12)/12,6)+$B$4),CF36-$I36)))))</f>
        <v/>
      </c>
      <c r="CH36" s="68">
        <f>IF($U36=0,0,IF($F36=4,0,IF($F36=3,0,IF(OR(41&gt;$R36,CG36&lt;=$I36),CG36,CG36-MIN(INT(ROUND(IF($F36=1,$C36*$J36,IF(GF36&gt;0,GF36*$K36,CG36*$J36))*IF(41=$R36,$S36,12)/12,6)+$B$4),CG36-$I36)))))</f>
        <v/>
      </c>
      <c r="CI36" s="68">
        <f>IF($U36=0,0,IF($F36=4,0,IF($F36=3,0,IF(OR(42&gt;$R36,CH36&lt;=$I36),CH36,CH36-MIN(INT(ROUND(IF($F36=1,$C36*$J36,IF(GG36&gt;0,GG36*$K36,CH36*$J36))*IF(42=$R36,$S36,12)/12,6)+$B$4),CH36-$I36)))))</f>
        <v/>
      </c>
      <c r="CJ36" s="68">
        <f>IF($U36=0,0,IF($F36=4,0,IF($F36=3,0,IF(OR(43&gt;$R36,CI36&lt;=$I36),CI36,CI36-MIN(INT(ROUND(IF($F36=1,$C36*$J36,IF(GH36&gt;0,GH36*$K36,CI36*$J36))*IF(43=$R36,$S36,12)/12,6)+$B$4),CI36-$I36)))))</f>
        <v/>
      </c>
      <c r="CK36" s="68">
        <f>IF($U36=0,0,IF($F36=4,0,IF($F36=3,0,IF(OR(44&gt;$R36,CJ36&lt;=$I36),CJ36,CJ36-MIN(INT(ROUND(IF($F36=1,$C36*$J36,IF(GI36&gt;0,GI36*$K36,CJ36*$J36))*IF(44=$R36,$S36,12)/12,6)+$B$4),CJ36-$I36)))))</f>
        <v/>
      </c>
      <c r="CL36" s="68">
        <f>IF($U36=0,0,IF($F36=4,0,IF($F36=3,0,IF(OR(45&gt;$R36,CK36&lt;=$I36),CK36,CK36-MIN(INT(ROUND(IF($F36=1,$C36*$J36,IF(GJ36&gt;0,GJ36*$K36,CK36*$J36))*IF(45=$R36,$S36,12)/12,6)+$B$4),CK36-$I36)))))</f>
        <v/>
      </c>
      <c r="CM36" s="68">
        <f>IF($U36=0,0,IF($F36=4,0,IF($F36=3,0,IF(OR(46&gt;$R36,CL36&lt;=$I36),CL36,CL36-MIN(INT(ROUND(IF($F36=1,$C36*$J36,IF(GK36&gt;0,GK36*$K36,CL36*$J36))*IF(46=$R36,$S36,12)/12,6)+$B$4),CL36-$I36)))))</f>
        <v/>
      </c>
      <c r="CN36" s="68">
        <f>IF($U36=0,0,IF($F36=4,0,IF($F36=3,0,IF(OR(47&gt;$R36,CM36&lt;=$I36),CM36,CM36-MIN(INT(ROUND(IF($F36=1,$C36*$J36,IF(GL36&gt;0,GL36*$K36,CM36*$J36))*IF(47=$R36,$S36,12)/12,6)+$B$4),CM36-$I36)))))</f>
        <v/>
      </c>
      <c r="CO36" s="68">
        <f>IF($U36=0,0,IF($F36=4,0,IF($F36=3,0,IF(OR(48&gt;$R36,CN36&lt;=$I36),CN36,CN36-MIN(INT(ROUND(IF($F36=1,$C36*$J36,IF(GM36&gt;0,GM36*$K36,CN36*$J36))*IF(48=$R36,$S36,12)/12,6)+$B$4),CN36-$I36)))))</f>
        <v/>
      </c>
      <c r="CP36" s="68">
        <f>IF($U36=0,0,IF($F36=4,0,IF($F36=3,0,IF(OR(49&gt;$R36,CO36&lt;=$I36),CO36,CO36-MIN(INT(ROUND(IF($F36=1,$C36*$J36,IF(GN36&gt;0,GN36*$K36,CO36*$J36))*IF(49=$R36,$S36,12)/12,6)+$B$4),CO36-$I36)))))</f>
        <v/>
      </c>
      <c r="CQ36" s="68">
        <f>IF($U36=0,0,IF($F36=4,0,IF($F36=3,0,IF(OR(50&gt;$R36,CP36&lt;=$I36),CP36,CP36-MIN(INT(ROUND(IF($F36=1,$C36*$J36,IF(GO36&gt;0,GO36*$K36,CP36*$J36))*IF(50=$R36,$S36,12)/12,6)+$B$4),CP36-$I36)))))</f>
        <v/>
      </c>
      <c r="CR36" s="68">
        <f>IF($U36=0,0,IF($F36=4,0,IF($F36=3,0,IF(OR(51&gt;$R36,CQ36&lt;=$I36),CQ36,CQ36-MIN(INT(ROUND(IF($F36=1,$C36*$J36,IF(GP36&gt;0,GP36*$K36,CQ36*$J36))*IF(51=$R36,$S36,12)/12,6)+$B$4),CQ36-$I36)))))</f>
        <v/>
      </c>
      <c r="CS36" s="68">
        <f>IF($U36=0,0,IF($F36=4,0,IF($F36=3,0,IF(OR(52&gt;$R36,CR36&lt;=$I36),CR36,CR36-MIN(INT(ROUND(IF($F36=1,$C36*$J36,IF(GQ36&gt;0,GQ36*$K36,CR36*$J36))*IF(52=$R36,$S36,12)/12,6)+$B$4),CR36-$I36)))))</f>
        <v/>
      </c>
      <c r="CT36" s="68">
        <f>IF($U36=0,0,IF($F36=4,0,IF($F36=3,0,IF(OR(53&gt;$R36,CS36&lt;=$I36),CS36,CS36-MIN(INT(ROUND(IF($F36=1,$C36*$J36,IF(GR36&gt;0,GR36*$K36,CS36*$J36))*IF(53=$R36,$S36,12)/12,6)+$B$4),CS36-$I36)))))</f>
        <v/>
      </c>
      <c r="CU36" s="68">
        <f>IF($U36=0,0,IF($F36=4,0,IF($F36=3,0,IF(OR(54&gt;$R36,CT36&lt;=$I36),CT36,CT36-MIN(INT(ROUND(IF($F36=1,$C36*$J36,IF(GS36&gt;0,GS36*$K36,CT36*$J36))*IF(54=$R36,$S36,12)/12,6)+$B$4),CT36-$I36)))))</f>
        <v/>
      </c>
      <c r="CV36" s="68">
        <f>IF($U36=0,0,IF($F36=4,0,IF($F36=3,0,IF(OR(55&gt;$R36,CU36&lt;=$I36),CU36,CU36-MIN(INT(ROUND(IF($F36=1,$C36*$J36,IF(GT36&gt;0,GT36*$K36,CU36*$J36))*IF(55=$R36,$S36,12)/12,6)+$B$4),CU36-$I36)))))</f>
        <v/>
      </c>
      <c r="CW36" s="68">
        <f>IF($U36=0,0,IF($F36=4,0,IF($F36=3,0,IF(OR(56&gt;$R36,CV36&lt;=$I36),CV36,CV36-MIN(INT(ROUND(IF($F36=1,$C36*$J36,IF(GU36&gt;0,GU36*$K36,CV36*$J36))*IF(56=$R36,$S36,12)/12,6)+$B$4),CV36-$I36)))))</f>
        <v/>
      </c>
      <c r="CX36" s="68">
        <f>IF($U36=0,0,IF($F36=4,0,IF($F36=3,0,IF(OR(57&gt;$R36,CW36&lt;=$I36),CW36,CW36-MIN(INT(ROUND(IF($F36=1,$C36*$J36,IF(GV36&gt;0,GV36*$K36,CW36*$J36))*IF(57=$R36,$S36,12)/12,6)+$B$4),CW36-$I36)))))</f>
        <v/>
      </c>
      <c r="CY36" s="68">
        <f>IF($U36=0,0,IF($F36=4,0,IF($F36=3,0,IF(OR(58&gt;$R36,CX36&lt;=$I36),CX36,CX36-MIN(INT(ROUND(IF($F36=1,$C36*$J36,IF(GW36&gt;0,GW36*$K36,CX36*$J36))*IF(58=$R36,$S36,12)/12,6)+$B$4),CX36-$I36)))))</f>
        <v/>
      </c>
      <c r="CZ36" s="68">
        <f>IF($U36=0,0,IF($F36=4,0,IF($F36=3,0,IF(OR(59&gt;$R36,CY36&lt;=$I36),CY36,CY36-MIN(INT(ROUND(IF($F36=1,$C36*$J36,IF(GX36&gt;0,GX36*$K36,CY36*$J36))*IF(59=$R36,$S36,12)/12,6)+$B$4),CY36-$I36)))))</f>
        <v/>
      </c>
      <c r="DA36" s="68">
        <f>IF($U36=0,0,IF($F36=4,0,IF($F36=3,0,IF(OR(60&gt;$R36,CZ36&lt;=$I36),CZ36,CZ36-MIN(INT(ROUND(IF($F36=1,$C36*$J36,IF(GY36&gt;0,GY36*$K36,CZ36*$J36))*IF(60=$R36,$S36,12)/12,6)+$B$4),CZ36-$I36)))))</f>
        <v/>
      </c>
      <c r="DB36" s="68">
        <f>IF($U36=0,0,IF($F36=4,0,IF($F36=3,0,IF(OR(61&gt;$R36,DA36&lt;=$I36),DA36,DA36-MIN(INT(ROUND(IF($F36=1,$C36*$J36,IF(GZ36&gt;0,GZ36*$K36,DA36*$J36))*IF(61=$R36,$S36,12)/12,6)+$B$4),DA36-$I36)))))</f>
        <v/>
      </c>
      <c r="DC36" s="68">
        <f>IF($U36=0,0,IF($F36=4,0,IF($F36=3,0,IF(OR(62&gt;$R36,DB36&lt;=$I36),DB36,DB36-MIN(INT(ROUND(IF($F36=1,$C36*$J36,IF(HA36&gt;0,HA36*$K36,DB36*$J36))*IF(62=$R36,$S36,12)/12,6)+$B$4),DB36-$I36)))))</f>
        <v/>
      </c>
      <c r="DD36" s="68">
        <f>IF($U36=0,0,IF($F36=4,0,IF($F36=3,0,IF(OR(63&gt;$R36,DC36&lt;=$I36),DC36,DC36-MIN(INT(ROUND(IF($F36=1,$C36*$J36,IF(HB36&gt;0,HB36*$K36,DC36*$J36))*IF(63=$R36,$S36,12)/12,6)+$B$4),DC36-$I36)))))</f>
        <v/>
      </c>
      <c r="DE36" s="68">
        <f>IF($U36=0,0,IF($F36=4,0,IF($F36=3,0,IF(OR(64&gt;$R36,DD36&lt;=$I36),DD36,DD36-MIN(INT(ROUND(IF($F36=1,$C36*$J36,IF(HC36&gt;0,HC36*$K36,DD36*$J36))*IF(64=$R36,$S36,12)/12,6)+$B$4),DD36-$I36)))))</f>
        <v/>
      </c>
      <c r="DF36" s="68">
        <f>IF($U36=0,0,IF($F36=4,0,IF($F36=3,0,IF(OR(65&gt;$R36,DE36&lt;=$I36),DE36,DE36-MIN(INT(ROUND(IF($F36=1,$C36*$J36,IF(HD36&gt;0,HD36*$K36,DE36*$J36))*IF(65=$R36,$S36,12)/12,6)+$B$4),DE36-$I36)))))</f>
        <v/>
      </c>
      <c r="DG36" s="68">
        <f>IF($U36=0,0,IF($F36=4,0,IF($F36=3,0,IF(OR(66&gt;$R36,DF36&lt;=$I36),DF36,DF36-MIN(INT(ROUND(IF($F36=1,$C36*$J36,IF(HE36&gt;0,HE36*$K36,DF36*$J36))*IF(66=$R36,$S36,12)/12,6)+$B$4),DF36-$I36)))))</f>
        <v/>
      </c>
      <c r="DH36" s="68">
        <f>IF($U36=0,0,IF($F36=4,0,IF($F36=3,0,IF(OR(67&gt;$R36,DG36&lt;=$I36),DG36,DG36-MIN(INT(ROUND(IF($F36=1,$C36*$J36,IF(HF36&gt;0,HF36*$K36,DG36*$J36))*IF(67=$R36,$S36,12)/12,6)+$B$4),DG36-$I36)))))</f>
        <v/>
      </c>
      <c r="DI36" s="68">
        <f>IF($U36=0,0,IF($F36=4,0,IF($F36=3,0,IF(OR(68&gt;$R36,DH36&lt;=$I36),DH36,DH36-MIN(INT(ROUND(IF($F36=1,$C36*$J36,IF(HG36&gt;0,HG36*$K36,DH36*$J36))*IF(68=$R36,$S36,12)/12,6)+$B$4),DH36-$I36)))))</f>
        <v/>
      </c>
      <c r="DJ36" s="68">
        <f>IF($U36=0,0,IF($F36=4,0,IF($F36=3,0,IF(OR(69&gt;$R36,DI36&lt;=$I36),DI36,DI36-MIN(INT(ROUND(IF($F36=1,$C36*$J36,IF(HH36&gt;0,HH36*$K36,DI36*$J36))*IF(69=$R36,$S36,12)/12,6)+$B$4),DI36-$I36)))))</f>
        <v/>
      </c>
      <c r="DK36" s="68">
        <f>IF($U36=0,0,IF($F36=4,0,IF($F36=3,0,IF(OR(70&gt;$R36,DJ36&lt;=$I36),DJ36,DJ36-MIN(INT(ROUND(IF($F36=1,$C36*$J36,IF(HI36&gt;0,HI36*$K36,DJ36*$J36))*IF(70=$R36,$S36,12)/12,6)+$B$4),DJ36-$I36)))))</f>
        <v/>
      </c>
      <c r="DL36" s="68">
        <f>IF($U36=0,0,IF($F36=4,0,IF($F36=3,0,IF(OR(71&gt;$R36,DK36&lt;=$I36),DK36,DK36-MIN(INT(ROUND(IF($F36=1,$C36*$J36,IF(HJ36&gt;0,HJ36*$K36,DK36*$J36))*IF(71=$R36,$S36,12)/12,6)+$B$4),DK36-$I36)))))</f>
        <v/>
      </c>
      <c r="DM36" s="68">
        <f>IF($U36=0,0,IF($F36=4,0,IF($F36=3,0,IF(OR(72&gt;$R36,DL36&lt;=$I36),DL36,DL36-MIN(INT(ROUND(IF($F36=1,$C36*$J36,IF(HK36&gt;0,HK36*$K36,DL36*$J36))*IF(72=$R36,$S36,12)/12,6)+$B$4),DL36-$I36)))))</f>
        <v/>
      </c>
      <c r="DN36" s="68">
        <f>IF($U36=0,0,IF($F36=4,0,IF($F36=3,0,IF(OR(73&gt;$R36,DM36&lt;=$I36),DM36,DM36-MIN(INT(ROUND(IF($F36=1,$C36*$J36,IF(HL36&gt;0,HL36*$K36,DM36*$J36))*IF(73=$R36,$S36,12)/12,6)+$B$4),DM36-$I36)))))</f>
        <v/>
      </c>
      <c r="DO36" s="68">
        <f>IF($U36=0,0,IF($F36=4,0,IF($F36=3,0,IF(OR(74&gt;$R36,DN36&lt;=$I36),DN36,DN36-MIN(INT(ROUND(IF($F36=1,$C36*$J36,IF(HM36&gt;0,HM36*$K36,DN36*$J36))*IF(74=$R36,$S36,12)/12,6)+$B$4),DN36-$I36)))))</f>
        <v/>
      </c>
      <c r="DP36" s="68">
        <f>IF($U36=0,0,IF($F36=4,0,IF($F36=3,0,IF(OR(75&gt;$R36,DO36&lt;=$I36),DO36,DO36-MIN(INT(ROUND(IF($F36=1,$C36*$J36,IF(HN36&gt;0,HN36*$K36,DO36*$J36))*IF(75=$R36,$S36,12)/12,6)+$B$4),DO36-$I36)))))</f>
        <v/>
      </c>
      <c r="DQ36" s="68">
        <f>IF($U36=0,0,IF($F36=4,0,IF($F36=3,0,IF(OR(76&gt;$R36,DP36&lt;=$I36),DP36,DP36-MIN(INT(ROUND(IF($F36=1,$C36*$J36,IF(HO36&gt;0,HO36*$K36,DP36*$J36))*IF(76=$R36,$S36,12)/12,6)+$B$4),DP36-$I36)))))</f>
        <v/>
      </c>
      <c r="DR36" s="68">
        <f>IF($U36=0,0,IF($F36=4,0,IF($F36=3,0,IF(OR(77&gt;$R36,DQ36&lt;=$I36),DQ36,DQ36-MIN(INT(ROUND(IF($F36=1,$C36*$J36,IF(HP36&gt;0,HP36*$K36,DQ36*$J36))*IF(77=$R36,$S36,12)/12,6)+$B$4),DQ36-$I36)))))</f>
        <v/>
      </c>
      <c r="DS36" s="68">
        <f>IF($U36=0,0,IF($F36=4,0,IF($F36=3,0,IF(OR(78&gt;$R36,DR36&lt;=$I36),DR36,DR36-MIN(INT(ROUND(IF($F36=1,$C36*$J36,IF(HQ36&gt;0,HQ36*$K36,DR36*$J36))*IF(78=$R36,$S36,12)/12,6)+$B$4),DR36-$I36)))))</f>
        <v/>
      </c>
      <c r="DT36" s="68">
        <f>IF($U36=0,0,IF($F36=4,0,IF($F36=3,0,IF(OR(79&gt;$R36,DS36&lt;=$I36),DS36,DS36-MIN(INT(ROUND(IF($F36=1,$C36*$J36,IF(HR36&gt;0,HR36*$K36,DS36*$J36))*IF(79=$R36,$S36,12)/12,6)+$B$4),DS36-$I36)))))</f>
        <v/>
      </c>
      <c r="DU36" s="68">
        <f>IF($U36=0,0,IF($F36=4,0,IF($F36=3,0,IF(OR(80&gt;$R36,DT36&lt;=$I36),DT36,DT36-MIN(INT(ROUND(IF($F36=1,$C36*$J36,IF(HS36&gt;0,HS36*$K36,DT36*$J36))*IF(80=$R36,$S36,12)/12,6)+$B$4),DT36-$I36)))))</f>
        <v/>
      </c>
      <c r="DV36" s="68">
        <f>IF($U36=0,0,IF($F36=4,0,IF($F36=3,0,IF(OR(81&gt;$R36,DU36&lt;=$I36),DU36,DU36-MIN(INT(ROUND(IF($F36=1,$C36*$J36,IF(HT36&gt;0,HT36*$K36,DU36*$J36))*IF(81=$R36,$S36,12)/12,6)+$B$4),DU36-$I36)))))</f>
        <v/>
      </c>
      <c r="DW36" s="68">
        <f>IF($U36=0,0,IF($F36=4,0,IF($F36=3,0,IF(OR(82&gt;$R36,DV36&lt;=$I36),DV36,DV36-MIN(INT(ROUND(IF($F36=1,$C36*$J36,IF(HU36&gt;0,HU36*$K36,DV36*$J36))*IF(82=$R36,$S36,12)/12,6)+$B$4),DV36-$I36)))))</f>
        <v/>
      </c>
      <c r="DX36" s="68">
        <f>IF($U36=0,0,IF($F36=4,0,IF($F36=3,0,IF(OR(83&gt;$R36,DW36&lt;=$I36),DW36,DW36-MIN(INT(ROUND(IF($F36=1,$C36*$J36,IF(HV36&gt;0,HV36*$K36,DW36*$J36))*IF(83=$R36,$S36,12)/12,6)+$B$4),DW36-$I36)))))</f>
        <v/>
      </c>
      <c r="DY36" s="68">
        <f>IF($U36=0,0,IF($F36=4,0,IF($F36=3,0,IF(OR(84&gt;$R36,DX36&lt;=$I36),DX36,DX36-MIN(INT(ROUND(IF($F36=1,$C36*$J36,IF(HW36&gt;0,HW36*$K36,DX36*$J36))*IF(84=$R36,$S36,12)/12,6)+$B$4),DX36-$I36)))))</f>
        <v/>
      </c>
      <c r="DZ36" s="68">
        <f>IF($U36=0,0,IF($F36=4,0,IF($F36=3,0,IF(OR(85&gt;$R36,DY36&lt;=$I36),DY36,DY36-MIN(INT(ROUND(IF($F36=1,$C36*$J36,IF(HX36&gt;0,HX36*$K36,DY36*$J36))*IF(85=$R36,$S36,12)/12,6)+$B$4),DY36-$I36)))))</f>
        <v/>
      </c>
      <c r="EA36" s="68">
        <f>IF($U36=0,0,IF($F36=4,0,IF($F36=3,0,IF(OR(86&gt;$R36,DZ36&lt;=$I36),DZ36,DZ36-MIN(INT(ROUND(IF($F36=1,$C36*$J36,IF(HY36&gt;0,HY36*$K36,DZ36*$J36))*IF(86=$R36,$S36,12)/12,6)+$B$4),DZ36-$I36)))))</f>
        <v/>
      </c>
      <c r="EB36" s="68">
        <f>IF($U36=0,0,IF($F36=4,0,IF($F36=3,0,IF(OR(87&gt;$R36,EA36&lt;=$I36),EA36,EA36-MIN(INT(ROUND(IF($F36=1,$C36*$J36,IF(HZ36&gt;0,HZ36*$K36,EA36*$J36))*IF(87=$R36,$S36,12)/12,6)+$B$4),EA36-$I36)))))</f>
        <v/>
      </c>
      <c r="EC36" s="68">
        <f>IF($U36=0,0,IF($F36=4,0,IF($F36=3,0,IF(OR(88&gt;$R36,EB36&lt;=$I36),EB36,EB36-MIN(INT(ROUND(IF($F36=1,$C36*$J36,IF(IA36&gt;0,IA36*$K36,EB36*$J36))*IF(88=$R36,$S36,12)/12,6)+$B$4),EB36-$I36)))))</f>
        <v/>
      </c>
      <c r="ED36" s="68">
        <f>IF($U36=0,0,IF($F36=4,0,IF($F36=3,0,IF(OR(89&gt;$R36,EC36&lt;=$I36),EC36,EC36-MIN(INT(ROUND(IF($F36=1,$C36*$J36,IF(IB36&gt;0,IB36*$K36,EC36*$J36))*IF(89=$R36,$S36,12)/12,6)+$B$4),EC36-$I36)))))</f>
        <v/>
      </c>
      <c r="EE36" s="68">
        <f>IF($U36=0,0,IF($F36=4,0,IF($F36=3,0,IF(OR(90&gt;$R36,ED36&lt;=$I36),ED36,ED36-MIN(INT(ROUND(IF($F36=1,$C36*$J36,IF(IC36&gt;0,IC36*$K36,ED36*$J36))*IF(90=$R36,$S36,12)/12,6)+$B$4),ED36-$I36)))))</f>
        <v/>
      </c>
      <c r="EF36" s="68">
        <f>IF($U36=0,0,IF($F36=4,0,IF($F36=3,0,IF(OR(91&gt;$R36,EE36&lt;=$I36),EE36,EE36-MIN(INT(ROUND(IF($F36=1,$C36*$J36,IF(ID36&gt;0,ID36*$K36,EE36*$J36))*IF(91=$R36,$S36,12)/12,6)+$B$4),EE36-$I36)))))</f>
        <v/>
      </c>
      <c r="EG36" s="68">
        <f>IF($U36=0,0,IF($F36=4,0,IF($F36=3,0,IF(OR(92&gt;$R36,EF36&lt;=$I36),EF36,EF36-MIN(INT(ROUND(IF($F36=1,$C36*$J36,IF(IE36&gt;0,IE36*$K36,EF36*$J36))*IF(92=$R36,$S36,12)/12,6)+$B$4),EF36-$I36)))))</f>
        <v/>
      </c>
      <c r="EH36" s="68">
        <f>IF($U36=0,0,IF($F36=4,0,IF($F36=3,0,IF(OR(93&gt;$R36,EG36&lt;=$I36),EG36,EG36-MIN(INT(ROUND(IF($F36=1,$C36*$J36,IF(IF36&gt;0,IF36*$K36,EG36*$J36))*IF(93=$R36,$S36,12)/12,6)+$B$4),EG36-$I36)))))</f>
        <v/>
      </c>
      <c r="EI36" s="68">
        <f>IF($U36=0,0,IF($F36=4,0,IF($F36=3,0,IF(OR(94&gt;$R36,EH36&lt;=$I36),EH36,EH36-MIN(INT(ROUND(IF($F36=1,$C36*$J36,IF(IG36&gt;0,IG36*$K36,EH36*$J36))*IF(94=$R36,$S36,12)/12,6)+$B$4),EH36-$I36)))))</f>
        <v/>
      </c>
      <c r="EJ36" s="68">
        <f>IF($U36=0,0,IF($F36=4,0,IF($F36=3,0,IF(OR(95&gt;$R36,EI36&lt;=$I36),EI36,EI36-MIN(INT(ROUND(IF($F36=1,$C36*$J36,IF(IH36&gt;0,IH36*$K36,EI36*$J36))*IF(95=$R36,$S36,12)/12,6)+$B$4),EI36-$I36)))))</f>
        <v/>
      </c>
      <c r="EK36" s="68">
        <f>IF($U36=0,0,IF($F36=4,0,IF($F36=3,0,IF(OR(96&gt;$R36,EJ36&lt;=$I36),EJ36,EJ36-MIN(INT(ROUND(IF($F36=1,$C36*$J36,IF(II36&gt;0,II36*$K36,EJ36*$J36))*IF(96=$R36,$S36,12)/12,6)+$B$4),EJ36-$I36)))))</f>
        <v/>
      </c>
      <c r="EL36" s="68">
        <f>IF($U36=0,0,IF($F36=4,0,IF($F36=3,0,IF(OR(97&gt;$R36,EK36&lt;=$I36),EK36,EK36-MIN(INT(ROUND(IF($F36=1,$C36*$J36,IF(IJ36&gt;0,IJ36*$K36,EK36*$J36))*IF(97=$R36,$S36,12)/12,6)+$B$4),EK36-$I36)))))</f>
        <v/>
      </c>
      <c r="EM36" s="68">
        <f>IF($U36=0,0,IF($F36=4,0,IF($F36=3,0,IF(OR(98&gt;$R36,EL36&lt;=$I36),EL36,EL36-MIN(INT(ROUND(IF($F36=1,$C36*$J36,IF(IK36&gt;0,IK36*$K36,EL36*$J36))*IF(98=$R36,$S36,12)/12,6)+$B$4),EL36-$I36)))))</f>
        <v/>
      </c>
      <c r="EN36" s="68">
        <f>IF($U36=0,0,IF($F36=4,0,IF($F36=3,0,IF(OR(99&gt;$R36,EM36&lt;=$I36),EM36,EM36-MIN(INT(ROUND(IF($F36=1,$C36*$J36,IF(IL36&gt;0,IL36*$K36,EM36*$J36))*IF(99=$R36,$S36,12)/12,6)+$B$4),EM36-$I36)))))</f>
        <v/>
      </c>
      <c r="EO36" s="68">
        <f>IF($U36=0,0,IF($F36=4,0,IF($F36=3,0,IF(OR(100&gt;$R36,EN36&lt;=$I36),EN36,EN36-MIN(INT(ROUND(IF($F36=1,$C36*$J36,IF(IM36&gt;0,IM36*$K36,EN36*$J36))*IF(100=$R36,$S36,12)/12,6)+$B$4),EN36-$I36)))))</f>
        <v/>
      </c>
      <c r="EP36" s="68">
        <f>IF($U36=0,0,IF($F36=4,0,IF($F36=3,0,IF(OR(101&gt;$R36,EO36&lt;=$I36),EO36,EO36-MIN(INT(ROUND(IF($F36=1,$C36*$J36,IF(IN36&gt;0,IN36*$K36,EO36*$J36))*IF(101=$R36,$S36,12)/12,6)+$B$4),EO36-$I36)))))</f>
        <v/>
      </c>
      <c r="EQ36" s="68" t="n"/>
      <c r="ER36" s="68">
        <f>IF(OR($U36=0,$F36&lt;&gt;2),0,IF(ROUND(AS36*$J36,6)&lt;ROUND($M36,6),AS36,0))</f>
        <v/>
      </c>
      <c r="ES36" s="68">
        <f>IF(OR($U36=0,$F36&lt;&gt;2),0,IF(ER36&gt;0,ER36,IF(ROUND(AT36*$J36,6)&lt;ROUND($M36,6),AT36,0)))</f>
        <v/>
      </c>
      <c r="ET36" s="68">
        <f>IF(OR($U36=0,$F36&lt;&gt;2),0,IF(ES36&gt;0,ES36,IF(ROUND(AU36*$J36,6)&lt;ROUND($M36,6),AU36,0)))</f>
        <v/>
      </c>
      <c r="EU36" s="68">
        <f>IF(OR($U36=0,$F36&lt;&gt;2),0,IF(ET36&gt;0,ET36,IF(ROUND(AV36*$J36,6)&lt;ROUND($M36,6),AV36,0)))</f>
        <v/>
      </c>
      <c r="EV36" s="68">
        <f>IF(OR($U36=0,$F36&lt;&gt;2),0,IF(EU36&gt;0,EU36,IF(ROUND(AW36*$J36,6)&lt;ROUND($M36,6),AW36,0)))</f>
        <v/>
      </c>
      <c r="EW36" s="68">
        <f>IF(OR($U36=0,$F36&lt;&gt;2),0,IF(EV36&gt;0,EV36,IF(ROUND(AX36*$J36,6)&lt;ROUND($M36,6),AX36,0)))</f>
        <v/>
      </c>
      <c r="EX36" s="68">
        <f>IF(OR($U36=0,$F36&lt;&gt;2),0,IF(EW36&gt;0,EW36,IF(ROUND(AY36*$J36,6)&lt;ROUND($M36,6),AY36,0)))</f>
        <v/>
      </c>
      <c r="EY36" s="68">
        <f>IF(OR($U36=0,$F36&lt;&gt;2),0,IF(EX36&gt;0,EX36,IF(ROUND(AZ36*$J36,6)&lt;ROUND($M36,6),AZ36,0)))</f>
        <v/>
      </c>
      <c r="EZ36" s="68">
        <f>IF(OR($U36=0,$F36&lt;&gt;2),0,IF(EY36&gt;0,EY36,IF(ROUND(BA36*$J36,6)&lt;ROUND($M36,6),BA36,0)))</f>
        <v/>
      </c>
      <c r="FA36" s="68">
        <f>IF(OR($U36=0,$F36&lt;&gt;2),0,IF(EZ36&gt;0,EZ36,IF(ROUND(BB36*$J36,6)&lt;ROUND($M36,6),BB36,0)))</f>
        <v/>
      </c>
      <c r="FB36" s="68">
        <f>IF(OR($U36=0,$F36&lt;&gt;2),0,IF(FA36&gt;0,FA36,IF(ROUND(BC36*$J36,6)&lt;ROUND($M36,6),BC36,0)))</f>
        <v/>
      </c>
      <c r="FC36" s="68">
        <f>IF(OR($U36=0,$F36&lt;&gt;2),0,IF(FB36&gt;0,FB36,IF(ROUND(BD36*$J36,6)&lt;ROUND($M36,6),BD36,0)))</f>
        <v/>
      </c>
      <c r="FD36" s="68">
        <f>IF(OR($U36=0,$F36&lt;&gt;2),0,IF(FC36&gt;0,FC36,IF(ROUND(BE36*$J36,6)&lt;ROUND($M36,6),BE36,0)))</f>
        <v/>
      </c>
      <c r="FE36" s="68">
        <f>IF(OR($U36=0,$F36&lt;&gt;2),0,IF(FD36&gt;0,FD36,IF(ROUND(BF36*$J36,6)&lt;ROUND($M36,6),BF36,0)))</f>
        <v/>
      </c>
      <c r="FF36" s="68">
        <f>IF(OR($U36=0,$F36&lt;&gt;2),0,IF(FE36&gt;0,FE36,IF(ROUND(BG36*$J36,6)&lt;ROUND($M36,6),BG36,0)))</f>
        <v/>
      </c>
      <c r="FG36" s="68">
        <f>IF(OR($U36=0,$F36&lt;&gt;2),0,IF(FF36&gt;0,FF36,IF(ROUND(BH36*$J36,6)&lt;ROUND($M36,6),BH36,0)))</f>
        <v/>
      </c>
      <c r="FH36" s="68">
        <f>IF(OR($U36=0,$F36&lt;&gt;2),0,IF(FG36&gt;0,FG36,IF(ROUND(BI36*$J36,6)&lt;ROUND($M36,6),BI36,0)))</f>
        <v/>
      </c>
      <c r="FI36" s="68">
        <f>IF(OR($U36=0,$F36&lt;&gt;2),0,IF(FH36&gt;0,FH36,IF(ROUND(BJ36*$J36,6)&lt;ROUND($M36,6),BJ36,0)))</f>
        <v/>
      </c>
      <c r="FJ36" s="68">
        <f>IF(OR($U36=0,$F36&lt;&gt;2),0,IF(FI36&gt;0,FI36,IF(ROUND(BK36*$J36,6)&lt;ROUND($M36,6),BK36,0)))</f>
        <v/>
      </c>
      <c r="FK36" s="68">
        <f>IF(OR($U36=0,$F36&lt;&gt;2),0,IF(FJ36&gt;0,FJ36,IF(ROUND(BL36*$J36,6)&lt;ROUND($M36,6),BL36,0)))</f>
        <v/>
      </c>
      <c r="FL36" s="68">
        <f>IF(OR($U36=0,$F36&lt;&gt;2),0,IF(FK36&gt;0,FK36,IF(ROUND(BM36*$J36,6)&lt;ROUND($M36,6),BM36,0)))</f>
        <v/>
      </c>
      <c r="FM36" s="68">
        <f>IF(OR($U36=0,$F36&lt;&gt;2),0,IF(FL36&gt;0,FL36,IF(ROUND(BN36*$J36,6)&lt;ROUND($M36,6),BN36,0)))</f>
        <v/>
      </c>
      <c r="FN36" s="68">
        <f>IF(OR($U36=0,$F36&lt;&gt;2),0,IF(FM36&gt;0,FM36,IF(ROUND(BO36*$J36,6)&lt;ROUND($M36,6),BO36,0)))</f>
        <v/>
      </c>
      <c r="FO36" s="68">
        <f>IF(OR($U36=0,$F36&lt;&gt;2),0,IF(FN36&gt;0,FN36,IF(ROUND(BP36*$J36,6)&lt;ROUND($M36,6),BP36,0)))</f>
        <v/>
      </c>
      <c r="FP36" s="68">
        <f>IF(OR($U36=0,$F36&lt;&gt;2),0,IF(FO36&gt;0,FO36,IF(ROUND(BQ36*$J36,6)&lt;ROUND($M36,6),BQ36,0)))</f>
        <v/>
      </c>
      <c r="FQ36" s="68">
        <f>IF(OR($U36=0,$F36&lt;&gt;2),0,IF(FP36&gt;0,FP36,IF(ROUND(BR36*$J36,6)&lt;ROUND($M36,6),BR36,0)))</f>
        <v/>
      </c>
      <c r="FR36" s="68">
        <f>IF(OR($U36=0,$F36&lt;&gt;2),0,IF(FQ36&gt;0,FQ36,IF(ROUND(BS36*$J36,6)&lt;ROUND($M36,6),BS36,0)))</f>
        <v/>
      </c>
      <c r="FS36" s="68">
        <f>IF(OR($U36=0,$F36&lt;&gt;2),0,IF(FR36&gt;0,FR36,IF(ROUND(BT36*$J36,6)&lt;ROUND($M36,6),BT36,0)))</f>
        <v/>
      </c>
      <c r="FT36" s="68">
        <f>IF(OR($U36=0,$F36&lt;&gt;2),0,IF(FS36&gt;0,FS36,IF(ROUND(BU36*$J36,6)&lt;ROUND($M36,6),BU36,0)))</f>
        <v/>
      </c>
      <c r="FU36" s="68">
        <f>IF(OR($U36=0,$F36&lt;&gt;2),0,IF(FT36&gt;0,FT36,IF(ROUND(BV36*$J36,6)&lt;ROUND($M36,6),BV36,0)))</f>
        <v/>
      </c>
      <c r="FV36" s="68">
        <f>IF(OR($U36=0,$F36&lt;&gt;2),0,IF(FU36&gt;0,FU36,IF(ROUND(BW36*$J36,6)&lt;ROUND($M36,6),BW36,0)))</f>
        <v/>
      </c>
      <c r="FW36" s="68">
        <f>IF(OR($U36=0,$F36&lt;&gt;2),0,IF(FV36&gt;0,FV36,IF(ROUND(BX36*$J36,6)&lt;ROUND($M36,6),BX36,0)))</f>
        <v/>
      </c>
      <c r="FX36" s="68">
        <f>IF(OR($U36=0,$F36&lt;&gt;2),0,IF(FW36&gt;0,FW36,IF(ROUND(BY36*$J36,6)&lt;ROUND($M36,6),BY36,0)))</f>
        <v/>
      </c>
      <c r="FY36" s="68">
        <f>IF(OR($U36=0,$F36&lt;&gt;2),0,IF(FX36&gt;0,FX36,IF(ROUND(BZ36*$J36,6)&lt;ROUND($M36,6),BZ36,0)))</f>
        <v/>
      </c>
      <c r="FZ36" s="68">
        <f>IF(OR($U36=0,$F36&lt;&gt;2),0,IF(FY36&gt;0,FY36,IF(ROUND(CA36*$J36,6)&lt;ROUND($M36,6),CA36,0)))</f>
        <v/>
      </c>
      <c r="GA36" s="68">
        <f>IF(OR($U36=0,$F36&lt;&gt;2),0,IF(FZ36&gt;0,FZ36,IF(ROUND(CB36*$J36,6)&lt;ROUND($M36,6),CB36,0)))</f>
        <v/>
      </c>
      <c r="GB36" s="68">
        <f>IF(OR($U36=0,$F36&lt;&gt;2),0,IF(GA36&gt;0,GA36,IF(ROUND(CC36*$J36,6)&lt;ROUND($M36,6),CC36,0)))</f>
        <v/>
      </c>
      <c r="GC36" s="68">
        <f>IF(OR($U36=0,$F36&lt;&gt;2),0,IF(GB36&gt;0,GB36,IF(ROUND(CD36*$J36,6)&lt;ROUND($M36,6),CD36,0)))</f>
        <v/>
      </c>
      <c r="GD36" s="68">
        <f>IF(OR($U36=0,$F36&lt;&gt;2),0,IF(GC36&gt;0,GC36,IF(ROUND(CE36*$J36,6)&lt;ROUND($M36,6),CE36,0)))</f>
        <v/>
      </c>
      <c r="GE36" s="68">
        <f>IF(OR($U36=0,$F36&lt;&gt;2),0,IF(GD36&gt;0,GD36,IF(ROUND(CF36*$J36,6)&lt;ROUND($M36,6),CF36,0)))</f>
        <v/>
      </c>
      <c r="GF36" s="68">
        <f>IF(OR($U36=0,$F36&lt;&gt;2),0,IF(GE36&gt;0,GE36,IF(ROUND(CG36*$J36,6)&lt;ROUND($M36,6),CG36,0)))</f>
        <v/>
      </c>
      <c r="GG36" s="68">
        <f>IF(OR($U36=0,$F36&lt;&gt;2),0,IF(GF36&gt;0,GF36,IF(ROUND(CH36*$J36,6)&lt;ROUND($M36,6),CH36,0)))</f>
        <v/>
      </c>
      <c r="GH36" s="68">
        <f>IF(OR($U36=0,$F36&lt;&gt;2),0,IF(GG36&gt;0,GG36,IF(ROUND(CI36*$J36,6)&lt;ROUND($M36,6),CI36,0)))</f>
        <v/>
      </c>
      <c r="GI36" s="68">
        <f>IF(OR($U36=0,$F36&lt;&gt;2),0,IF(GH36&gt;0,GH36,IF(ROUND(CJ36*$J36,6)&lt;ROUND($M36,6),CJ36,0)))</f>
        <v/>
      </c>
      <c r="GJ36" s="68">
        <f>IF(OR($U36=0,$F36&lt;&gt;2),0,IF(GI36&gt;0,GI36,IF(ROUND(CK36*$J36,6)&lt;ROUND($M36,6),CK36,0)))</f>
        <v/>
      </c>
      <c r="GK36" s="68">
        <f>IF(OR($U36=0,$F36&lt;&gt;2),0,IF(GJ36&gt;0,GJ36,IF(ROUND(CL36*$J36,6)&lt;ROUND($M36,6),CL36,0)))</f>
        <v/>
      </c>
      <c r="GL36" s="68">
        <f>IF(OR($U36=0,$F36&lt;&gt;2),0,IF(GK36&gt;0,GK36,IF(ROUND(CM36*$J36,6)&lt;ROUND($M36,6),CM36,0)))</f>
        <v/>
      </c>
      <c r="GM36" s="68">
        <f>IF(OR($U36=0,$F36&lt;&gt;2),0,IF(GL36&gt;0,GL36,IF(ROUND(CN36*$J36,6)&lt;ROUND($M36,6),CN36,0)))</f>
        <v/>
      </c>
      <c r="GN36" s="68">
        <f>IF(OR($U36=0,$F36&lt;&gt;2),0,IF(GM36&gt;0,GM36,IF(ROUND(CO36*$J36,6)&lt;ROUND($M36,6),CO36,0)))</f>
        <v/>
      </c>
      <c r="GO36" s="68">
        <f>IF(OR($U36=0,$F36&lt;&gt;2),0,IF(GN36&gt;0,GN36,IF(ROUND(CP36*$J36,6)&lt;ROUND($M36,6),CP36,0)))</f>
        <v/>
      </c>
      <c r="GP36" s="68">
        <f>IF(OR($U36=0,$F36&lt;&gt;2),0,IF(GO36&gt;0,GO36,IF(ROUND(CQ36*$J36,6)&lt;ROUND($M36,6),CQ36,0)))</f>
        <v/>
      </c>
      <c r="GQ36" s="68">
        <f>IF(OR($U36=0,$F36&lt;&gt;2),0,IF(GP36&gt;0,GP36,IF(ROUND(CR36*$J36,6)&lt;ROUND($M36,6),CR36,0)))</f>
        <v/>
      </c>
      <c r="GR36" s="68">
        <f>IF(OR($U36=0,$F36&lt;&gt;2),0,IF(GQ36&gt;0,GQ36,IF(ROUND(CS36*$J36,6)&lt;ROUND($M36,6),CS36,0)))</f>
        <v/>
      </c>
      <c r="GS36" s="68">
        <f>IF(OR($U36=0,$F36&lt;&gt;2),0,IF(GR36&gt;0,GR36,IF(ROUND(CT36*$J36,6)&lt;ROUND($M36,6),CT36,0)))</f>
        <v/>
      </c>
      <c r="GT36" s="68">
        <f>IF(OR($U36=0,$F36&lt;&gt;2),0,IF(GS36&gt;0,GS36,IF(ROUND(CU36*$J36,6)&lt;ROUND($M36,6),CU36,0)))</f>
        <v/>
      </c>
      <c r="GU36" s="68">
        <f>IF(OR($U36=0,$F36&lt;&gt;2),0,IF(GT36&gt;0,GT36,IF(ROUND(CV36*$J36,6)&lt;ROUND($M36,6),CV36,0)))</f>
        <v/>
      </c>
      <c r="GV36" s="68">
        <f>IF(OR($U36=0,$F36&lt;&gt;2),0,IF(GU36&gt;0,GU36,IF(ROUND(CW36*$J36,6)&lt;ROUND($M36,6),CW36,0)))</f>
        <v/>
      </c>
      <c r="GW36" s="68">
        <f>IF(OR($U36=0,$F36&lt;&gt;2),0,IF(GV36&gt;0,GV36,IF(ROUND(CX36*$J36,6)&lt;ROUND($M36,6),CX36,0)))</f>
        <v/>
      </c>
      <c r="GX36" s="68">
        <f>IF(OR($U36=0,$F36&lt;&gt;2),0,IF(GW36&gt;0,GW36,IF(ROUND(CY36*$J36,6)&lt;ROUND($M36,6),CY36,0)))</f>
        <v/>
      </c>
      <c r="GY36" s="68">
        <f>IF(OR($U36=0,$F36&lt;&gt;2),0,IF(GX36&gt;0,GX36,IF(ROUND(CZ36*$J36,6)&lt;ROUND($M36,6),CZ36,0)))</f>
        <v/>
      </c>
      <c r="GZ36" s="68">
        <f>IF(OR($U36=0,$F36&lt;&gt;2),0,IF(GY36&gt;0,GY36,IF(ROUND(DA36*$J36,6)&lt;ROUND($M36,6),DA36,0)))</f>
        <v/>
      </c>
      <c r="HA36" s="68">
        <f>IF(OR($U36=0,$F36&lt;&gt;2),0,IF(GZ36&gt;0,GZ36,IF(ROUND(DB36*$J36,6)&lt;ROUND($M36,6),DB36,0)))</f>
        <v/>
      </c>
      <c r="HB36" s="68">
        <f>IF(OR($U36=0,$F36&lt;&gt;2),0,IF(HA36&gt;0,HA36,IF(ROUND(DC36*$J36,6)&lt;ROUND($M36,6),DC36,0)))</f>
        <v/>
      </c>
      <c r="HC36" s="68">
        <f>IF(OR($U36=0,$F36&lt;&gt;2),0,IF(HB36&gt;0,HB36,IF(ROUND(DD36*$J36,6)&lt;ROUND($M36,6),DD36,0)))</f>
        <v/>
      </c>
      <c r="HD36" s="68">
        <f>IF(OR($U36=0,$F36&lt;&gt;2),0,IF(HC36&gt;0,HC36,IF(ROUND(DE36*$J36,6)&lt;ROUND($M36,6),DE36,0)))</f>
        <v/>
      </c>
      <c r="HE36" s="68">
        <f>IF(OR($U36=0,$F36&lt;&gt;2),0,IF(HD36&gt;0,HD36,IF(ROUND(DF36*$J36,6)&lt;ROUND($M36,6),DF36,0)))</f>
        <v/>
      </c>
      <c r="HF36" s="68">
        <f>IF(OR($U36=0,$F36&lt;&gt;2),0,IF(HE36&gt;0,HE36,IF(ROUND(DG36*$J36,6)&lt;ROUND($M36,6),DG36,0)))</f>
        <v/>
      </c>
      <c r="HG36" s="68">
        <f>IF(OR($U36=0,$F36&lt;&gt;2),0,IF(HF36&gt;0,HF36,IF(ROUND(DH36*$J36,6)&lt;ROUND($M36,6),DH36,0)))</f>
        <v/>
      </c>
      <c r="HH36" s="68">
        <f>IF(OR($U36=0,$F36&lt;&gt;2),0,IF(HG36&gt;0,HG36,IF(ROUND(DI36*$J36,6)&lt;ROUND($M36,6),DI36,0)))</f>
        <v/>
      </c>
      <c r="HI36" s="68">
        <f>IF(OR($U36=0,$F36&lt;&gt;2),0,IF(HH36&gt;0,HH36,IF(ROUND(DJ36*$J36,6)&lt;ROUND($M36,6),DJ36,0)))</f>
        <v/>
      </c>
      <c r="HJ36" s="68">
        <f>IF(OR($U36=0,$F36&lt;&gt;2),0,IF(HI36&gt;0,HI36,IF(ROUND(DK36*$J36,6)&lt;ROUND($M36,6),DK36,0)))</f>
        <v/>
      </c>
      <c r="HK36" s="68">
        <f>IF(OR($U36=0,$F36&lt;&gt;2),0,IF(HJ36&gt;0,HJ36,IF(ROUND(DL36*$J36,6)&lt;ROUND($M36,6),DL36,0)))</f>
        <v/>
      </c>
      <c r="HL36" s="68">
        <f>IF(OR($U36=0,$F36&lt;&gt;2),0,IF(HK36&gt;0,HK36,IF(ROUND(DM36*$J36,6)&lt;ROUND($M36,6),DM36,0)))</f>
        <v/>
      </c>
      <c r="HM36" s="68">
        <f>IF(OR($U36=0,$F36&lt;&gt;2),0,IF(HL36&gt;0,HL36,IF(ROUND(DN36*$J36,6)&lt;ROUND($M36,6),DN36,0)))</f>
        <v/>
      </c>
      <c r="HN36" s="68">
        <f>IF(OR($U36=0,$F36&lt;&gt;2),0,IF(HM36&gt;0,HM36,IF(ROUND(DO36*$J36,6)&lt;ROUND($M36,6),DO36,0)))</f>
        <v/>
      </c>
      <c r="HO36" s="68">
        <f>IF(OR($U36=0,$F36&lt;&gt;2),0,IF(HN36&gt;0,HN36,IF(ROUND(DP36*$J36,6)&lt;ROUND($M36,6),DP36,0)))</f>
        <v/>
      </c>
      <c r="HP36" s="68">
        <f>IF(OR($U36=0,$F36&lt;&gt;2),0,IF(HO36&gt;0,HO36,IF(ROUND(DQ36*$J36,6)&lt;ROUND($M36,6),DQ36,0)))</f>
        <v/>
      </c>
      <c r="HQ36" s="68">
        <f>IF(OR($U36=0,$F36&lt;&gt;2),0,IF(HP36&gt;0,HP36,IF(ROUND(DR36*$J36,6)&lt;ROUND($M36,6),DR36,0)))</f>
        <v/>
      </c>
      <c r="HR36" s="68">
        <f>IF(OR($U36=0,$F36&lt;&gt;2),0,IF(HQ36&gt;0,HQ36,IF(ROUND(DS36*$J36,6)&lt;ROUND($M36,6),DS36,0)))</f>
        <v/>
      </c>
      <c r="HS36" s="68">
        <f>IF(OR($U36=0,$F36&lt;&gt;2),0,IF(HR36&gt;0,HR36,IF(ROUND(DT36*$J36,6)&lt;ROUND($M36,6),DT36,0)))</f>
        <v/>
      </c>
      <c r="HT36" s="68">
        <f>IF(OR($U36=0,$F36&lt;&gt;2),0,IF(HS36&gt;0,HS36,IF(ROUND(DU36*$J36,6)&lt;ROUND($M36,6),DU36,0)))</f>
        <v/>
      </c>
      <c r="HU36" s="68">
        <f>IF(OR($U36=0,$F36&lt;&gt;2),0,IF(HT36&gt;0,HT36,IF(ROUND(DV36*$J36,6)&lt;ROUND($M36,6),DV36,0)))</f>
        <v/>
      </c>
      <c r="HV36" s="68">
        <f>IF(OR($U36=0,$F36&lt;&gt;2),0,IF(HU36&gt;0,HU36,IF(ROUND(DW36*$J36,6)&lt;ROUND($M36,6),DW36,0)))</f>
        <v/>
      </c>
      <c r="HW36" s="68">
        <f>IF(OR($U36=0,$F36&lt;&gt;2),0,IF(HV36&gt;0,HV36,IF(ROUND(DX36*$J36,6)&lt;ROUND($M36,6),DX36,0)))</f>
        <v/>
      </c>
      <c r="HX36" s="68">
        <f>IF(OR($U36=0,$F36&lt;&gt;2),0,IF(HW36&gt;0,HW36,IF(ROUND(DY36*$J36,6)&lt;ROUND($M36,6),DY36,0)))</f>
        <v/>
      </c>
      <c r="HY36" s="68">
        <f>IF(OR($U36=0,$F36&lt;&gt;2),0,IF(HX36&gt;0,HX36,IF(ROUND(DZ36*$J36,6)&lt;ROUND($M36,6),DZ36,0)))</f>
        <v/>
      </c>
      <c r="HZ36" s="68">
        <f>IF(OR($U36=0,$F36&lt;&gt;2),0,IF(HY36&gt;0,HY36,IF(ROUND(EA36*$J36,6)&lt;ROUND($M36,6),EA36,0)))</f>
        <v/>
      </c>
      <c r="IA36" s="68">
        <f>IF(OR($U36=0,$F36&lt;&gt;2),0,IF(HZ36&gt;0,HZ36,IF(ROUND(EB36*$J36,6)&lt;ROUND($M36,6),EB36,0)))</f>
        <v/>
      </c>
      <c r="IB36" s="68">
        <f>IF(OR($U36=0,$F36&lt;&gt;2),0,IF(IA36&gt;0,IA36,IF(ROUND(EC36*$J36,6)&lt;ROUND($M36,6),EC36,0)))</f>
        <v/>
      </c>
      <c r="IC36" s="68">
        <f>IF(OR($U36=0,$F36&lt;&gt;2),0,IF(IB36&gt;0,IB36,IF(ROUND(ED36*$J36,6)&lt;ROUND($M36,6),ED36,0)))</f>
        <v/>
      </c>
      <c r="ID36" s="68">
        <f>IF(OR($U36=0,$F36&lt;&gt;2),0,IF(IC36&gt;0,IC36,IF(ROUND(EE36*$J36,6)&lt;ROUND($M36,6),EE36,0)))</f>
        <v/>
      </c>
      <c r="IE36" s="68">
        <f>IF(OR($U36=0,$F36&lt;&gt;2),0,IF(ID36&gt;0,ID36,IF(ROUND(EF36*$J36,6)&lt;ROUND($M36,6),EF36,0)))</f>
        <v/>
      </c>
      <c r="IF36" s="68">
        <f>IF(OR($U36=0,$F36&lt;&gt;2),0,IF(IE36&gt;0,IE36,IF(ROUND(EG36*$J36,6)&lt;ROUND($M36,6),EG36,0)))</f>
        <v/>
      </c>
      <c r="IG36" s="68">
        <f>IF(OR($U36=0,$F36&lt;&gt;2),0,IF(IF36&gt;0,IF36,IF(ROUND(EH36*$J36,6)&lt;ROUND($M36,6),EH36,0)))</f>
        <v/>
      </c>
      <c r="IH36" s="68">
        <f>IF(OR($U36=0,$F36&lt;&gt;2),0,IF(IG36&gt;0,IG36,IF(ROUND(EI36*$J36,6)&lt;ROUND($M36,6),EI36,0)))</f>
        <v/>
      </c>
      <c r="II36" s="68">
        <f>IF(OR($U36=0,$F36&lt;&gt;2),0,IF(IH36&gt;0,IH36,IF(ROUND(EJ36*$J36,6)&lt;ROUND($M36,6),EJ36,0)))</f>
        <v/>
      </c>
      <c r="IJ36" s="68">
        <f>IF(OR($U36=0,$F36&lt;&gt;2),0,IF(II36&gt;0,II36,IF(ROUND(EK36*$J36,6)&lt;ROUND($M36,6),EK36,0)))</f>
        <v/>
      </c>
      <c r="IK36" s="68">
        <f>IF(OR($U36=0,$F36&lt;&gt;2),0,IF(IJ36&gt;0,IJ36,IF(ROUND(EL36*$J36,6)&lt;ROUND($M36,6),EL36,0)))</f>
        <v/>
      </c>
      <c r="IL36" s="68">
        <f>IF(OR($U36=0,$F36&lt;&gt;2),0,IF(IK36&gt;0,IK36,IF(ROUND(EM36*$J36,6)&lt;ROUND($M36,6),EM36,0)))</f>
        <v/>
      </c>
      <c r="IM36" s="68">
        <f>IF(OR($U36=0,$F36&lt;&gt;2),0,IF(IL36&gt;0,IL36,IF(ROUND(EN36*$J36,6)&lt;ROUND($M36,6),EN36,0)))</f>
        <v/>
      </c>
      <c r="IN36" s="68">
        <f>IF(OR($U36=0,$F36&lt;&gt;2),0,IF(IM36&gt;0,IM36,IF(ROUND(EO36*$J36,6)&lt;ROUND($M36,6),EO36,0)))</f>
        <v/>
      </c>
    </row>
    <row r="37">
      <c r="A37" s="68" t="n">
        <v>32</v>
      </c>
      <c r="B37" s="68">
        <f>IF(OR(TRIM('固定資産台帳'!$B37)&lt;&gt;"",'固定資産台帳'!$E37&lt;&gt;"",'固定資産台帳'!$G37&lt;&gt;"",'固定資産台帳'!$H37&lt;&gt;""),1,0)</f>
        <v/>
      </c>
      <c r="C37" s="68">
        <f>IF(ISNUMBER('固定資産台帳'!$G37),MAX(ROUND('固定資産台帳'!$G37,0),0),0)</f>
        <v/>
      </c>
      <c r="D37" s="84">
        <f>IF(ISNUMBER('固定資産台帳'!$E37),INT('固定資産台帳'!$E37),0)</f>
        <v/>
      </c>
      <c r="E37" s="84">
        <f>IF(ISNUMBER('固定資産台帳'!$F37),INT('固定資産台帳'!$F37),$D37)</f>
        <v/>
      </c>
      <c r="F37" s="68">
        <f>IF('固定資産台帳'!$H37="定額法",1,IF(OR('固定資産台帳'!$H37="定率法",'固定資産台帳'!$H37="定率法（200%）",'固定資産台帳'!$H37="定率法（250%）"),2,IF('固定資産台帳'!$H37="一括償却（3年）",3,IF('固定資産台帳'!$H37="少額特例",4,0))))</f>
        <v/>
      </c>
      <c r="G37" s="68">
        <f>IF('固定資産台帳'!$H37="定率法（250%）",250,IF('固定資産台帳'!$H37="定率法（200%）",200,IF($D37&gt;=DATE(2012,4,1),200,250)))</f>
        <v/>
      </c>
      <c r="H37" s="68">
        <f>IF(ISNUMBER('固定資産台帳'!$I37),IF(AND('固定資産台帳'!$I37&gt;=2,'固定資産台帳'!$I37&lt;=100,'固定資産台帳'!$I37=INT('固定資産台帳'!$I37)),'固定資産台帳'!$I37,0),0)</f>
        <v/>
      </c>
      <c r="I37" s="68">
        <f>IF('固定資産台帳'!$C37="無形固定資産",0,1)</f>
        <v/>
      </c>
      <c r="J37" s="68">
        <f>IF(OR($H37=0,$F37=0,$F37&gt;2),0,IF($F37=1,INDEX('償却率表'!$B$6:$B$104,$H37-1),IF($G37=200,INDEX('償却率表'!$C$6:$C$104,$H37-1),INDEX('償却率表'!$F$6:$F$104,$H37-1))))</f>
        <v/>
      </c>
      <c r="K37" s="68">
        <f>IF(AND($F37=2,$H37&gt;0),IF($G37=200,INDEX('償却率表'!$D$6:$D$104,$H37-1),INDEX('償却率表'!$G$6:$G$104,$H37-1)),0)</f>
        <v/>
      </c>
      <c r="L37" s="68">
        <f>IF(AND($F37=2,$H37&gt;0),IF($G37=200,INDEX('償却率表'!$E$6:$E$104,$H37-1),INDEX('償却率表'!$H$6:$H$104,$H37-1)),0)</f>
        <v/>
      </c>
      <c r="M37" s="68">
        <f>$C37*$L37</f>
        <v/>
      </c>
      <c r="N37" s="68">
        <f>IF($B$1=1,1,IF('固定資産台帳'!$J37="",1,IF(ISNUMBER('固定資産台帳'!$J37),IF(AND('固定資産台帳'!$J37&gt;0,'固定資産台帳'!$J37&lt;=1),'固定資産台帳'!$J37,0),0)))</f>
        <v/>
      </c>
      <c r="O37" s="68">
        <f>IF($E37=0,0,YEAR($E37)-IF(MONTH($E37)&lt;$B$2,1,0))</f>
        <v/>
      </c>
      <c r="P37" s="68">
        <f>IF($E37=0,0,12-MOD(MONTH($E37)-$B$2,12))</f>
        <v/>
      </c>
      <c r="Q37" s="84">
        <f>IF(ISNUMBER('固定資産台帳'!$K37),INT('固定資産台帳'!$K37),0)</f>
        <v/>
      </c>
      <c r="R37" s="68">
        <f>IF(OR($Q37=0,$E37=0),999,YEAR($Q37)-IF(MONTH($Q37)&lt;$B$2,1,0)-$O37)</f>
        <v/>
      </c>
      <c r="S37" s="68">
        <f>IF($R37=999,0,MOD(MONTH($Q37)-$B$2,12)+1-IF($R37=0,12-$P37,0))</f>
        <v/>
      </c>
      <c r="T37" s="68">
        <f>IF($B37=0,0,IF($C37&lt;=0,1,IF($D37=0,2,IF($F37=0,3,IF(AND($F37&lt;=2,$H37=0),4,IF(AND($F37&lt;=2,$D37&lt;DATE(2007,4,1)),5,IF($E37&lt;$D37,6,IF(AND($Q37&gt;0,$Q37&lt;$E37),7,IF($N37=0,8,IF($B$3=0,9,0))))))))))</f>
        <v/>
      </c>
      <c r="U37" s="68">
        <f>IF(AND($B37=1,$T37=0),1,0)</f>
        <v/>
      </c>
      <c r="V37" s="68">
        <f>$B$3-$O37</f>
        <v/>
      </c>
      <c r="W37" s="68">
        <f>IF(AND($U37=1,$V37&gt;=0),1,0)</f>
        <v/>
      </c>
      <c r="X37" s="68">
        <f>IF($W37=0,0,IF($V37=0,$C37,INDEX($AS37:$EP37,MIN($V37,102))))</f>
        <v/>
      </c>
      <c r="Y37" s="68">
        <f>IF($W37=0,0,INDEX($AS37:$EP37,MIN($V37,101)+1))</f>
        <v/>
      </c>
      <c r="Z37" s="68">
        <f>$X37-$Y37</f>
        <v/>
      </c>
      <c r="AA37" s="68">
        <f>IF(AND($W37=1,$F37=2,$V37&gt;=1),INDEX($ER37:$IN37,MIN($V37,101)),0)</f>
        <v/>
      </c>
      <c r="AB37" s="68">
        <f>IF(OR($W37=0,$F37&gt;2,$Z37=0),0,IF($V37=0,IF($R37=0,$S37,$P37),IF($V37=$R37,$S37,12)))</f>
        <v/>
      </c>
      <c r="AC37" s="68">
        <f>IF($W37=0,0,INT(ROUND($Z37*$N37,6)+$B$4))</f>
        <v/>
      </c>
      <c r="AD37" s="68">
        <f>IF(AND($W37=1,$F37&lt;=2,$V37=$R37),1,0)</f>
        <v/>
      </c>
      <c r="AE37" s="68">
        <f>IF(AND($W37=1,$F37&lt;=2,$V37&gt;$R37),1,0)</f>
        <v/>
      </c>
      <c r="AF37" s="68">
        <f>IF(AND($W37=1,$AE37=0,OR($Z37&gt;0,$AD37=1)),1,0)</f>
        <v/>
      </c>
      <c r="AG37" s="68">
        <f>IF($AF37=1,SUM($AF$6:$AF37),0)</f>
        <v/>
      </c>
      <c r="AH37" s="68">
        <f>IF($T37=0,"",CHOOSE($T37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37" s="68">
        <f>IF(AND($F37=2,OR('固定資産台帳'!$C37="建物",'固定資産台帳'!$C37="無形固定資産",AND(OR('固定資産台帳'!$C37="建物附属設備",'固定資産台帳'!$C37="構築物"),$D37&gt;=DATE(2016,4,1)))),"この資産は定額法だけです（定率法は使えません）。","")&amp;IF(AND($F37=3,$C37&gt;=200000),"一括償却は20万円未満の資産だけです。","")&amp;IF(AND($F37=3,$B$1=0,$C37&lt;100000),"10万円未満は一括償却にせず、全額をその年の経費にします。","")&amp;IF(AND($F37=4,$C37&lt;100000),"10万円未満は少額特例ではなく、全額をその年の経費にします。","")&amp;IF(AND($F37=4,$D37&lt;DATE(2026,4,1),$C37&gt;=300000),"2026年3月31日までの取得で少額特例が使えるのは30万円未満です。","")&amp;IF(AND($F37=4,$D37&gt;=DATE(2026,4,1),$C37&gt;=400000),"少額特例は40万円未満の資産だけです。","")&amp;IF(AND($F37=4,OR($D37&lt;DATE(2006,4,1),$D37&gt;DATE(2029,3,31))),"少額特例は2006年4月1日〜2029年3月31日に取得した資産だけです。","")&amp;IF(AND($F37=2,$G37=250,$D37&gt;DATE(2012,12,31)),"250%定率法は2012年12月31日までの取得だけです。","")</f>
        <v/>
      </c>
      <c r="AJ37" s="68">
        <f>IF(AND($F37=2,'固定資産台帳'!$H37="定率法（200%）",$D37&lt;DATE(2012,4,1)),"2012年3月31日までの取得に200%を使うのは、経過措置の届出をした場合です。","")&amp;IF(AND($F37=2,'固定資産台帳'!$H37="定率法（250%）",$D37&gt;=DATE(2012,4,1),$D37&lt;=DATE(2012,12,31)),"2012年4〜12月の取得に250%を使うのは、経過措置を選んだ場合です。","")</f>
        <v/>
      </c>
      <c r="AK37" s="68">
        <f>IF($U37=0,"",IF($V37&lt;0,"表示している年より後に使い始める資産です。",IF($AE37=1,"売却・除却済みです。",IF($AD37=1,"この年に売却・除却。期末の帳簿価額 "&amp;TEXT($Y37,"#,##0")&amp;"円を帳簿から外します。",IF($F37=4,IF($V37=0,"少額特例：この年に全額を経費にします。","少額特例で経費にした資産です。"),IF($F37=3,IF($V37&gt;2,"一括償却は終わっています。","一括償却 "&amp;($V37+1)&amp;"年目（3年のうち）。"),IF($Z37=0,"償却済み（帳簿価額 "&amp;TEXT($Y37,"#,##0")&amp;"円）。",IF($AA37&gt;0,"改定償却率で計算（改定取得価額 "&amp;TEXT($AA37,"#,##0")&amp;"円）。",IF($V37=0,"この年に使い始め（"&amp;$AB37&amp;"か月分）。","")))))))))</f>
        <v/>
      </c>
      <c r="AL37" s="68">
        <f>IF(AND($U37=1,$F37=4,$V37=0),$C37,0)</f>
        <v/>
      </c>
      <c r="AM37" s="68">
        <f>IF($F37=2,INT(ROUND($M37,6)+$B$4),0)</f>
        <v/>
      </c>
      <c r="AN37" s="68">
        <f>IF($W37=0,0,IF($F37=2,IF($AA37&gt;0,$AA37,$X37),$C37))</f>
        <v/>
      </c>
      <c r="AO37" s="68">
        <f>IF($W37=0,"",IF($F37=3,"1/3",IF($F37=4,"―",IF($AA37&gt;0,$K37,$J37))))</f>
        <v/>
      </c>
      <c r="AP37" s="68" t="n"/>
      <c r="AQ37" s="68" t="n"/>
      <c r="AR37" s="68" t="n"/>
      <c r="AS37" s="68">
        <f>IF($U37=0,0,IF($F37=4,0,IF($F37=3,MAX($C37-INT(ROUND($C37/3,6)+$B$4),0),$C37-MIN(INT(ROUND($C37*$J37*IF($R37=0,$S37,$P37)/12,6)+$B$4),MAX($C37-$I37,0)))))</f>
        <v/>
      </c>
      <c r="AT37" s="68">
        <f>IF($U37=0,0,IF($F37=4,0,IF($F37=3,AS37-MIN(INT(ROUND($C37/3,6)+$B$4),AS37),IF(OR(1&gt;$R37,AS37&lt;=$I37),AS37,AS37-MIN(INT(ROUND(IF($F37=1,$C37*$J37,IF(ER37&gt;0,ER37*$K37,AS37*$J37))*IF(1=$R37,$S37,12)/12,6)+$B$4),AS37-$I37)))))</f>
        <v/>
      </c>
      <c r="AU37" s="68">
        <f>IF($U37=0,0,IF($F37=4,0,IF($F37=3,0,IF(OR(2&gt;$R37,AT37&lt;=$I37),AT37,AT37-MIN(INT(ROUND(IF($F37=1,$C37*$J37,IF(ES37&gt;0,ES37*$K37,AT37*$J37))*IF(2=$R37,$S37,12)/12,6)+$B$4),AT37-$I37)))))</f>
        <v/>
      </c>
      <c r="AV37" s="68">
        <f>IF($U37=0,0,IF($F37=4,0,IF($F37=3,0,IF(OR(3&gt;$R37,AU37&lt;=$I37),AU37,AU37-MIN(INT(ROUND(IF($F37=1,$C37*$J37,IF(ET37&gt;0,ET37*$K37,AU37*$J37))*IF(3=$R37,$S37,12)/12,6)+$B$4),AU37-$I37)))))</f>
        <v/>
      </c>
      <c r="AW37" s="68">
        <f>IF($U37=0,0,IF($F37=4,0,IF($F37=3,0,IF(OR(4&gt;$R37,AV37&lt;=$I37),AV37,AV37-MIN(INT(ROUND(IF($F37=1,$C37*$J37,IF(EU37&gt;0,EU37*$K37,AV37*$J37))*IF(4=$R37,$S37,12)/12,6)+$B$4),AV37-$I37)))))</f>
        <v/>
      </c>
      <c r="AX37" s="68">
        <f>IF($U37=0,0,IF($F37=4,0,IF($F37=3,0,IF(OR(5&gt;$R37,AW37&lt;=$I37),AW37,AW37-MIN(INT(ROUND(IF($F37=1,$C37*$J37,IF(EV37&gt;0,EV37*$K37,AW37*$J37))*IF(5=$R37,$S37,12)/12,6)+$B$4),AW37-$I37)))))</f>
        <v/>
      </c>
      <c r="AY37" s="68">
        <f>IF($U37=0,0,IF($F37=4,0,IF($F37=3,0,IF(OR(6&gt;$R37,AX37&lt;=$I37),AX37,AX37-MIN(INT(ROUND(IF($F37=1,$C37*$J37,IF(EW37&gt;0,EW37*$K37,AX37*$J37))*IF(6=$R37,$S37,12)/12,6)+$B$4),AX37-$I37)))))</f>
        <v/>
      </c>
      <c r="AZ37" s="68">
        <f>IF($U37=0,0,IF($F37=4,0,IF($F37=3,0,IF(OR(7&gt;$R37,AY37&lt;=$I37),AY37,AY37-MIN(INT(ROUND(IF($F37=1,$C37*$J37,IF(EX37&gt;0,EX37*$K37,AY37*$J37))*IF(7=$R37,$S37,12)/12,6)+$B$4),AY37-$I37)))))</f>
        <v/>
      </c>
      <c r="BA37" s="68">
        <f>IF($U37=0,0,IF($F37=4,0,IF($F37=3,0,IF(OR(8&gt;$R37,AZ37&lt;=$I37),AZ37,AZ37-MIN(INT(ROUND(IF($F37=1,$C37*$J37,IF(EY37&gt;0,EY37*$K37,AZ37*$J37))*IF(8=$R37,$S37,12)/12,6)+$B$4),AZ37-$I37)))))</f>
        <v/>
      </c>
      <c r="BB37" s="68">
        <f>IF($U37=0,0,IF($F37=4,0,IF($F37=3,0,IF(OR(9&gt;$R37,BA37&lt;=$I37),BA37,BA37-MIN(INT(ROUND(IF($F37=1,$C37*$J37,IF(EZ37&gt;0,EZ37*$K37,BA37*$J37))*IF(9=$R37,$S37,12)/12,6)+$B$4),BA37-$I37)))))</f>
        <v/>
      </c>
      <c r="BC37" s="68">
        <f>IF($U37=0,0,IF($F37=4,0,IF($F37=3,0,IF(OR(10&gt;$R37,BB37&lt;=$I37),BB37,BB37-MIN(INT(ROUND(IF($F37=1,$C37*$J37,IF(FA37&gt;0,FA37*$K37,BB37*$J37))*IF(10=$R37,$S37,12)/12,6)+$B$4),BB37-$I37)))))</f>
        <v/>
      </c>
      <c r="BD37" s="68">
        <f>IF($U37=0,0,IF($F37=4,0,IF($F37=3,0,IF(OR(11&gt;$R37,BC37&lt;=$I37),BC37,BC37-MIN(INT(ROUND(IF($F37=1,$C37*$J37,IF(FB37&gt;0,FB37*$K37,BC37*$J37))*IF(11=$R37,$S37,12)/12,6)+$B$4),BC37-$I37)))))</f>
        <v/>
      </c>
      <c r="BE37" s="68">
        <f>IF($U37=0,0,IF($F37=4,0,IF($F37=3,0,IF(OR(12&gt;$R37,BD37&lt;=$I37),BD37,BD37-MIN(INT(ROUND(IF($F37=1,$C37*$J37,IF(FC37&gt;0,FC37*$K37,BD37*$J37))*IF(12=$R37,$S37,12)/12,6)+$B$4),BD37-$I37)))))</f>
        <v/>
      </c>
      <c r="BF37" s="68">
        <f>IF($U37=0,0,IF($F37=4,0,IF($F37=3,0,IF(OR(13&gt;$R37,BE37&lt;=$I37),BE37,BE37-MIN(INT(ROUND(IF($F37=1,$C37*$J37,IF(FD37&gt;0,FD37*$K37,BE37*$J37))*IF(13=$R37,$S37,12)/12,6)+$B$4),BE37-$I37)))))</f>
        <v/>
      </c>
      <c r="BG37" s="68">
        <f>IF($U37=0,0,IF($F37=4,0,IF($F37=3,0,IF(OR(14&gt;$R37,BF37&lt;=$I37),BF37,BF37-MIN(INT(ROUND(IF($F37=1,$C37*$J37,IF(FE37&gt;0,FE37*$K37,BF37*$J37))*IF(14=$R37,$S37,12)/12,6)+$B$4),BF37-$I37)))))</f>
        <v/>
      </c>
      <c r="BH37" s="68">
        <f>IF($U37=0,0,IF($F37=4,0,IF($F37=3,0,IF(OR(15&gt;$R37,BG37&lt;=$I37),BG37,BG37-MIN(INT(ROUND(IF($F37=1,$C37*$J37,IF(FF37&gt;0,FF37*$K37,BG37*$J37))*IF(15=$R37,$S37,12)/12,6)+$B$4),BG37-$I37)))))</f>
        <v/>
      </c>
      <c r="BI37" s="68">
        <f>IF($U37=0,0,IF($F37=4,0,IF($F37=3,0,IF(OR(16&gt;$R37,BH37&lt;=$I37),BH37,BH37-MIN(INT(ROUND(IF($F37=1,$C37*$J37,IF(FG37&gt;0,FG37*$K37,BH37*$J37))*IF(16=$R37,$S37,12)/12,6)+$B$4),BH37-$I37)))))</f>
        <v/>
      </c>
      <c r="BJ37" s="68">
        <f>IF($U37=0,0,IF($F37=4,0,IF($F37=3,0,IF(OR(17&gt;$R37,BI37&lt;=$I37),BI37,BI37-MIN(INT(ROUND(IF($F37=1,$C37*$J37,IF(FH37&gt;0,FH37*$K37,BI37*$J37))*IF(17=$R37,$S37,12)/12,6)+$B$4),BI37-$I37)))))</f>
        <v/>
      </c>
      <c r="BK37" s="68">
        <f>IF($U37=0,0,IF($F37=4,0,IF($F37=3,0,IF(OR(18&gt;$R37,BJ37&lt;=$I37),BJ37,BJ37-MIN(INT(ROUND(IF($F37=1,$C37*$J37,IF(FI37&gt;0,FI37*$K37,BJ37*$J37))*IF(18=$R37,$S37,12)/12,6)+$B$4),BJ37-$I37)))))</f>
        <v/>
      </c>
      <c r="BL37" s="68">
        <f>IF($U37=0,0,IF($F37=4,0,IF($F37=3,0,IF(OR(19&gt;$R37,BK37&lt;=$I37),BK37,BK37-MIN(INT(ROUND(IF($F37=1,$C37*$J37,IF(FJ37&gt;0,FJ37*$K37,BK37*$J37))*IF(19=$R37,$S37,12)/12,6)+$B$4),BK37-$I37)))))</f>
        <v/>
      </c>
      <c r="BM37" s="68">
        <f>IF($U37=0,0,IF($F37=4,0,IF($F37=3,0,IF(OR(20&gt;$R37,BL37&lt;=$I37),BL37,BL37-MIN(INT(ROUND(IF($F37=1,$C37*$J37,IF(FK37&gt;0,FK37*$K37,BL37*$J37))*IF(20=$R37,$S37,12)/12,6)+$B$4),BL37-$I37)))))</f>
        <v/>
      </c>
      <c r="BN37" s="68">
        <f>IF($U37=0,0,IF($F37=4,0,IF($F37=3,0,IF(OR(21&gt;$R37,BM37&lt;=$I37),BM37,BM37-MIN(INT(ROUND(IF($F37=1,$C37*$J37,IF(FL37&gt;0,FL37*$K37,BM37*$J37))*IF(21=$R37,$S37,12)/12,6)+$B$4),BM37-$I37)))))</f>
        <v/>
      </c>
      <c r="BO37" s="68">
        <f>IF($U37=0,0,IF($F37=4,0,IF($F37=3,0,IF(OR(22&gt;$R37,BN37&lt;=$I37),BN37,BN37-MIN(INT(ROUND(IF($F37=1,$C37*$J37,IF(FM37&gt;0,FM37*$K37,BN37*$J37))*IF(22=$R37,$S37,12)/12,6)+$B$4),BN37-$I37)))))</f>
        <v/>
      </c>
      <c r="BP37" s="68">
        <f>IF($U37=0,0,IF($F37=4,0,IF($F37=3,0,IF(OR(23&gt;$R37,BO37&lt;=$I37),BO37,BO37-MIN(INT(ROUND(IF($F37=1,$C37*$J37,IF(FN37&gt;0,FN37*$K37,BO37*$J37))*IF(23=$R37,$S37,12)/12,6)+$B$4),BO37-$I37)))))</f>
        <v/>
      </c>
      <c r="BQ37" s="68">
        <f>IF($U37=0,0,IF($F37=4,0,IF($F37=3,0,IF(OR(24&gt;$R37,BP37&lt;=$I37),BP37,BP37-MIN(INT(ROUND(IF($F37=1,$C37*$J37,IF(FO37&gt;0,FO37*$K37,BP37*$J37))*IF(24=$R37,$S37,12)/12,6)+$B$4),BP37-$I37)))))</f>
        <v/>
      </c>
      <c r="BR37" s="68">
        <f>IF($U37=0,0,IF($F37=4,0,IF($F37=3,0,IF(OR(25&gt;$R37,BQ37&lt;=$I37),BQ37,BQ37-MIN(INT(ROUND(IF($F37=1,$C37*$J37,IF(FP37&gt;0,FP37*$K37,BQ37*$J37))*IF(25=$R37,$S37,12)/12,6)+$B$4),BQ37-$I37)))))</f>
        <v/>
      </c>
      <c r="BS37" s="68">
        <f>IF($U37=0,0,IF($F37=4,0,IF($F37=3,0,IF(OR(26&gt;$R37,BR37&lt;=$I37),BR37,BR37-MIN(INT(ROUND(IF($F37=1,$C37*$J37,IF(FQ37&gt;0,FQ37*$K37,BR37*$J37))*IF(26=$R37,$S37,12)/12,6)+$B$4),BR37-$I37)))))</f>
        <v/>
      </c>
      <c r="BT37" s="68">
        <f>IF($U37=0,0,IF($F37=4,0,IF($F37=3,0,IF(OR(27&gt;$R37,BS37&lt;=$I37),BS37,BS37-MIN(INT(ROUND(IF($F37=1,$C37*$J37,IF(FR37&gt;0,FR37*$K37,BS37*$J37))*IF(27=$R37,$S37,12)/12,6)+$B$4),BS37-$I37)))))</f>
        <v/>
      </c>
      <c r="BU37" s="68">
        <f>IF($U37=0,0,IF($F37=4,0,IF($F37=3,0,IF(OR(28&gt;$R37,BT37&lt;=$I37),BT37,BT37-MIN(INT(ROUND(IF($F37=1,$C37*$J37,IF(FS37&gt;0,FS37*$K37,BT37*$J37))*IF(28=$R37,$S37,12)/12,6)+$B$4),BT37-$I37)))))</f>
        <v/>
      </c>
      <c r="BV37" s="68">
        <f>IF($U37=0,0,IF($F37=4,0,IF($F37=3,0,IF(OR(29&gt;$R37,BU37&lt;=$I37),BU37,BU37-MIN(INT(ROUND(IF($F37=1,$C37*$J37,IF(FT37&gt;0,FT37*$K37,BU37*$J37))*IF(29=$R37,$S37,12)/12,6)+$B$4),BU37-$I37)))))</f>
        <v/>
      </c>
      <c r="BW37" s="68">
        <f>IF($U37=0,0,IF($F37=4,0,IF($F37=3,0,IF(OR(30&gt;$R37,BV37&lt;=$I37),BV37,BV37-MIN(INT(ROUND(IF($F37=1,$C37*$J37,IF(FU37&gt;0,FU37*$K37,BV37*$J37))*IF(30=$R37,$S37,12)/12,6)+$B$4),BV37-$I37)))))</f>
        <v/>
      </c>
      <c r="BX37" s="68">
        <f>IF($U37=0,0,IF($F37=4,0,IF($F37=3,0,IF(OR(31&gt;$R37,BW37&lt;=$I37),BW37,BW37-MIN(INT(ROUND(IF($F37=1,$C37*$J37,IF(FV37&gt;0,FV37*$K37,BW37*$J37))*IF(31=$R37,$S37,12)/12,6)+$B$4),BW37-$I37)))))</f>
        <v/>
      </c>
      <c r="BY37" s="68">
        <f>IF($U37=0,0,IF($F37=4,0,IF($F37=3,0,IF(OR(32&gt;$R37,BX37&lt;=$I37),BX37,BX37-MIN(INT(ROUND(IF($F37=1,$C37*$J37,IF(FW37&gt;0,FW37*$K37,BX37*$J37))*IF(32=$R37,$S37,12)/12,6)+$B$4),BX37-$I37)))))</f>
        <v/>
      </c>
      <c r="BZ37" s="68">
        <f>IF($U37=0,0,IF($F37=4,0,IF($F37=3,0,IF(OR(33&gt;$R37,BY37&lt;=$I37),BY37,BY37-MIN(INT(ROUND(IF($F37=1,$C37*$J37,IF(FX37&gt;0,FX37*$K37,BY37*$J37))*IF(33=$R37,$S37,12)/12,6)+$B$4),BY37-$I37)))))</f>
        <v/>
      </c>
      <c r="CA37" s="68">
        <f>IF($U37=0,0,IF($F37=4,0,IF($F37=3,0,IF(OR(34&gt;$R37,BZ37&lt;=$I37),BZ37,BZ37-MIN(INT(ROUND(IF($F37=1,$C37*$J37,IF(FY37&gt;0,FY37*$K37,BZ37*$J37))*IF(34=$R37,$S37,12)/12,6)+$B$4),BZ37-$I37)))))</f>
        <v/>
      </c>
      <c r="CB37" s="68">
        <f>IF($U37=0,0,IF($F37=4,0,IF($F37=3,0,IF(OR(35&gt;$R37,CA37&lt;=$I37),CA37,CA37-MIN(INT(ROUND(IF($F37=1,$C37*$J37,IF(FZ37&gt;0,FZ37*$K37,CA37*$J37))*IF(35=$R37,$S37,12)/12,6)+$B$4),CA37-$I37)))))</f>
        <v/>
      </c>
      <c r="CC37" s="68">
        <f>IF($U37=0,0,IF($F37=4,0,IF($F37=3,0,IF(OR(36&gt;$R37,CB37&lt;=$I37),CB37,CB37-MIN(INT(ROUND(IF($F37=1,$C37*$J37,IF(GA37&gt;0,GA37*$K37,CB37*$J37))*IF(36=$R37,$S37,12)/12,6)+$B$4),CB37-$I37)))))</f>
        <v/>
      </c>
      <c r="CD37" s="68">
        <f>IF($U37=0,0,IF($F37=4,0,IF($F37=3,0,IF(OR(37&gt;$R37,CC37&lt;=$I37),CC37,CC37-MIN(INT(ROUND(IF($F37=1,$C37*$J37,IF(GB37&gt;0,GB37*$K37,CC37*$J37))*IF(37=$R37,$S37,12)/12,6)+$B$4),CC37-$I37)))))</f>
        <v/>
      </c>
      <c r="CE37" s="68">
        <f>IF($U37=0,0,IF($F37=4,0,IF($F37=3,0,IF(OR(38&gt;$R37,CD37&lt;=$I37),CD37,CD37-MIN(INT(ROUND(IF($F37=1,$C37*$J37,IF(GC37&gt;0,GC37*$K37,CD37*$J37))*IF(38=$R37,$S37,12)/12,6)+$B$4),CD37-$I37)))))</f>
        <v/>
      </c>
      <c r="CF37" s="68">
        <f>IF($U37=0,0,IF($F37=4,0,IF($F37=3,0,IF(OR(39&gt;$R37,CE37&lt;=$I37),CE37,CE37-MIN(INT(ROUND(IF($F37=1,$C37*$J37,IF(GD37&gt;0,GD37*$K37,CE37*$J37))*IF(39=$R37,$S37,12)/12,6)+$B$4),CE37-$I37)))))</f>
        <v/>
      </c>
      <c r="CG37" s="68">
        <f>IF($U37=0,0,IF($F37=4,0,IF($F37=3,0,IF(OR(40&gt;$R37,CF37&lt;=$I37),CF37,CF37-MIN(INT(ROUND(IF($F37=1,$C37*$J37,IF(GE37&gt;0,GE37*$K37,CF37*$J37))*IF(40=$R37,$S37,12)/12,6)+$B$4),CF37-$I37)))))</f>
        <v/>
      </c>
      <c r="CH37" s="68">
        <f>IF($U37=0,0,IF($F37=4,0,IF($F37=3,0,IF(OR(41&gt;$R37,CG37&lt;=$I37),CG37,CG37-MIN(INT(ROUND(IF($F37=1,$C37*$J37,IF(GF37&gt;0,GF37*$K37,CG37*$J37))*IF(41=$R37,$S37,12)/12,6)+$B$4),CG37-$I37)))))</f>
        <v/>
      </c>
      <c r="CI37" s="68">
        <f>IF($U37=0,0,IF($F37=4,0,IF($F37=3,0,IF(OR(42&gt;$R37,CH37&lt;=$I37),CH37,CH37-MIN(INT(ROUND(IF($F37=1,$C37*$J37,IF(GG37&gt;0,GG37*$K37,CH37*$J37))*IF(42=$R37,$S37,12)/12,6)+$B$4),CH37-$I37)))))</f>
        <v/>
      </c>
      <c r="CJ37" s="68">
        <f>IF($U37=0,0,IF($F37=4,0,IF($F37=3,0,IF(OR(43&gt;$R37,CI37&lt;=$I37),CI37,CI37-MIN(INT(ROUND(IF($F37=1,$C37*$J37,IF(GH37&gt;0,GH37*$K37,CI37*$J37))*IF(43=$R37,$S37,12)/12,6)+$B$4),CI37-$I37)))))</f>
        <v/>
      </c>
      <c r="CK37" s="68">
        <f>IF($U37=0,0,IF($F37=4,0,IF($F37=3,0,IF(OR(44&gt;$R37,CJ37&lt;=$I37),CJ37,CJ37-MIN(INT(ROUND(IF($F37=1,$C37*$J37,IF(GI37&gt;0,GI37*$K37,CJ37*$J37))*IF(44=$R37,$S37,12)/12,6)+$B$4),CJ37-$I37)))))</f>
        <v/>
      </c>
      <c r="CL37" s="68">
        <f>IF($U37=0,0,IF($F37=4,0,IF($F37=3,0,IF(OR(45&gt;$R37,CK37&lt;=$I37),CK37,CK37-MIN(INT(ROUND(IF($F37=1,$C37*$J37,IF(GJ37&gt;0,GJ37*$K37,CK37*$J37))*IF(45=$R37,$S37,12)/12,6)+$B$4),CK37-$I37)))))</f>
        <v/>
      </c>
      <c r="CM37" s="68">
        <f>IF($U37=0,0,IF($F37=4,0,IF($F37=3,0,IF(OR(46&gt;$R37,CL37&lt;=$I37),CL37,CL37-MIN(INT(ROUND(IF($F37=1,$C37*$J37,IF(GK37&gt;0,GK37*$K37,CL37*$J37))*IF(46=$R37,$S37,12)/12,6)+$B$4),CL37-$I37)))))</f>
        <v/>
      </c>
      <c r="CN37" s="68">
        <f>IF($U37=0,0,IF($F37=4,0,IF($F37=3,0,IF(OR(47&gt;$R37,CM37&lt;=$I37),CM37,CM37-MIN(INT(ROUND(IF($F37=1,$C37*$J37,IF(GL37&gt;0,GL37*$K37,CM37*$J37))*IF(47=$R37,$S37,12)/12,6)+$B$4),CM37-$I37)))))</f>
        <v/>
      </c>
      <c r="CO37" s="68">
        <f>IF($U37=0,0,IF($F37=4,0,IF($F37=3,0,IF(OR(48&gt;$R37,CN37&lt;=$I37),CN37,CN37-MIN(INT(ROUND(IF($F37=1,$C37*$J37,IF(GM37&gt;0,GM37*$K37,CN37*$J37))*IF(48=$R37,$S37,12)/12,6)+$B$4),CN37-$I37)))))</f>
        <v/>
      </c>
      <c r="CP37" s="68">
        <f>IF($U37=0,0,IF($F37=4,0,IF($F37=3,0,IF(OR(49&gt;$R37,CO37&lt;=$I37),CO37,CO37-MIN(INT(ROUND(IF($F37=1,$C37*$J37,IF(GN37&gt;0,GN37*$K37,CO37*$J37))*IF(49=$R37,$S37,12)/12,6)+$B$4),CO37-$I37)))))</f>
        <v/>
      </c>
      <c r="CQ37" s="68">
        <f>IF($U37=0,0,IF($F37=4,0,IF($F37=3,0,IF(OR(50&gt;$R37,CP37&lt;=$I37),CP37,CP37-MIN(INT(ROUND(IF($F37=1,$C37*$J37,IF(GO37&gt;0,GO37*$K37,CP37*$J37))*IF(50=$R37,$S37,12)/12,6)+$B$4),CP37-$I37)))))</f>
        <v/>
      </c>
      <c r="CR37" s="68">
        <f>IF($U37=0,0,IF($F37=4,0,IF($F37=3,0,IF(OR(51&gt;$R37,CQ37&lt;=$I37),CQ37,CQ37-MIN(INT(ROUND(IF($F37=1,$C37*$J37,IF(GP37&gt;0,GP37*$K37,CQ37*$J37))*IF(51=$R37,$S37,12)/12,6)+$B$4),CQ37-$I37)))))</f>
        <v/>
      </c>
      <c r="CS37" s="68">
        <f>IF($U37=0,0,IF($F37=4,0,IF($F37=3,0,IF(OR(52&gt;$R37,CR37&lt;=$I37),CR37,CR37-MIN(INT(ROUND(IF($F37=1,$C37*$J37,IF(GQ37&gt;0,GQ37*$K37,CR37*$J37))*IF(52=$R37,$S37,12)/12,6)+$B$4),CR37-$I37)))))</f>
        <v/>
      </c>
      <c r="CT37" s="68">
        <f>IF($U37=0,0,IF($F37=4,0,IF($F37=3,0,IF(OR(53&gt;$R37,CS37&lt;=$I37),CS37,CS37-MIN(INT(ROUND(IF($F37=1,$C37*$J37,IF(GR37&gt;0,GR37*$K37,CS37*$J37))*IF(53=$R37,$S37,12)/12,6)+$B$4),CS37-$I37)))))</f>
        <v/>
      </c>
      <c r="CU37" s="68">
        <f>IF($U37=0,0,IF($F37=4,0,IF($F37=3,0,IF(OR(54&gt;$R37,CT37&lt;=$I37),CT37,CT37-MIN(INT(ROUND(IF($F37=1,$C37*$J37,IF(GS37&gt;0,GS37*$K37,CT37*$J37))*IF(54=$R37,$S37,12)/12,6)+$B$4),CT37-$I37)))))</f>
        <v/>
      </c>
      <c r="CV37" s="68">
        <f>IF($U37=0,0,IF($F37=4,0,IF($F37=3,0,IF(OR(55&gt;$R37,CU37&lt;=$I37),CU37,CU37-MIN(INT(ROUND(IF($F37=1,$C37*$J37,IF(GT37&gt;0,GT37*$K37,CU37*$J37))*IF(55=$R37,$S37,12)/12,6)+$B$4),CU37-$I37)))))</f>
        <v/>
      </c>
      <c r="CW37" s="68">
        <f>IF($U37=0,0,IF($F37=4,0,IF($F37=3,0,IF(OR(56&gt;$R37,CV37&lt;=$I37),CV37,CV37-MIN(INT(ROUND(IF($F37=1,$C37*$J37,IF(GU37&gt;0,GU37*$K37,CV37*$J37))*IF(56=$R37,$S37,12)/12,6)+$B$4),CV37-$I37)))))</f>
        <v/>
      </c>
      <c r="CX37" s="68">
        <f>IF($U37=0,0,IF($F37=4,0,IF($F37=3,0,IF(OR(57&gt;$R37,CW37&lt;=$I37),CW37,CW37-MIN(INT(ROUND(IF($F37=1,$C37*$J37,IF(GV37&gt;0,GV37*$K37,CW37*$J37))*IF(57=$R37,$S37,12)/12,6)+$B$4),CW37-$I37)))))</f>
        <v/>
      </c>
      <c r="CY37" s="68">
        <f>IF($U37=0,0,IF($F37=4,0,IF($F37=3,0,IF(OR(58&gt;$R37,CX37&lt;=$I37),CX37,CX37-MIN(INT(ROUND(IF($F37=1,$C37*$J37,IF(GW37&gt;0,GW37*$K37,CX37*$J37))*IF(58=$R37,$S37,12)/12,6)+$B$4),CX37-$I37)))))</f>
        <v/>
      </c>
      <c r="CZ37" s="68">
        <f>IF($U37=0,0,IF($F37=4,0,IF($F37=3,0,IF(OR(59&gt;$R37,CY37&lt;=$I37),CY37,CY37-MIN(INT(ROUND(IF($F37=1,$C37*$J37,IF(GX37&gt;0,GX37*$K37,CY37*$J37))*IF(59=$R37,$S37,12)/12,6)+$B$4),CY37-$I37)))))</f>
        <v/>
      </c>
      <c r="DA37" s="68">
        <f>IF($U37=0,0,IF($F37=4,0,IF($F37=3,0,IF(OR(60&gt;$R37,CZ37&lt;=$I37),CZ37,CZ37-MIN(INT(ROUND(IF($F37=1,$C37*$J37,IF(GY37&gt;0,GY37*$K37,CZ37*$J37))*IF(60=$R37,$S37,12)/12,6)+$B$4),CZ37-$I37)))))</f>
        <v/>
      </c>
      <c r="DB37" s="68">
        <f>IF($U37=0,0,IF($F37=4,0,IF($F37=3,0,IF(OR(61&gt;$R37,DA37&lt;=$I37),DA37,DA37-MIN(INT(ROUND(IF($F37=1,$C37*$J37,IF(GZ37&gt;0,GZ37*$K37,DA37*$J37))*IF(61=$R37,$S37,12)/12,6)+$B$4),DA37-$I37)))))</f>
        <v/>
      </c>
      <c r="DC37" s="68">
        <f>IF($U37=0,0,IF($F37=4,0,IF($F37=3,0,IF(OR(62&gt;$R37,DB37&lt;=$I37),DB37,DB37-MIN(INT(ROUND(IF($F37=1,$C37*$J37,IF(HA37&gt;0,HA37*$K37,DB37*$J37))*IF(62=$R37,$S37,12)/12,6)+$B$4),DB37-$I37)))))</f>
        <v/>
      </c>
      <c r="DD37" s="68">
        <f>IF($U37=0,0,IF($F37=4,0,IF($F37=3,0,IF(OR(63&gt;$R37,DC37&lt;=$I37),DC37,DC37-MIN(INT(ROUND(IF($F37=1,$C37*$J37,IF(HB37&gt;0,HB37*$K37,DC37*$J37))*IF(63=$R37,$S37,12)/12,6)+$B$4),DC37-$I37)))))</f>
        <v/>
      </c>
      <c r="DE37" s="68">
        <f>IF($U37=0,0,IF($F37=4,0,IF($F37=3,0,IF(OR(64&gt;$R37,DD37&lt;=$I37),DD37,DD37-MIN(INT(ROUND(IF($F37=1,$C37*$J37,IF(HC37&gt;0,HC37*$K37,DD37*$J37))*IF(64=$R37,$S37,12)/12,6)+$B$4),DD37-$I37)))))</f>
        <v/>
      </c>
      <c r="DF37" s="68">
        <f>IF($U37=0,0,IF($F37=4,0,IF($F37=3,0,IF(OR(65&gt;$R37,DE37&lt;=$I37),DE37,DE37-MIN(INT(ROUND(IF($F37=1,$C37*$J37,IF(HD37&gt;0,HD37*$K37,DE37*$J37))*IF(65=$R37,$S37,12)/12,6)+$B$4),DE37-$I37)))))</f>
        <v/>
      </c>
      <c r="DG37" s="68">
        <f>IF($U37=0,0,IF($F37=4,0,IF($F37=3,0,IF(OR(66&gt;$R37,DF37&lt;=$I37),DF37,DF37-MIN(INT(ROUND(IF($F37=1,$C37*$J37,IF(HE37&gt;0,HE37*$K37,DF37*$J37))*IF(66=$R37,$S37,12)/12,6)+$B$4),DF37-$I37)))))</f>
        <v/>
      </c>
      <c r="DH37" s="68">
        <f>IF($U37=0,0,IF($F37=4,0,IF($F37=3,0,IF(OR(67&gt;$R37,DG37&lt;=$I37),DG37,DG37-MIN(INT(ROUND(IF($F37=1,$C37*$J37,IF(HF37&gt;0,HF37*$K37,DG37*$J37))*IF(67=$R37,$S37,12)/12,6)+$B$4),DG37-$I37)))))</f>
        <v/>
      </c>
      <c r="DI37" s="68">
        <f>IF($U37=0,0,IF($F37=4,0,IF($F37=3,0,IF(OR(68&gt;$R37,DH37&lt;=$I37),DH37,DH37-MIN(INT(ROUND(IF($F37=1,$C37*$J37,IF(HG37&gt;0,HG37*$K37,DH37*$J37))*IF(68=$R37,$S37,12)/12,6)+$B$4),DH37-$I37)))))</f>
        <v/>
      </c>
      <c r="DJ37" s="68">
        <f>IF($U37=0,0,IF($F37=4,0,IF($F37=3,0,IF(OR(69&gt;$R37,DI37&lt;=$I37),DI37,DI37-MIN(INT(ROUND(IF($F37=1,$C37*$J37,IF(HH37&gt;0,HH37*$K37,DI37*$J37))*IF(69=$R37,$S37,12)/12,6)+$B$4),DI37-$I37)))))</f>
        <v/>
      </c>
      <c r="DK37" s="68">
        <f>IF($U37=0,0,IF($F37=4,0,IF($F37=3,0,IF(OR(70&gt;$R37,DJ37&lt;=$I37),DJ37,DJ37-MIN(INT(ROUND(IF($F37=1,$C37*$J37,IF(HI37&gt;0,HI37*$K37,DJ37*$J37))*IF(70=$R37,$S37,12)/12,6)+$B$4),DJ37-$I37)))))</f>
        <v/>
      </c>
      <c r="DL37" s="68">
        <f>IF($U37=0,0,IF($F37=4,0,IF($F37=3,0,IF(OR(71&gt;$R37,DK37&lt;=$I37),DK37,DK37-MIN(INT(ROUND(IF($F37=1,$C37*$J37,IF(HJ37&gt;0,HJ37*$K37,DK37*$J37))*IF(71=$R37,$S37,12)/12,6)+$B$4),DK37-$I37)))))</f>
        <v/>
      </c>
      <c r="DM37" s="68">
        <f>IF($U37=0,0,IF($F37=4,0,IF($F37=3,0,IF(OR(72&gt;$R37,DL37&lt;=$I37),DL37,DL37-MIN(INT(ROUND(IF($F37=1,$C37*$J37,IF(HK37&gt;0,HK37*$K37,DL37*$J37))*IF(72=$R37,$S37,12)/12,6)+$B$4),DL37-$I37)))))</f>
        <v/>
      </c>
      <c r="DN37" s="68">
        <f>IF($U37=0,0,IF($F37=4,0,IF($F37=3,0,IF(OR(73&gt;$R37,DM37&lt;=$I37),DM37,DM37-MIN(INT(ROUND(IF($F37=1,$C37*$J37,IF(HL37&gt;0,HL37*$K37,DM37*$J37))*IF(73=$R37,$S37,12)/12,6)+$B$4),DM37-$I37)))))</f>
        <v/>
      </c>
      <c r="DO37" s="68">
        <f>IF($U37=0,0,IF($F37=4,0,IF($F37=3,0,IF(OR(74&gt;$R37,DN37&lt;=$I37),DN37,DN37-MIN(INT(ROUND(IF($F37=1,$C37*$J37,IF(HM37&gt;0,HM37*$K37,DN37*$J37))*IF(74=$R37,$S37,12)/12,6)+$B$4),DN37-$I37)))))</f>
        <v/>
      </c>
      <c r="DP37" s="68">
        <f>IF($U37=0,0,IF($F37=4,0,IF($F37=3,0,IF(OR(75&gt;$R37,DO37&lt;=$I37),DO37,DO37-MIN(INT(ROUND(IF($F37=1,$C37*$J37,IF(HN37&gt;0,HN37*$K37,DO37*$J37))*IF(75=$R37,$S37,12)/12,6)+$B$4),DO37-$I37)))))</f>
        <v/>
      </c>
      <c r="DQ37" s="68">
        <f>IF($U37=0,0,IF($F37=4,0,IF($F37=3,0,IF(OR(76&gt;$R37,DP37&lt;=$I37),DP37,DP37-MIN(INT(ROUND(IF($F37=1,$C37*$J37,IF(HO37&gt;0,HO37*$K37,DP37*$J37))*IF(76=$R37,$S37,12)/12,6)+$B$4),DP37-$I37)))))</f>
        <v/>
      </c>
      <c r="DR37" s="68">
        <f>IF($U37=0,0,IF($F37=4,0,IF($F37=3,0,IF(OR(77&gt;$R37,DQ37&lt;=$I37),DQ37,DQ37-MIN(INT(ROUND(IF($F37=1,$C37*$J37,IF(HP37&gt;0,HP37*$K37,DQ37*$J37))*IF(77=$R37,$S37,12)/12,6)+$B$4),DQ37-$I37)))))</f>
        <v/>
      </c>
      <c r="DS37" s="68">
        <f>IF($U37=0,0,IF($F37=4,0,IF($F37=3,0,IF(OR(78&gt;$R37,DR37&lt;=$I37),DR37,DR37-MIN(INT(ROUND(IF($F37=1,$C37*$J37,IF(HQ37&gt;0,HQ37*$K37,DR37*$J37))*IF(78=$R37,$S37,12)/12,6)+$B$4),DR37-$I37)))))</f>
        <v/>
      </c>
      <c r="DT37" s="68">
        <f>IF($U37=0,0,IF($F37=4,0,IF($F37=3,0,IF(OR(79&gt;$R37,DS37&lt;=$I37),DS37,DS37-MIN(INT(ROUND(IF($F37=1,$C37*$J37,IF(HR37&gt;0,HR37*$K37,DS37*$J37))*IF(79=$R37,$S37,12)/12,6)+$B$4),DS37-$I37)))))</f>
        <v/>
      </c>
      <c r="DU37" s="68">
        <f>IF($U37=0,0,IF($F37=4,0,IF($F37=3,0,IF(OR(80&gt;$R37,DT37&lt;=$I37),DT37,DT37-MIN(INT(ROUND(IF($F37=1,$C37*$J37,IF(HS37&gt;0,HS37*$K37,DT37*$J37))*IF(80=$R37,$S37,12)/12,6)+$B$4),DT37-$I37)))))</f>
        <v/>
      </c>
      <c r="DV37" s="68">
        <f>IF($U37=0,0,IF($F37=4,0,IF($F37=3,0,IF(OR(81&gt;$R37,DU37&lt;=$I37),DU37,DU37-MIN(INT(ROUND(IF($F37=1,$C37*$J37,IF(HT37&gt;0,HT37*$K37,DU37*$J37))*IF(81=$R37,$S37,12)/12,6)+$B$4),DU37-$I37)))))</f>
        <v/>
      </c>
      <c r="DW37" s="68">
        <f>IF($U37=0,0,IF($F37=4,0,IF($F37=3,0,IF(OR(82&gt;$R37,DV37&lt;=$I37),DV37,DV37-MIN(INT(ROUND(IF($F37=1,$C37*$J37,IF(HU37&gt;0,HU37*$K37,DV37*$J37))*IF(82=$R37,$S37,12)/12,6)+$B$4),DV37-$I37)))))</f>
        <v/>
      </c>
      <c r="DX37" s="68">
        <f>IF($U37=0,0,IF($F37=4,0,IF($F37=3,0,IF(OR(83&gt;$R37,DW37&lt;=$I37),DW37,DW37-MIN(INT(ROUND(IF($F37=1,$C37*$J37,IF(HV37&gt;0,HV37*$K37,DW37*$J37))*IF(83=$R37,$S37,12)/12,6)+$B$4),DW37-$I37)))))</f>
        <v/>
      </c>
      <c r="DY37" s="68">
        <f>IF($U37=0,0,IF($F37=4,0,IF($F37=3,0,IF(OR(84&gt;$R37,DX37&lt;=$I37),DX37,DX37-MIN(INT(ROUND(IF($F37=1,$C37*$J37,IF(HW37&gt;0,HW37*$K37,DX37*$J37))*IF(84=$R37,$S37,12)/12,6)+$B$4),DX37-$I37)))))</f>
        <v/>
      </c>
      <c r="DZ37" s="68">
        <f>IF($U37=0,0,IF($F37=4,0,IF($F37=3,0,IF(OR(85&gt;$R37,DY37&lt;=$I37),DY37,DY37-MIN(INT(ROUND(IF($F37=1,$C37*$J37,IF(HX37&gt;0,HX37*$K37,DY37*$J37))*IF(85=$R37,$S37,12)/12,6)+$B$4),DY37-$I37)))))</f>
        <v/>
      </c>
      <c r="EA37" s="68">
        <f>IF($U37=0,0,IF($F37=4,0,IF($F37=3,0,IF(OR(86&gt;$R37,DZ37&lt;=$I37),DZ37,DZ37-MIN(INT(ROUND(IF($F37=1,$C37*$J37,IF(HY37&gt;0,HY37*$K37,DZ37*$J37))*IF(86=$R37,$S37,12)/12,6)+$B$4),DZ37-$I37)))))</f>
        <v/>
      </c>
      <c r="EB37" s="68">
        <f>IF($U37=0,0,IF($F37=4,0,IF($F37=3,0,IF(OR(87&gt;$R37,EA37&lt;=$I37),EA37,EA37-MIN(INT(ROUND(IF($F37=1,$C37*$J37,IF(HZ37&gt;0,HZ37*$K37,EA37*$J37))*IF(87=$R37,$S37,12)/12,6)+$B$4),EA37-$I37)))))</f>
        <v/>
      </c>
      <c r="EC37" s="68">
        <f>IF($U37=0,0,IF($F37=4,0,IF($F37=3,0,IF(OR(88&gt;$R37,EB37&lt;=$I37),EB37,EB37-MIN(INT(ROUND(IF($F37=1,$C37*$J37,IF(IA37&gt;0,IA37*$K37,EB37*$J37))*IF(88=$R37,$S37,12)/12,6)+$B$4),EB37-$I37)))))</f>
        <v/>
      </c>
      <c r="ED37" s="68">
        <f>IF($U37=0,0,IF($F37=4,0,IF($F37=3,0,IF(OR(89&gt;$R37,EC37&lt;=$I37),EC37,EC37-MIN(INT(ROUND(IF($F37=1,$C37*$J37,IF(IB37&gt;0,IB37*$K37,EC37*$J37))*IF(89=$R37,$S37,12)/12,6)+$B$4),EC37-$I37)))))</f>
        <v/>
      </c>
      <c r="EE37" s="68">
        <f>IF($U37=0,0,IF($F37=4,0,IF($F37=3,0,IF(OR(90&gt;$R37,ED37&lt;=$I37),ED37,ED37-MIN(INT(ROUND(IF($F37=1,$C37*$J37,IF(IC37&gt;0,IC37*$K37,ED37*$J37))*IF(90=$R37,$S37,12)/12,6)+$B$4),ED37-$I37)))))</f>
        <v/>
      </c>
      <c r="EF37" s="68">
        <f>IF($U37=0,0,IF($F37=4,0,IF($F37=3,0,IF(OR(91&gt;$R37,EE37&lt;=$I37),EE37,EE37-MIN(INT(ROUND(IF($F37=1,$C37*$J37,IF(ID37&gt;0,ID37*$K37,EE37*$J37))*IF(91=$R37,$S37,12)/12,6)+$B$4),EE37-$I37)))))</f>
        <v/>
      </c>
      <c r="EG37" s="68">
        <f>IF($U37=0,0,IF($F37=4,0,IF($F37=3,0,IF(OR(92&gt;$R37,EF37&lt;=$I37),EF37,EF37-MIN(INT(ROUND(IF($F37=1,$C37*$J37,IF(IE37&gt;0,IE37*$K37,EF37*$J37))*IF(92=$R37,$S37,12)/12,6)+$B$4),EF37-$I37)))))</f>
        <v/>
      </c>
      <c r="EH37" s="68">
        <f>IF($U37=0,0,IF($F37=4,0,IF($F37=3,0,IF(OR(93&gt;$R37,EG37&lt;=$I37),EG37,EG37-MIN(INT(ROUND(IF($F37=1,$C37*$J37,IF(IF37&gt;0,IF37*$K37,EG37*$J37))*IF(93=$R37,$S37,12)/12,6)+$B$4),EG37-$I37)))))</f>
        <v/>
      </c>
      <c r="EI37" s="68">
        <f>IF($U37=0,0,IF($F37=4,0,IF($F37=3,0,IF(OR(94&gt;$R37,EH37&lt;=$I37),EH37,EH37-MIN(INT(ROUND(IF($F37=1,$C37*$J37,IF(IG37&gt;0,IG37*$K37,EH37*$J37))*IF(94=$R37,$S37,12)/12,6)+$B$4),EH37-$I37)))))</f>
        <v/>
      </c>
      <c r="EJ37" s="68">
        <f>IF($U37=0,0,IF($F37=4,0,IF($F37=3,0,IF(OR(95&gt;$R37,EI37&lt;=$I37),EI37,EI37-MIN(INT(ROUND(IF($F37=1,$C37*$J37,IF(IH37&gt;0,IH37*$K37,EI37*$J37))*IF(95=$R37,$S37,12)/12,6)+$B$4),EI37-$I37)))))</f>
        <v/>
      </c>
      <c r="EK37" s="68">
        <f>IF($U37=0,0,IF($F37=4,0,IF($F37=3,0,IF(OR(96&gt;$R37,EJ37&lt;=$I37),EJ37,EJ37-MIN(INT(ROUND(IF($F37=1,$C37*$J37,IF(II37&gt;0,II37*$K37,EJ37*$J37))*IF(96=$R37,$S37,12)/12,6)+$B$4),EJ37-$I37)))))</f>
        <v/>
      </c>
      <c r="EL37" s="68">
        <f>IF($U37=0,0,IF($F37=4,0,IF($F37=3,0,IF(OR(97&gt;$R37,EK37&lt;=$I37),EK37,EK37-MIN(INT(ROUND(IF($F37=1,$C37*$J37,IF(IJ37&gt;0,IJ37*$K37,EK37*$J37))*IF(97=$R37,$S37,12)/12,6)+$B$4),EK37-$I37)))))</f>
        <v/>
      </c>
      <c r="EM37" s="68">
        <f>IF($U37=0,0,IF($F37=4,0,IF($F37=3,0,IF(OR(98&gt;$R37,EL37&lt;=$I37),EL37,EL37-MIN(INT(ROUND(IF($F37=1,$C37*$J37,IF(IK37&gt;0,IK37*$K37,EL37*$J37))*IF(98=$R37,$S37,12)/12,6)+$B$4),EL37-$I37)))))</f>
        <v/>
      </c>
      <c r="EN37" s="68">
        <f>IF($U37=0,0,IF($F37=4,0,IF($F37=3,0,IF(OR(99&gt;$R37,EM37&lt;=$I37),EM37,EM37-MIN(INT(ROUND(IF($F37=1,$C37*$J37,IF(IL37&gt;0,IL37*$K37,EM37*$J37))*IF(99=$R37,$S37,12)/12,6)+$B$4),EM37-$I37)))))</f>
        <v/>
      </c>
      <c r="EO37" s="68">
        <f>IF($U37=0,0,IF($F37=4,0,IF($F37=3,0,IF(OR(100&gt;$R37,EN37&lt;=$I37),EN37,EN37-MIN(INT(ROUND(IF($F37=1,$C37*$J37,IF(IM37&gt;0,IM37*$K37,EN37*$J37))*IF(100=$R37,$S37,12)/12,6)+$B$4),EN37-$I37)))))</f>
        <v/>
      </c>
      <c r="EP37" s="68">
        <f>IF($U37=0,0,IF($F37=4,0,IF($F37=3,0,IF(OR(101&gt;$R37,EO37&lt;=$I37),EO37,EO37-MIN(INT(ROUND(IF($F37=1,$C37*$J37,IF(IN37&gt;0,IN37*$K37,EO37*$J37))*IF(101=$R37,$S37,12)/12,6)+$B$4),EO37-$I37)))))</f>
        <v/>
      </c>
      <c r="EQ37" s="68" t="n"/>
      <c r="ER37" s="68">
        <f>IF(OR($U37=0,$F37&lt;&gt;2),0,IF(ROUND(AS37*$J37,6)&lt;ROUND($M37,6),AS37,0))</f>
        <v/>
      </c>
      <c r="ES37" s="68">
        <f>IF(OR($U37=0,$F37&lt;&gt;2),0,IF(ER37&gt;0,ER37,IF(ROUND(AT37*$J37,6)&lt;ROUND($M37,6),AT37,0)))</f>
        <v/>
      </c>
      <c r="ET37" s="68">
        <f>IF(OR($U37=0,$F37&lt;&gt;2),0,IF(ES37&gt;0,ES37,IF(ROUND(AU37*$J37,6)&lt;ROUND($M37,6),AU37,0)))</f>
        <v/>
      </c>
      <c r="EU37" s="68">
        <f>IF(OR($U37=0,$F37&lt;&gt;2),0,IF(ET37&gt;0,ET37,IF(ROUND(AV37*$J37,6)&lt;ROUND($M37,6),AV37,0)))</f>
        <v/>
      </c>
      <c r="EV37" s="68">
        <f>IF(OR($U37=0,$F37&lt;&gt;2),0,IF(EU37&gt;0,EU37,IF(ROUND(AW37*$J37,6)&lt;ROUND($M37,6),AW37,0)))</f>
        <v/>
      </c>
      <c r="EW37" s="68">
        <f>IF(OR($U37=0,$F37&lt;&gt;2),0,IF(EV37&gt;0,EV37,IF(ROUND(AX37*$J37,6)&lt;ROUND($M37,6),AX37,0)))</f>
        <v/>
      </c>
      <c r="EX37" s="68">
        <f>IF(OR($U37=0,$F37&lt;&gt;2),0,IF(EW37&gt;0,EW37,IF(ROUND(AY37*$J37,6)&lt;ROUND($M37,6),AY37,0)))</f>
        <v/>
      </c>
      <c r="EY37" s="68">
        <f>IF(OR($U37=0,$F37&lt;&gt;2),0,IF(EX37&gt;0,EX37,IF(ROUND(AZ37*$J37,6)&lt;ROUND($M37,6),AZ37,0)))</f>
        <v/>
      </c>
      <c r="EZ37" s="68">
        <f>IF(OR($U37=0,$F37&lt;&gt;2),0,IF(EY37&gt;0,EY37,IF(ROUND(BA37*$J37,6)&lt;ROUND($M37,6),BA37,0)))</f>
        <v/>
      </c>
      <c r="FA37" s="68">
        <f>IF(OR($U37=0,$F37&lt;&gt;2),0,IF(EZ37&gt;0,EZ37,IF(ROUND(BB37*$J37,6)&lt;ROUND($M37,6),BB37,0)))</f>
        <v/>
      </c>
      <c r="FB37" s="68">
        <f>IF(OR($U37=0,$F37&lt;&gt;2),0,IF(FA37&gt;0,FA37,IF(ROUND(BC37*$J37,6)&lt;ROUND($M37,6),BC37,0)))</f>
        <v/>
      </c>
      <c r="FC37" s="68">
        <f>IF(OR($U37=0,$F37&lt;&gt;2),0,IF(FB37&gt;0,FB37,IF(ROUND(BD37*$J37,6)&lt;ROUND($M37,6),BD37,0)))</f>
        <v/>
      </c>
      <c r="FD37" s="68">
        <f>IF(OR($U37=0,$F37&lt;&gt;2),0,IF(FC37&gt;0,FC37,IF(ROUND(BE37*$J37,6)&lt;ROUND($M37,6),BE37,0)))</f>
        <v/>
      </c>
      <c r="FE37" s="68">
        <f>IF(OR($U37=0,$F37&lt;&gt;2),0,IF(FD37&gt;0,FD37,IF(ROUND(BF37*$J37,6)&lt;ROUND($M37,6),BF37,0)))</f>
        <v/>
      </c>
      <c r="FF37" s="68">
        <f>IF(OR($U37=0,$F37&lt;&gt;2),0,IF(FE37&gt;0,FE37,IF(ROUND(BG37*$J37,6)&lt;ROUND($M37,6),BG37,0)))</f>
        <v/>
      </c>
      <c r="FG37" s="68">
        <f>IF(OR($U37=0,$F37&lt;&gt;2),0,IF(FF37&gt;0,FF37,IF(ROUND(BH37*$J37,6)&lt;ROUND($M37,6),BH37,0)))</f>
        <v/>
      </c>
      <c r="FH37" s="68">
        <f>IF(OR($U37=0,$F37&lt;&gt;2),0,IF(FG37&gt;0,FG37,IF(ROUND(BI37*$J37,6)&lt;ROUND($M37,6),BI37,0)))</f>
        <v/>
      </c>
      <c r="FI37" s="68">
        <f>IF(OR($U37=0,$F37&lt;&gt;2),0,IF(FH37&gt;0,FH37,IF(ROUND(BJ37*$J37,6)&lt;ROUND($M37,6),BJ37,0)))</f>
        <v/>
      </c>
      <c r="FJ37" s="68">
        <f>IF(OR($U37=0,$F37&lt;&gt;2),0,IF(FI37&gt;0,FI37,IF(ROUND(BK37*$J37,6)&lt;ROUND($M37,6),BK37,0)))</f>
        <v/>
      </c>
      <c r="FK37" s="68">
        <f>IF(OR($U37=0,$F37&lt;&gt;2),0,IF(FJ37&gt;0,FJ37,IF(ROUND(BL37*$J37,6)&lt;ROUND($M37,6),BL37,0)))</f>
        <v/>
      </c>
      <c r="FL37" s="68">
        <f>IF(OR($U37=0,$F37&lt;&gt;2),0,IF(FK37&gt;0,FK37,IF(ROUND(BM37*$J37,6)&lt;ROUND($M37,6),BM37,0)))</f>
        <v/>
      </c>
      <c r="FM37" s="68">
        <f>IF(OR($U37=0,$F37&lt;&gt;2),0,IF(FL37&gt;0,FL37,IF(ROUND(BN37*$J37,6)&lt;ROUND($M37,6),BN37,0)))</f>
        <v/>
      </c>
      <c r="FN37" s="68">
        <f>IF(OR($U37=0,$F37&lt;&gt;2),0,IF(FM37&gt;0,FM37,IF(ROUND(BO37*$J37,6)&lt;ROUND($M37,6),BO37,0)))</f>
        <v/>
      </c>
      <c r="FO37" s="68">
        <f>IF(OR($U37=0,$F37&lt;&gt;2),0,IF(FN37&gt;0,FN37,IF(ROUND(BP37*$J37,6)&lt;ROUND($M37,6),BP37,0)))</f>
        <v/>
      </c>
      <c r="FP37" s="68">
        <f>IF(OR($U37=0,$F37&lt;&gt;2),0,IF(FO37&gt;0,FO37,IF(ROUND(BQ37*$J37,6)&lt;ROUND($M37,6),BQ37,0)))</f>
        <v/>
      </c>
      <c r="FQ37" s="68">
        <f>IF(OR($U37=0,$F37&lt;&gt;2),0,IF(FP37&gt;0,FP37,IF(ROUND(BR37*$J37,6)&lt;ROUND($M37,6),BR37,0)))</f>
        <v/>
      </c>
      <c r="FR37" s="68">
        <f>IF(OR($U37=0,$F37&lt;&gt;2),0,IF(FQ37&gt;0,FQ37,IF(ROUND(BS37*$J37,6)&lt;ROUND($M37,6),BS37,0)))</f>
        <v/>
      </c>
      <c r="FS37" s="68">
        <f>IF(OR($U37=0,$F37&lt;&gt;2),0,IF(FR37&gt;0,FR37,IF(ROUND(BT37*$J37,6)&lt;ROUND($M37,6),BT37,0)))</f>
        <v/>
      </c>
      <c r="FT37" s="68">
        <f>IF(OR($U37=0,$F37&lt;&gt;2),0,IF(FS37&gt;0,FS37,IF(ROUND(BU37*$J37,6)&lt;ROUND($M37,6),BU37,0)))</f>
        <v/>
      </c>
      <c r="FU37" s="68">
        <f>IF(OR($U37=0,$F37&lt;&gt;2),0,IF(FT37&gt;0,FT37,IF(ROUND(BV37*$J37,6)&lt;ROUND($M37,6),BV37,0)))</f>
        <v/>
      </c>
      <c r="FV37" s="68">
        <f>IF(OR($U37=0,$F37&lt;&gt;2),0,IF(FU37&gt;0,FU37,IF(ROUND(BW37*$J37,6)&lt;ROUND($M37,6),BW37,0)))</f>
        <v/>
      </c>
      <c r="FW37" s="68">
        <f>IF(OR($U37=0,$F37&lt;&gt;2),0,IF(FV37&gt;0,FV37,IF(ROUND(BX37*$J37,6)&lt;ROUND($M37,6),BX37,0)))</f>
        <v/>
      </c>
      <c r="FX37" s="68">
        <f>IF(OR($U37=0,$F37&lt;&gt;2),0,IF(FW37&gt;0,FW37,IF(ROUND(BY37*$J37,6)&lt;ROUND($M37,6),BY37,0)))</f>
        <v/>
      </c>
      <c r="FY37" s="68">
        <f>IF(OR($U37=0,$F37&lt;&gt;2),0,IF(FX37&gt;0,FX37,IF(ROUND(BZ37*$J37,6)&lt;ROUND($M37,6),BZ37,0)))</f>
        <v/>
      </c>
      <c r="FZ37" s="68">
        <f>IF(OR($U37=0,$F37&lt;&gt;2),0,IF(FY37&gt;0,FY37,IF(ROUND(CA37*$J37,6)&lt;ROUND($M37,6),CA37,0)))</f>
        <v/>
      </c>
      <c r="GA37" s="68">
        <f>IF(OR($U37=0,$F37&lt;&gt;2),0,IF(FZ37&gt;0,FZ37,IF(ROUND(CB37*$J37,6)&lt;ROUND($M37,6),CB37,0)))</f>
        <v/>
      </c>
      <c r="GB37" s="68">
        <f>IF(OR($U37=0,$F37&lt;&gt;2),0,IF(GA37&gt;0,GA37,IF(ROUND(CC37*$J37,6)&lt;ROUND($M37,6),CC37,0)))</f>
        <v/>
      </c>
      <c r="GC37" s="68">
        <f>IF(OR($U37=0,$F37&lt;&gt;2),0,IF(GB37&gt;0,GB37,IF(ROUND(CD37*$J37,6)&lt;ROUND($M37,6),CD37,0)))</f>
        <v/>
      </c>
      <c r="GD37" s="68">
        <f>IF(OR($U37=0,$F37&lt;&gt;2),0,IF(GC37&gt;0,GC37,IF(ROUND(CE37*$J37,6)&lt;ROUND($M37,6),CE37,0)))</f>
        <v/>
      </c>
      <c r="GE37" s="68">
        <f>IF(OR($U37=0,$F37&lt;&gt;2),0,IF(GD37&gt;0,GD37,IF(ROUND(CF37*$J37,6)&lt;ROUND($M37,6),CF37,0)))</f>
        <v/>
      </c>
      <c r="GF37" s="68">
        <f>IF(OR($U37=0,$F37&lt;&gt;2),0,IF(GE37&gt;0,GE37,IF(ROUND(CG37*$J37,6)&lt;ROUND($M37,6),CG37,0)))</f>
        <v/>
      </c>
      <c r="GG37" s="68">
        <f>IF(OR($U37=0,$F37&lt;&gt;2),0,IF(GF37&gt;0,GF37,IF(ROUND(CH37*$J37,6)&lt;ROUND($M37,6),CH37,0)))</f>
        <v/>
      </c>
      <c r="GH37" s="68">
        <f>IF(OR($U37=0,$F37&lt;&gt;2),0,IF(GG37&gt;0,GG37,IF(ROUND(CI37*$J37,6)&lt;ROUND($M37,6),CI37,0)))</f>
        <v/>
      </c>
      <c r="GI37" s="68">
        <f>IF(OR($U37=0,$F37&lt;&gt;2),0,IF(GH37&gt;0,GH37,IF(ROUND(CJ37*$J37,6)&lt;ROUND($M37,6),CJ37,0)))</f>
        <v/>
      </c>
      <c r="GJ37" s="68">
        <f>IF(OR($U37=0,$F37&lt;&gt;2),0,IF(GI37&gt;0,GI37,IF(ROUND(CK37*$J37,6)&lt;ROUND($M37,6),CK37,0)))</f>
        <v/>
      </c>
      <c r="GK37" s="68">
        <f>IF(OR($U37=0,$F37&lt;&gt;2),0,IF(GJ37&gt;0,GJ37,IF(ROUND(CL37*$J37,6)&lt;ROUND($M37,6),CL37,0)))</f>
        <v/>
      </c>
      <c r="GL37" s="68">
        <f>IF(OR($U37=0,$F37&lt;&gt;2),0,IF(GK37&gt;0,GK37,IF(ROUND(CM37*$J37,6)&lt;ROUND($M37,6),CM37,0)))</f>
        <v/>
      </c>
      <c r="GM37" s="68">
        <f>IF(OR($U37=0,$F37&lt;&gt;2),0,IF(GL37&gt;0,GL37,IF(ROUND(CN37*$J37,6)&lt;ROUND($M37,6),CN37,0)))</f>
        <v/>
      </c>
      <c r="GN37" s="68">
        <f>IF(OR($U37=0,$F37&lt;&gt;2),0,IF(GM37&gt;0,GM37,IF(ROUND(CO37*$J37,6)&lt;ROUND($M37,6),CO37,0)))</f>
        <v/>
      </c>
      <c r="GO37" s="68">
        <f>IF(OR($U37=0,$F37&lt;&gt;2),0,IF(GN37&gt;0,GN37,IF(ROUND(CP37*$J37,6)&lt;ROUND($M37,6),CP37,0)))</f>
        <v/>
      </c>
      <c r="GP37" s="68">
        <f>IF(OR($U37=0,$F37&lt;&gt;2),0,IF(GO37&gt;0,GO37,IF(ROUND(CQ37*$J37,6)&lt;ROUND($M37,6),CQ37,0)))</f>
        <v/>
      </c>
      <c r="GQ37" s="68">
        <f>IF(OR($U37=0,$F37&lt;&gt;2),0,IF(GP37&gt;0,GP37,IF(ROUND(CR37*$J37,6)&lt;ROUND($M37,6),CR37,0)))</f>
        <v/>
      </c>
      <c r="GR37" s="68">
        <f>IF(OR($U37=0,$F37&lt;&gt;2),0,IF(GQ37&gt;0,GQ37,IF(ROUND(CS37*$J37,6)&lt;ROUND($M37,6),CS37,0)))</f>
        <v/>
      </c>
      <c r="GS37" s="68">
        <f>IF(OR($U37=0,$F37&lt;&gt;2),0,IF(GR37&gt;0,GR37,IF(ROUND(CT37*$J37,6)&lt;ROUND($M37,6),CT37,0)))</f>
        <v/>
      </c>
      <c r="GT37" s="68">
        <f>IF(OR($U37=0,$F37&lt;&gt;2),0,IF(GS37&gt;0,GS37,IF(ROUND(CU37*$J37,6)&lt;ROUND($M37,6),CU37,0)))</f>
        <v/>
      </c>
      <c r="GU37" s="68">
        <f>IF(OR($U37=0,$F37&lt;&gt;2),0,IF(GT37&gt;0,GT37,IF(ROUND(CV37*$J37,6)&lt;ROUND($M37,6),CV37,0)))</f>
        <v/>
      </c>
      <c r="GV37" s="68">
        <f>IF(OR($U37=0,$F37&lt;&gt;2),0,IF(GU37&gt;0,GU37,IF(ROUND(CW37*$J37,6)&lt;ROUND($M37,6),CW37,0)))</f>
        <v/>
      </c>
      <c r="GW37" s="68">
        <f>IF(OR($U37=0,$F37&lt;&gt;2),0,IF(GV37&gt;0,GV37,IF(ROUND(CX37*$J37,6)&lt;ROUND($M37,6),CX37,0)))</f>
        <v/>
      </c>
      <c r="GX37" s="68">
        <f>IF(OR($U37=0,$F37&lt;&gt;2),0,IF(GW37&gt;0,GW37,IF(ROUND(CY37*$J37,6)&lt;ROUND($M37,6),CY37,0)))</f>
        <v/>
      </c>
      <c r="GY37" s="68">
        <f>IF(OR($U37=0,$F37&lt;&gt;2),0,IF(GX37&gt;0,GX37,IF(ROUND(CZ37*$J37,6)&lt;ROUND($M37,6),CZ37,0)))</f>
        <v/>
      </c>
      <c r="GZ37" s="68">
        <f>IF(OR($U37=0,$F37&lt;&gt;2),0,IF(GY37&gt;0,GY37,IF(ROUND(DA37*$J37,6)&lt;ROUND($M37,6),DA37,0)))</f>
        <v/>
      </c>
      <c r="HA37" s="68">
        <f>IF(OR($U37=0,$F37&lt;&gt;2),0,IF(GZ37&gt;0,GZ37,IF(ROUND(DB37*$J37,6)&lt;ROUND($M37,6),DB37,0)))</f>
        <v/>
      </c>
      <c r="HB37" s="68">
        <f>IF(OR($U37=0,$F37&lt;&gt;2),0,IF(HA37&gt;0,HA37,IF(ROUND(DC37*$J37,6)&lt;ROUND($M37,6),DC37,0)))</f>
        <v/>
      </c>
      <c r="HC37" s="68">
        <f>IF(OR($U37=0,$F37&lt;&gt;2),0,IF(HB37&gt;0,HB37,IF(ROUND(DD37*$J37,6)&lt;ROUND($M37,6),DD37,0)))</f>
        <v/>
      </c>
      <c r="HD37" s="68">
        <f>IF(OR($U37=0,$F37&lt;&gt;2),0,IF(HC37&gt;0,HC37,IF(ROUND(DE37*$J37,6)&lt;ROUND($M37,6),DE37,0)))</f>
        <v/>
      </c>
      <c r="HE37" s="68">
        <f>IF(OR($U37=0,$F37&lt;&gt;2),0,IF(HD37&gt;0,HD37,IF(ROUND(DF37*$J37,6)&lt;ROUND($M37,6),DF37,0)))</f>
        <v/>
      </c>
      <c r="HF37" s="68">
        <f>IF(OR($U37=0,$F37&lt;&gt;2),0,IF(HE37&gt;0,HE37,IF(ROUND(DG37*$J37,6)&lt;ROUND($M37,6),DG37,0)))</f>
        <v/>
      </c>
      <c r="HG37" s="68">
        <f>IF(OR($U37=0,$F37&lt;&gt;2),0,IF(HF37&gt;0,HF37,IF(ROUND(DH37*$J37,6)&lt;ROUND($M37,6),DH37,0)))</f>
        <v/>
      </c>
      <c r="HH37" s="68">
        <f>IF(OR($U37=0,$F37&lt;&gt;2),0,IF(HG37&gt;0,HG37,IF(ROUND(DI37*$J37,6)&lt;ROUND($M37,6),DI37,0)))</f>
        <v/>
      </c>
      <c r="HI37" s="68">
        <f>IF(OR($U37=0,$F37&lt;&gt;2),0,IF(HH37&gt;0,HH37,IF(ROUND(DJ37*$J37,6)&lt;ROUND($M37,6),DJ37,0)))</f>
        <v/>
      </c>
      <c r="HJ37" s="68">
        <f>IF(OR($U37=0,$F37&lt;&gt;2),0,IF(HI37&gt;0,HI37,IF(ROUND(DK37*$J37,6)&lt;ROUND($M37,6),DK37,0)))</f>
        <v/>
      </c>
      <c r="HK37" s="68">
        <f>IF(OR($U37=0,$F37&lt;&gt;2),0,IF(HJ37&gt;0,HJ37,IF(ROUND(DL37*$J37,6)&lt;ROUND($M37,6),DL37,0)))</f>
        <v/>
      </c>
      <c r="HL37" s="68">
        <f>IF(OR($U37=0,$F37&lt;&gt;2),0,IF(HK37&gt;0,HK37,IF(ROUND(DM37*$J37,6)&lt;ROUND($M37,6),DM37,0)))</f>
        <v/>
      </c>
      <c r="HM37" s="68">
        <f>IF(OR($U37=0,$F37&lt;&gt;2),0,IF(HL37&gt;0,HL37,IF(ROUND(DN37*$J37,6)&lt;ROUND($M37,6),DN37,0)))</f>
        <v/>
      </c>
      <c r="HN37" s="68">
        <f>IF(OR($U37=0,$F37&lt;&gt;2),0,IF(HM37&gt;0,HM37,IF(ROUND(DO37*$J37,6)&lt;ROUND($M37,6),DO37,0)))</f>
        <v/>
      </c>
      <c r="HO37" s="68">
        <f>IF(OR($U37=0,$F37&lt;&gt;2),0,IF(HN37&gt;0,HN37,IF(ROUND(DP37*$J37,6)&lt;ROUND($M37,6),DP37,0)))</f>
        <v/>
      </c>
      <c r="HP37" s="68">
        <f>IF(OR($U37=0,$F37&lt;&gt;2),0,IF(HO37&gt;0,HO37,IF(ROUND(DQ37*$J37,6)&lt;ROUND($M37,6),DQ37,0)))</f>
        <v/>
      </c>
      <c r="HQ37" s="68">
        <f>IF(OR($U37=0,$F37&lt;&gt;2),0,IF(HP37&gt;0,HP37,IF(ROUND(DR37*$J37,6)&lt;ROUND($M37,6),DR37,0)))</f>
        <v/>
      </c>
      <c r="HR37" s="68">
        <f>IF(OR($U37=0,$F37&lt;&gt;2),0,IF(HQ37&gt;0,HQ37,IF(ROUND(DS37*$J37,6)&lt;ROUND($M37,6),DS37,0)))</f>
        <v/>
      </c>
      <c r="HS37" s="68">
        <f>IF(OR($U37=0,$F37&lt;&gt;2),0,IF(HR37&gt;0,HR37,IF(ROUND(DT37*$J37,6)&lt;ROUND($M37,6),DT37,0)))</f>
        <v/>
      </c>
      <c r="HT37" s="68">
        <f>IF(OR($U37=0,$F37&lt;&gt;2),0,IF(HS37&gt;0,HS37,IF(ROUND(DU37*$J37,6)&lt;ROUND($M37,6),DU37,0)))</f>
        <v/>
      </c>
      <c r="HU37" s="68">
        <f>IF(OR($U37=0,$F37&lt;&gt;2),0,IF(HT37&gt;0,HT37,IF(ROUND(DV37*$J37,6)&lt;ROUND($M37,6),DV37,0)))</f>
        <v/>
      </c>
      <c r="HV37" s="68">
        <f>IF(OR($U37=0,$F37&lt;&gt;2),0,IF(HU37&gt;0,HU37,IF(ROUND(DW37*$J37,6)&lt;ROUND($M37,6),DW37,0)))</f>
        <v/>
      </c>
      <c r="HW37" s="68">
        <f>IF(OR($U37=0,$F37&lt;&gt;2),0,IF(HV37&gt;0,HV37,IF(ROUND(DX37*$J37,6)&lt;ROUND($M37,6),DX37,0)))</f>
        <v/>
      </c>
      <c r="HX37" s="68">
        <f>IF(OR($U37=0,$F37&lt;&gt;2),0,IF(HW37&gt;0,HW37,IF(ROUND(DY37*$J37,6)&lt;ROUND($M37,6),DY37,0)))</f>
        <v/>
      </c>
      <c r="HY37" s="68">
        <f>IF(OR($U37=0,$F37&lt;&gt;2),0,IF(HX37&gt;0,HX37,IF(ROUND(DZ37*$J37,6)&lt;ROUND($M37,6),DZ37,0)))</f>
        <v/>
      </c>
      <c r="HZ37" s="68">
        <f>IF(OR($U37=0,$F37&lt;&gt;2),0,IF(HY37&gt;0,HY37,IF(ROUND(EA37*$J37,6)&lt;ROUND($M37,6),EA37,0)))</f>
        <v/>
      </c>
      <c r="IA37" s="68">
        <f>IF(OR($U37=0,$F37&lt;&gt;2),0,IF(HZ37&gt;0,HZ37,IF(ROUND(EB37*$J37,6)&lt;ROUND($M37,6),EB37,0)))</f>
        <v/>
      </c>
      <c r="IB37" s="68">
        <f>IF(OR($U37=0,$F37&lt;&gt;2),0,IF(IA37&gt;0,IA37,IF(ROUND(EC37*$J37,6)&lt;ROUND($M37,6),EC37,0)))</f>
        <v/>
      </c>
      <c r="IC37" s="68">
        <f>IF(OR($U37=0,$F37&lt;&gt;2),0,IF(IB37&gt;0,IB37,IF(ROUND(ED37*$J37,6)&lt;ROUND($M37,6),ED37,0)))</f>
        <v/>
      </c>
      <c r="ID37" s="68">
        <f>IF(OR($U37=0,$F37&lt;&gt;2),0,IF(IC37&gt;0,IC37,IF(ROUND(EE37*$J37,6)&lt;ROUND($M37,6),EE37,0)))</f>
        <v/>
      </c>
      <c r="IE37" s="68">
        <f>IF(OR($U37=0,$F37&lt;&gt;2),0,IF(ID37&gt;0,ID37,IF(ROUND(EF37*$J37,6)&lt;ROUND($M37,6),EF37,0)))</f>
        <v/>
      </c>
      <c r="IF37" s="68">
        <f>IF(OR($U37=0,$F37&lt;&gt;2),0,IF(IE37&gt;0,IE37,IF(ROUND(EG37*$J37,6)&lt;ROUND($M37,6),EG37,0)))</f>
        <v/>
      </c>
      <c r="IG37" s="68">
        <f>IF(OR($U37=0,$F37&lt;&gt;2),0,IF(IF37&gt;0,IF37,IF(ROUND(EH37*$J37,6)&lt;ROUND($M37,6),EH37,0)))</f>
        <v/>
      </c>
      <c r="IH37" s="68">
        <f>IF(OR($U37=0,$F37&lt;&gt;2),0,IF(IG37&gt;0,IG37,IF(ROUND(EI37*$J37,6)&lt;ROUND($M37,6),EI37,0)))</f>
        <v/>
      </c>
      <c r="II37" s="68">
        <f>IF(OR($U37=0,$F37&lt;&gt;2),0,IF(IH37&gt;0,IH37,IF(ROUND(EJ37*$J37,6)&lt;ROUND($M37,6),EJ37,0)))</f>
        <v/>
      </c>
      <c r="IJ37" s="68">
        <f>IF(OR($U37=0,$F37&lt;&gt;2),0,IF(II37&gt;0,II37,IF(ROUND(EK37*$J37,6)&lt;ROUND($M37,6),EK37,0)))</f>
        <v/>
      </c>
      <c r="IK37" s="68">
        <f>IF(OR($U37=0,$F37&lt;&gt;2),0,IF(IJ37&gt;0,IJ37,IF(ROUND(EL37*$J37,6)&lt;ROUND($M37,6),EL37,0)))</f>
        <v/>
      </c>
      <c r="IL37" s="68">
        <f>IF(OR($U37=0,$F37&lt;&gt;2),0,IF(IK37&gt;0,IK37,IF(ROUND(EM37*$J37,6)&lt;ROUND($M37,6),EM37,0)))</f>
        <v/>
      </c>
      <c r="IM37" s="68">
        <f>IF(OR($U37=0,$F37&lt;&gt;2),0,IF(IL37&gt;0,IL37,IF(ROUND(EN37*$J37,6)&lt;ROUND($M37,6),EN37,0)))</f>
        <v/>
      </c>
      <c r="IN37" s="68">
        <f>IF(OR($U37=0,$F37&lt;&gt;2),0,IF(IM37&gt;0,IM37,IF(ROUND(EO37*$J37,6)&lt;ROUND($M37,6),EO37,0)))</f>
        <v/>
      </c>
    </row>
    <row r="38">
      <c r="A38" s="68" t="n">
        <v>33</v>
      </c>
      <c r="B38" s="68">
        <f>IF(OR(TRIM('固定資産台帳'!$B38)&lt;&gt;"",'固定資産台帳'!$E38&lt;&gt;"",'固定資産台帳'!$G38&lt;&gt;"",'固定資産台帳'!$H38&lt;&gt;""),1,0)</f>
        <v/>
      </c>
      <c r="C38" s="68">
        <f>IF(ISNUMBER('固定資産台帳'!$G38),MAX(ROUND('固定資産台帳'!$G38,0),0),0)</f>
        <v/>
      </c>
      <c r="D38" s="84">
        <f>IF(ISNUMBER('固定資産台帳'!$E38),INT('固定資産台帳'!$E38),0)</f>
        <v/>
      </c>
      <c r="E38" s="84">
        <f>IF(ISNUMBER('固定資産台帳'!$F38),INT('固定資産台帳'!$F38),$D38)</f>
        <v/>
      </c>
      <c r="F38" s="68">
        <f>IF('固定資産台帳'!$H38="定額法",1,IF(OR('固定資産台帳'!$H38="定率法",'固定資産台帳'!$H38="定率法（200%）",'固定資産台帳'!$H38="定率法（250%）"),2,IF('固定資産台帳'!$H38="一括償却（3年）",3,IF('固定資産台帳'!$H38="少額特例",4,0))))</f>
        <v/>
      </c>
      <c r="G38" s="68">
        <f>IF('固定資産台帳'!$H38="定率法（250%）",250,IF('固定資産台帳'!$H38="定率法（200%）",200,IF($D38&gt;=DATE(2012,4,1),200,250)))</f>
        <v/>
      </c>
      <c r="H38" s="68">
        <f>IF(ISNUMBER('固定資産台帳'!$I38),IF(AND('固定資産台帳'!$I38&gt;=2,'固定資産台帳'!$I38&lt;=100,'固定資産台帳'!$I38=INT('固定資産台帳'!$I38)),'固定資産台帳'!$I38,0),0)</f>
        <v/>
      </c>
      <c r="I38" s="68">
        <f>IF('固定資産台帳'!$C38="無形固定資産",0,1)</f>
        <v/>
      </c>
      <c r="J38" s="68">
        <f>IF(OR($H38=0,$F38=0,$F38&gt;2),0,IF($F38=1,INDEX('償却率表'!$B$6:$B$104,$H38-1),IF($G38=200,INDEX('償却率表'!$C$6:$C$104,$H38-1),INDEX('償却率表'!$F$6:$F$104,$H38-1))))</f>
        <v/>
      </c>
      <c r="K38" s="68">
        <f>IF(AND($F38=2,$H38&gt;0),IF($G38=200,INDEX('償却率表'!$D$6:$D$104,$H38-1),INDEX('償却率表'!$G$6:$G$104,$H38-1)),0)</f>
        <v/>
      </c>
      <c r="L38" s="68">
        <f>IF(AND($F38=2,$H38&gt;0),IF($G38=200,INDEX('償却率表'!$E$6:$E$104,$H38-1),INDEX('償却率表'!$H$6:$H$104,$H38-1)),0)</f>
        <v/>
      </c>
      <c r="M38" s="68">
        <f>$C38*$L38</f>
        <v/>
      </c>
      <c r="N38" s="68">
        <f>IF($B$1=1,1,IF('固定資産台帳'!$J38="",1,IF(ISNUMBER('固定資産台帳'!$J38),IF(AND('固定資産台帳'!$J38&gt;0,'固定資産台帳'!$J38&lt;=1),'固定資産台帳'!$J38,0),0)))</f>
        <v/>
      </c>
      <c r="O38" s="68">
        <f>IF($E38=0,0,YEAR($E38)-IF(MONTH($E38)&lt;$B$2,1,0))</f>
        <v/>
      </c>
      <c r="P38" s="68">
        <f>IF($E38=0,0,12-MOD(MONTH($E38)-$B$2,12))</f>
        <v/>
      </c>
      <c r="Q38" s="84">
        <f>IF(ISNUMBER('固定資産台帳'!$K38),INT('固定資産台帳'!$K38),0)</f>
        <v/>
      </c>
      <c r="R38" s="68">
        <f>IF(OR($Q38=0,$E38=0),999,YEAR($Q38)-IF(MONTH($Q38)&lt;$B$2,1,0)-$O38)</f>
        <v/>
      </c>
      <c r="S38" s="68">
        <f>IF($R38=999,0,MOD(MONTH($Q38)-$B$2,12)+1-IF($R38=0,12-$P38,0))</f>
        <v/>
      </c>
      <c r="T38" s="68">
        <f>IF($B38=0,0,IF($C38&lt;=0,1,IF($D38=0,2,IF($F38=0,3,IF(AND($F38&lt;=2,$H38=0),4,IF(AND($F38&lt;=2,$D38&lt;DATE(2007,4,1)),5,IF($E38&lt;$D38,6,IF(AND($Q38&gt;0,$Q38&lt;$E38),7,IF($N38=0,8,IF($B$3=0,9,0))))))))))</f>
        <v/>
      </c>
      <c r="U38" s="68">
        <f>IF(AND($B38=1,$T38=0),1,0)</f>
        <v/>
      </c>
      <c r="V38" s="68">
        <f>$B$3-$O38</f>
        <v/>
      </c>
      <c r="W38" s="68">
        <f>IF(AND($U38=1,$V38&gt;=0),1,0)</f>
        <v/>
      </c>
      <c r="X38" s="68">
        <f>IF($W38=0,0,IF($V38=0,$C38,INDEX($AS38:$EP38,MIN($V38,102))))</f>
        <v/>
      </c>
      <c r="Y38" s="68">
        <f>IF($W38=0,0,INDEX($AS38:$EP38,MIN($V38,101)+1))</f>
        <v/>
      </c>
      <c r="Z38" s="68">
        <f>$X38-$Y38</f>
        <v/>
      </c>
      <c r="AA38" s="68">
        <f>IF(AND($W38=1,$F38=2,$V38&gt;=1),INDEX($ER38:$IN38,MIN($V38,101)),0)</f>
        <v/>
      </c>
      <c r="AB38" s="68">
        <f>IF(OR($W38=0,$F38&gt;2,$Z38=0),0,IF($V38=0,IF($R38=0,$S38,$P38),IF($V38=$R38,$S38,12)))</f>
        <v/>
      </c>
      <c r="AC38" s="68">
        <f>IF($W38=0,0,INT(ROUND($Z38*$N38,6)+$B$4))</f>
        <v/>
      </c>
      <c r="AD38" s="68">
        <f>IF(AND($W38=1,$F38&lt;=2,$V38=$R38),1,0)</f>
        <v/>
      </c>
      <c r="AE38" s="68">
        <f>IF(AND($W38=1,$F38&lt;=2,$V38&gt;$R38),1,0)</f>
        <v/>
      </c>
      <c r="AF38" s="68">
        <f>IF(AND($W38=1,$AE38=0,OR($Z38&gt;0,$AD38=1)),1,0)</f>
        <v/>
      </c>
      <c r="AG38" s="68">
        <f>IF($AF38=1,SUM($AF$6:$AF38),0)</f>
        <v/>
      </c>
      <c r="AH38" s="68">
        <f>IF($T38=0,"",CHOOSE($T38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38" s="68">
        <f>IF(AND($F38=2,OR('固定資産台帳'!$C38="建物",'固定資産台帳'!$C38="無形固定資産",AND(OR('固定資産台帳'!$C38="建物附属設備",'固定資産台帳'!$C38="構築物"),$D38&gt;=DATE(2016,4,1)))),"この資産は定額法だけです（定率法は使えません）。","")&amp;IF(AND($F38=3,$C38&gt;=200000),"一括償却は20万円未満の資産だけです。","")&amp;IF(AND($F38=3,$B$1=0,$C38&lt;100000),"10万円未満は一括償却にせず、全額をその年の経費にします。","")&amp;IF(AND($F38=4,$C38&lt;100000),"10万円未満は少額特例ではなく、全額をその年の経費にします。","")&amp;IF(AND($F38=4,$D38&lt;DATE(2026,4,1),$C38&gt;=300000),"2026年3月31日までの取得で少額特例が使えるのは30万円未満です。","")&amp;IF(AND($F38=4,$D38&gt;=DATE(2026,4,1),$C38&gt;=400000),"少額特例は40万円未満の資産だけです。","")&amp;IF(AND($F38=4,OR($D38&lt;DATE(2006,4,1),$D38&gt;DATE(2029,3,31))),"少額特例は2006年4月1日〜2029年3月31日に取得した資産だけです。","")&amp;IF(AND($F38=2,$G38=250,$D38&gt;DATE(2012,12,31)),"250%定率法は2012年12月31日までの取得だけです。","")</f>
        <v/>
      </c>
      <c r="AJ38" s="68">
        <f>IF(AND($F38=2,'固定資産台帳'!$H38="定率法（200%）",$D38&lt;DATE(2012,4,1)),"2012年3月31日までの取得に200%を使うのは、経過措置の届出をした場合です。","")&amp;IF(AND($F38=2,'固定資産台帳'!$H38="定率法（250%）",$D38&gt;=DATE(2012,4,1),$D38&lt;=DATE(2012,12,31)),"2012年4〜12月の取得に250%を使うのは、経過措置を選んだ場合です。","")</f>
        <v/>
      </c>
      <c r="AK38" s="68">
        <f>IF($U38=0,"",IF($V38&lt;0,"表示している年より後に使い始める資産です。",IF($AE38=1,"売却・除却済みです。",IF($AD38=1,"この年に売却・除却。期末の帳簿価額 "&amp;TEXT($Y38,"#,##0")&amp;"円を帳簿から外します。",IF($F38=4,IF($V38=0,"少額特例：この年に全額を経費にします。","少額特例で経費にした資産です。"),IF($F38=3,IF($V38&gt;2,"一括償却は終わっています。","一括償却 "&amp;($V38+1)&amp;"年目（3年のうち）。"),IF($Z38=0,"償却済み（帳簿価額 "&amp;TEXT($Y38,"#,##0")&amp;"円）。",IF($AA38&gt;0,"改定償却率で計算（改定取得価額 "&amp;TEXT($AA38,"#,##0")&amp;"円）。",IF($V38=0,"この年に使い始め（"&amp;$AB38&amp;"か月分）。","")))))))))</f>
        <v/>
      </c>
      <c r="AL38" s="68">
        <f>IF(AND($U38=1,$F38=4,$V38=0),$C38,0)</f>
        <v/>
      </c>
      <c r="AM38" s="68">
        <f>IF($F38=2,INT(ROUND($M38,6)+$B$4),0)</f>
        <v/>
      </c>
      <c r="AN38" s="68">
        <f>IF($W38=0,0,IF($F38=2,IF($AA38&gt;0,$AA38,$X38),$C38))</f>
        <v/>
      </c>
      <c r="AO38" s="68">
        <f>IF($W38=0,"",IF($F38=3,"1/3",IF($F38=4,"―",IF($AA38&gt;0,$K38,$J38))))</f>
        <v/>
      </c>
      <c r="AP38" s="68" t="n"/>
      <c r="AQ38" s="68" t="n"/>
      <c r="AR38" s="68" t="n"/>
      <c r="AS38" s="68">
        <f>IF($U38=0,0,IF($F38=4,0,IF($F38=3,MAX($C38-INT(ROUND($C38/3,6)+$B$4),0),$C38-MIN(INT(ROUND($C38*$J38*IF($R38=0,$S38,$P38)/12,6)+$B$4),MAX($C38-$I38,0)))))</f>
        <v/>
      </c>
      <c r="AT38" s="68">
        <f>IF($U38=0,0,IF($F38=4,0,IF($F38=3,AS38-MIN(INT(ROUND($C38/3,6)+$B$4),AS38),IF(OR(1&gt;$R38,AS38&lt;=$I38),AS38,AS38-MIN(INT(ROUND(IF($F38=1,$C38*$J38,IF(ER38&gt;0,ER38*$K38,AS38*$J38))*IF(1=$R38,$S38,12)/12,6)+$B$4),AS38-$I38)))))</f>
        <v/>
      </c>
      <c r="AU38" s="68">
        <f>IF($U38=0,0,IF($F38=4,0,IF($F38=3,0,IF(OR(2&gt;$R38,AT38&lt;=$I38),AT38,AT38-MIN(INT(ROUND(IF($F38=1,$C38*$J38,IF(ES38&gt;0,ES38*$K38,AT38*$J38))*IF(2=$R38,$S38,12)/12,6)+$B$4),AT38-$I38)))))</f>
        <v/>
      </c>
      <c r="AV38" s="68">
        <f>IF($U38=0,0,IF($F38=4,0,IF($F38=3,0,IF(OR(3&gt;$R38,AU38&lt;=$I38),AU38,AU38-MIN(INT(ROUND(IF($F38=1,$C38*$J38,IF(ET38&gt;0,ET38*$K38,AU38*$J38))*IF(3=$R38,$S38,12)/12,6)+$B$4),AU38-$I38)))))</f>
        <v/>
      </c>
      <c r="AW38" s="68">
        <f>IF($U38=0,0,IF($F38=4,0,IF($F38=3,0,IF(OR(4&gt;$R38,AV38&lt;=$I38),AV38,AV38-MIN(INT(ROUND(IF($F38=1,$C38*$J38,IF(EU38&gt;0,EU38*$K38,AV38*$J38))*IF(4=$R38,$S38,12)/12,6)+$B$4),AV38-$I38)))))</f>
        <v/>
      </c>
      <c r="AX38" s="68">
        <f>IF($U38=0,0,IF($F38=4,0,IF($F38=3,0,IF(OR(5&gt;$R38,AW38&lt;=$I38),AW38,AW38-MIN(INT(ROUND(IF($F38=1,$C38*$J38,IF(EV38&gt;0,EV38*$K38,AW38*$J38))*IF(5=$R38,$S38,12)/12,6)+$B$4),AW38-$I38)))))</f>
        <v/>
      </c>
      <c r="AY38" s="68">
        <f>IF($U38=0,0,IF($F38=4,0,IF($F38=3,0,IF(OR(6&gt;$R38,AX38&lt;=$I38),AX38,AX38-MIN(INT(ROUND(IF($F38=1,$C38*$J38,IF(EW38&gt;0,EW38*$K38,AX38*$J38))*IF(6=$R38,$S38,12)/12,6)+$B$4),AX38-$I38)))))</f>
        <v/>
      </c>
      <c r="AZ38" s="68">
        <f>IF($U38=0,0,IF($F38=4,0,IF($F38=3,0,IF(OR(7&gt;$R38,AY38&lt;=$I38),AY38,AY38-MIN(INT(ROUND(IF($F38=1,$C38*$J38,IF(EX38&gt;0,EX38*$K38,AY38*$J38))*IF(7=$R38,$S38,12)/12,6)+$B$4),AY38-$I38)))))</f>
        <v/>
      </c>
      <c r="BA38" s="68">
        <f>IF($U38=0,0,IF($F38=4,0,IF($F38=3,0,IF(OR(8&gt;$R38,AZ38&lt;=$I38),AZ38,AZ38-MIN(INT(ROUND(IF($F38=1,$C38*$J38,IF(EY38&gt;0,EY38*$K38,AZ38*$J38))*IF(8=$R38,$S38,12)/12,6)+$B$4),AZ38-$I38)))))</f>
        <v/>
      </c>
      <c r="BB38" s="68">
        <f>IF($U38=0,0,IF($F38=4,0,IF($F38=3,0,IF(OR(9&gt;$R38,BA38&lt;=$I38),BA38,BA38-MIN(INT(ROUND(IF($F38=1,$C38*$J38,IF(EZ38&gt;0,EZ38*$K38,BA38*$J38))*IF(9=$R38,$S38,12)/12,6)+$B$4),BA38-$I38)))))</f>
        <v/>
      </c>
      <c r="BC38" s="68">
        <f>IF($U38=0,0,IF($F38=4,0,IF($F38=3,0,IF(OR(10&gt;$R38,BB38&lt;=$I38),BB38,BB38-MIN(INT(ROUND(IF($F38=1,$C38*$J38,IF(FA38&gt;0,FA38*$K38,BB38*$J38))*IF(10=$R38,$S38,12)/12,6)+$B$4),BB38-$I38)))))</f>
        <v/>
      </c>
      <c r="BD38" s="68">
        <f>IF($U38=0,0,IF($F38=4,0,IF($F38=3,0,IF(OR(11&gt;$R38,BC38&lt;=$I38),BC38,BC38-MIN(INT(ROUND(IF($F38=1,$C38*$J38,IF(FB38&gt;0,FB38*$K38,BC38*$J38))*IF(11=$R38,$S38,12)/12,6)+$B$4),BC38-$I38)))))</f>
        <v/>
      </c>
      <c r="BE38" s="68">
        <f>IF($U38=0,0,IF($F38=4,0,IF($F38=3,0,IF(OR(12&gt;$R38,BD38&lt;=$I38),BD38,BD38-MIN(INT(ROUND(IF($F38=1,$C38*$J38,IF(FC38&gt;0,FC38*$K38,BD38*$J38))*IF(12=$R38,$S38,12)/12,6)+$B$4),BD38-$I38)))))</f>
        <v/>
      </c>
      <c r="BF38" s="68">
        <f>IF($U38=0,0,IF($F38=4,0,IF($F38=3,0,IF(OR(13&gt;$R38,BE38&lt;=$I38),BE38,BE38-MIN(INT(ROUND(IF($F38=1,$C38*$J38,IF(FD38&gt;0,FD38*$K38,BE38*$J38))*IF(13=$R38,$S38,12)/12,6)+$B$4),BE38-$I38)))))</f>
        <v/>
      </c>
      <c r="BG38" s="68">
        <f>IF($U38=0,0,IF($F38=4,0,IF($F38=3,0,IF(OR(14&gt;$R38,BF38&lt;=$I38),BF38,BF38-MIN(INT(ROUND(IF($F38=1,$C38*$J38,IF(FE38&gt;0,FE38*$K38,BF38*$J38))*IF(14=$R38,$S38,12)/12,6)+$B$4),BF38-$I38)))))</f>
        <v/>
      </c>
      <c r="BH38" s="68">
        <f>IF($U38=0,0,IF($F38=4,0,IF($F38=3,0,IF(OR(15&gt;$R38,BG38&lt;=$I38),BG38,BG38-MIN(INT(ROUND(IF($F38=1,$C38*$J38,IF(FF38&gt;0,FF38*$K38,BG38*$J38))*IF(15=$R38,$S38,12)/12,6)+$B$4),BG38-$I38)))))</f>
        <v/>
      </c>
      <c r="BI38" s="68">
        <f>IF($U38=0,0,IF($F38=4,0,IF($F38=3,0,IF(OR(16&gt;$R38,BH38&lt;=$I38),BH38,BH38-MIN(INT(ROUND(IF($F38=1,$C38*$J38,IF(FG38&gt;0,FG38*$K38,BH38*$J38))*IF(16=$R38,$S38,12)/12,6)+$B$4),BH38-$I38)))))</f>
        <v/>
      </c>
      <c r="BJ38" s="68">
        <f>IF($U38=0,0,IF($F38=4,0,IF($F38=3,0,IF(OR(17&gt;$R38,BI38&lt;=$I38),BI38,BI38-MIN(INT(ROUND(IF($F38=1,$C38*$J38,IF(FH38&gt;0,FH38*$K38,BI38*$J38))*IF(17=$R38,$S38,12)/12,6)+$B$4),BI38-$I38)))))</f>
        <v/>
      </c>
      <c r="BK38" s="68">
        <f>IF($U38=0,0,IF($F38=4,0,IF($F38=3,0,IF(OR(18&gt;$R38,BJ38&lt;=$I38),BJ38,BJ38-MIN(INT(ROUND(IF($F38=1,$C38*$J38,IF(FI38&gt;0,FI38*$K38,BJ38*$J38))*IF(18=$R38,$S38,12)/12,6)+$B$4),BJ38-$I38)))))</f>
        <v/>
      </c>
      <c r="BL38" s="68">
        <f>IF($U38=0,0,IF($F38=4,0,IF($F38=3,0,IF(OR(19&gt;$R38,BK38&lt;=$I38),BK38,BK38-MIN(INT(ROUND(IF($F38=1,$C38*$J38,IF(FJ38&gt;0,FJ38*$K38,BK38*$J38))*IF(19=$R38,$S38,12)/12,6)+$B$4),BK38-$I38)))))</f>
        <v/>
      </c>
      <c r="BM38" s="68">
        <f>IF($U38=0,0,IF($F38=4,0,IF($F38=3,0,IF(OR(20&gt;$R38,BL38&lt;=$I38),BL38,BL38-MIN(INT(ROUND(IF($F38=1,$C38*$J38,IF(FK38&gt;0,FK38*$K38,BL38*$J38))*IF(20=$R38,$S38,12)/12,6)+$B$4),BL38-$I38)))))</f>
        <v/>
      </c>
      <c r="BN38" s="68">
        <f>IF($U38=0,0,IF($F38=4,0,IF($F38=3,0,IF(OR(21&gt;$R38,BM38&lt;=$I38),BM38,BM38-MIN(INT(ROUND(IF($F38=1,$C38*$J38,IF(FL38&gt;0,FL38*$K38,BM38*$J38))*IF(21=$R38,$S38,12)/12,6)+$B$4),BM38-$I38)))))</f>
        <v/>
      </c>
      <c r="BO38" s="68">
        <f>IF($U38=0,0,IF($F38=4,0,IF($F38=3,0,IF(OR(22&gt;$R38,BN38&lt;=$I38),BN38,BN38-MIN(INT(ROUND(IF($F38=1,$C38*$J38,IF(FM38&gt;0,FM38*$K38,BN38*$J38))*IF(22=$R38,$S38,12)/12,6)+$B$4),BN38-$I38)))))</f>
        <v/>
      </c>
      <c r="BP38" s="68">
        <f>IF($U38=0,0,IF($F38=4,0,IF($F38=3,0,IF(OR(23&gt;$R38,BO38&lt;=$I38),BO38,BO38-MIN(INT(ROUND(IF($F38=1,$C38*$J38,IF(FN38&gt;0,FN38*$K38,BO38*$J38))*IF(23=$R38,$S38,12)/12,6)+$B$4),BO38-$I38)))))</f>
        <v/>
      </c>
      <c r="BQ38" s="68">
        <f>IF($U38=0,0,IF($F38=4,0,IF($F38=3,0,IF(OR(24&gt;$R38,BP38&lt;=$I38),BP38,BP38-MIN(INT(ROUND(IF($F38=1,$C38*$J38,IF(FO38&gt;0,FO38*$K38,BP38*$J38))*IF(24=$R38,$S38,12)/12,6)+$B$4),BP38-$I38)))))</f>
        <v/>
      </c>
      <c r="BR38" s="68">
        <f>IF($U38=0,0,IF($F38=4,0,IF($F38=3,0,IF(OR(25&gt;$R38,BQ38&lt;=$I38),BQ38,BQ38-MIN(INT(ROUND(IF($F38=1,$C38*$J38,IF(FP38&gt;0,FP38*$K38,BQ38*$J38))*IF(25=$R38,$S38,12)/12,6)+$B$4),BQ38-$I38)))))</f>
        <v/>
      </c>
      <c r="BS38" s="68">
        <f>IF($U38=0,0,IF($F38=4,0,IF($F38=3,0,IF(OR(26&gt;$R38,BR38&lt;=$I38),BR38,BR38-MIN(INT(ROUND(IF($F38=1,$C38*$J38,IF(FQ38&gt;0,FQ38*$K38,BR38*$J38))*IF(26=$R38,$S38,12)/12,6)+$B$4),BR38-$I38)))))</f>
        <v/>
      </c>
      <c r="BT38" s="68">
        <f>IF($U38=0,0,IF($F38=4,0,IF($F38=3,0,IF(OR(27&gt;$R38,BS38&lt;=$I38),BS38,BS38-MIN(INT(ROUND(IF($F38=1,$C38*$J38,IF(FR38&gt;0,FR38*$K38,BS38*$J38))*IF(27=$R38,$S38,12)/12,6)+$B$4),BS38-$I38)))))</f>
        <v/>
      </c>
      <c r="BU38" s="68">
        <f>IF($U38=0,0,IF($F38=4,0,IF($F38=3,0,IF(OR(28&gt;$R38,BT38&lt;=$I38),BT38,BT38-MIN(INT(ROUND(IF($F38=1,$C38*$J38,IF(FS38&gt;0,FS38*$K38,BT38*$J38))*IF(28=$R38,$S38,12)/12,6)+$B$4),BT38-$I38)))))</f>
        <v/>
      </c>
      <c r="BV38" s="68">
        <f>IF($U38=0,0,IF($F38=4,0,IF($F38=3,0,IF(OR(29&gt;$R38,BU38&lt;=$I38),BU38,BU38-MIN(INT(ROUND(IF($F38=1,$C38*$J38,IF(FT38&gt;0,FT38*$K38,BU38*$J38))*IF(29=$R38,$S38,12)/12,6)+$B$4),BU38-$I38)))))</f>
        <v/>
      </c>
      <c r="BW38" s="68">
        <f>IF($U38=0,0,IF($F38=4,0,IF($F38=3,0,IF(OR(30&gt;$R38,BV38&lt;=$I38),BV38,BV38-MIN(INT(ROUND(IF($F38=1,$C38*$J38,IF(FU38&gt;0,FU38*$K38,BV38*$J38))*IF(30=$R38,$S38,12)/12,6)+$B$4),BV38-$I38)))))</f>
        <v/>
      </c>
      <c r="BX38" s="68">
        <f>IF($U38=0,0,IF($F38=4,0,IF($F38=3,0,IF(OR(31&gt;$R38,BW38&lt;=$I38),BW38,BW38-MIN(INT(ROUND(IF($F38=1,$C38*$J38,IF(FV38&gt;0,FV38*$K38,BW38*$J38))*IF(31=$R38,$S38,12)/12,6)+$B$4),BW38-$I38)))))</f>
        <v/>
      </c>
      <c r="BY38" s="68">
        <f>IF($U38=0,0,IF($F38=4,0,IF($F38=3,0,IF(OR(32&gt;$R38,BX38&lt;=$I38),BX38,BX38-MIN(INT(ROUND(IF($F38=1,$C38*$J38,IF(FW38&gt;0,FW38*$K38,BX38*$J38))*IF(32=$R38,$S38,12)/12,6)+$B$4),BX38-$I38)))))</f>
        <v/>
      </c>
      <c r="BZ38" s="68">
        <f>IF($U38=0,0,IF($F38=4,0,IF($F38=3,0,IF(OR(33&gt;$R38,BY38&lt;=$I38),BY38,BY38-MIN(INT(ROUND(IF($F38=1,$C38*$J38,IF(FX38&gt;0,FX38*$K38,BY38*$J38))*IF(33=$R38,$S38,12)/12,6)+$B$4),BY38-$I38)))))</f>
        <v/>
      </c>
      <c r="CA38" s="68">
        <f>IF($U38=0,0,IF($F38=4,0,IF($F38=3,0,IF(OR(34&gt;$R38,BZ38&lt;=$I38),BZ38,BZ38-MIN(INT(ROUND(IF($F38=1,$C38*$J38,IF(FY38&gt;0,FY38*$K38,BZ38*$J38))*IF(34=$R38,$S38,12)/12,6)+$B$4),BZ38-$I38)))))</f>
        <v/>
      </c>
      <c r="CB38" s="68">
        <f>IF($U38=0,0,IF($F38=4,0,IF($F38=3,0,IF(OR(35&gt;$R38,CA38&lt;=$I38),CA38,CA38-MIN(INT(ROUND(IF($F38=1,$C38*$J38,IF(FZ38&gt;0,FZ38*$K38,CA38*$J38))*IF(35=$R38,$S38,12)/12,6)+$B$4),CA38-$I38)))))</f>
        <v/>
      </c>
      <c r="CC38" s="68">
        <f>IF($U38=0,0,IF($F38=4,0,IF($F38=3,0,IF(OR(36&gt;$R38,CB38&lt;=$I38),CB38,CB38-MIN(INT(ROUND(IF($F38=1,$C38*$J38,IF(GA38&gt;0,GA38*$K38,CB38*$J38))*IF(36=$R38,$S38,12)/12,6)+$B$4),CB38-$I38)))))</f>
        <v/>
      </c>
      <c r="CD38" s="68">
        <f>IF($U38=0,0,IF($F38=4,0,IF($F38=3,0,IF(OR(37&gt;$R38,CC38&lt;=$I38),CC38,CC38-MIN(INT(ROUND(IF($F38=1,$C38*$J38,IF(GB38&gt;0,GB38*$K38,CC38*$J38))*IF(37=$R38,$S38,12)/12,6)+$B$4),CC38-$I38)))))</f>
        <v/>
      </c>
      <c r="CE38" s="68">
        <f>IF($U38=0,0,IF($F38=4,0,IF($F38=3,0,IF(OR(38&gt;$R38,CD38&lt;=$I38),CD38,CD38-MIN(INT(ROUND(IF($F38=1,$C38*$J38,IF(GC38&gt;0,GC38*$K38,CD38*$J38))*IF(38=$R38,$S38,12)/12,6)+$B$4),CD38-$I38)))))</f>
        <v/>
      </c>
      <c r="CF38" s="68">
        <f>IF($U38=0,0,IF($F38=4,0,IF($F38=3,0,IF(OR(39&gt;$R38,CE38&lt;=$I38),CE38,CE38-MIN(INT(ROUND(IF($F38=1,$C38*$J38,IF(GD38&gt;0,GD38*$K38,CE38*$J38))*IF(39=$R38,$S38,12)/12,6)+$B$4),CE38-$I38)))))</f>
        <v/>
      </c>
      <c r="CG38" s="68">
        <f>IF($U38=0,0,IF($F38=4,0,IF($F38=3,0,IF(OR(40&gt;$R38,CF38&lt;=$I38),CF38,CF38-MIN(INT(ROUND(IF($F38=1,$C38*$J38,IF(GE38&gt;0,GE38*$K38,CF38*$J38))*IF(40=$R38,$S38,12)/12,6)+$B$4),CF38-$I38)))))</f>
        <v/>
      </c>
      <c r="CH38" s="68">
        <f>IF($U38=0,0,IF($F38=4,0,IF($F38=3,0,IF(OR(41&gt;$R38,CG38&lt;=$I38),CG38,CG38-MIN(INT(ROUND(IF($F38=1,$C38*$J38,IF(GF38&gt;0,GF38*$K38,CG38*$J38))*IF(41=$R38,$S38,12)/12,6)+$B$4),CG38-$I38)))))</f>
        <v/>
      </c>
      <c r="CI38" s="68">
        <f>IF($U38=0,0,IF($F38=4,0,IF($F38=3,0,IF(OR(42&gt;$R38,CH38&lt;=$I38),CH38,CH38-MIN(INT(ROUND(IF($F38=1,$C38*$J38,IF(GG38&gt;0,GG38*$K38,CH38*$J38))*IF(42=$R38,$S38,12)/12,6)+$B$4),CH38-$I38)))))</f>
        <v/>
      </c>
      <c r="CJ38" s="68">
        <f>IF($U38=0,0,IF($F38=4,0,IF($F38=3,0,IF(OR(43&gt;$R38,CI38&lt;=$I38),CI38,CI38-MIN(INT(ROUND(IF($F38=1,$C38*$J38,IF(GH38&gt;0,GH38*$K38,CI38*$J38))*IF(43=$R38,$S38,12)/12,6)+$B$4),CI38-$I38)))))</f>
        <v/>
      </c>
      <c r="CK38" s="68">
        <f>IF($U38=0,0,IF($F38=4,0,IF($F38=3,0,IF(OR(44&gt;$R38,CJ38&lt;=$I38),CJ38,CJ38-MIN(INT(ROUND(IF($F38=1,$C38*$J38,IF(GI38&gt;0,GI38*$K38,CJ38*$J38))*IF(44=$R38,$S38,12)/12,6)+$B$4),CJ38-$I38)))))</f>
        <v/>
      </c>
      <c r="CL38" s="68">
        <f>IF($U38=0,0,IF($F38=4,0,IF($F38=3,0,IF(OR(45&gt;$R38,CK38&lt;=$I38),CK38,CK38-MIN(INT(ROUND(IF($F38=1,$C38*$J38,IF(GJ38&gt;0,GJ38*$K38,CK38*$J38))*IF(45=$R38,$S38,12)/12,6)+$B$4),CK38-$I38)))))</f>
        <v/>
      </c>
      <c r="CM38" s="68">
        <f>IF($U38=0,0,IF($F38=4,0,IF($F38=3,0,IF(OR(46&gt;$R38,CL38&lt;=$I38),CL38,CL38-MIN(INT(ROUND(IF($F38=1,$C38*$J38,IF(GK38&gt;0,GK38*$K38,CL38*$J38))*IF(46=$R38,$S38,12)/12,6)+$B$4),CL38-$I38)))))</f>
        <v/>
      </c>
      <c r="CN38" s="68">
        <f>IF($U38=0,0,IF($F38=4,0,IF($F38=3,0,IF(OR(47&gt;$R38,CM38&lt;=$I38),CM38,CM38-MIN(INT(ROUND(IF($F38=1,$C38*$J38,IF(GL38&gt;0,GL38*$K38,CM38*$J38))*IF(47=$R38,$S38,12)/12,6)+$B$4),CM38-$I38)))))</f>
        <v/>
      </c>
      <c r="CO38" s="68">
        <f>IF($U38=0,0,IF($F38=4,0,IF($F38=3,0,IF(OR(48&gt;$R38,CN38&lt;=$I38),CN38,CN38-MIN(INT(ROUND(IF($F38=1,$C38*$J38,IF(GM38&gt;0,GM38*$K38,CN38*$J38))*IF(48=$R38,$S38,12)/12,6)+$B$4),CN38-$I38)))))</f>
        <v/>
      </c>
      <c r="CP38" s="68">
        <f>IF($U38=0,0,IF($F38=4,0,IF($F38=3,0,IF(OR(49&gt;$R38,CO38&lt;=$I38),CO38,CO38-MIN(INT(ROUND(IF($F38=1,$C38*$J38,IF(GN38&gt;0,GN38*$K38,CO38*$J38))*IF(49=$R38,$S38,12)/12,6)+$B$4),CO38-$I38)))))</f>
        <v/>
      </c>
      <c r="CQ38" s="68">
        <f>IF($U38=0,0,IF($F38=4,0,IF($F38=3,0,IF(OR(50&gt;$R38,CP38&lt;=$I38),CP38,CP38-MIN(INT(ROUND(IF($F38=1,$C38*$J38,IF(GO38&gt;0,GO38*$K38,CP38*$J38))*IF(50=$R38,$S38,12)/12,6)+$B$4),CP38-$I38)))))</f>
        <v/>
      </c>
      <c r="CR38" s="68">
        <f>IF($U38=0,0,IF($F38=4,0,IF($F38=3,0,IF(OR(51&gt;$R38,CQ38&lt;=$I38),CQ38,CQ38-MIN(INT(ROUND(IF($F38=1,$C38*$J38,IF(GP38&gt;0,GP38*$K38,CQ38*$J38))*IF(51=$R38,$S38,12)/12,6)+$B$4),CQ38-$I38)))))</f>
        <v/>
      </c>
      <c r="CS38" s="68">
        <f>IF($U38=0,0,IF($F38=4,0,IF($F38=3,0,IF(OR(52&gt;$R38,CR38&lt;=$I38),CR38,CR38-MIN(INT(ROUND(IF($F38=1,$C38*$J38,IF(GQ38&gt;0,GQ38*$K38,CR38*$J38))*IF(52=$R38,$S38,12)/12,6)+$B$4),CR38-$I38)))))</f>
        <v/>
      </c>
      <c r="CT38" s="68">
        <f>IF($U38=0,0,IF($F38=4,0,IF($F38=3,0,IF(OR(53&gt;$R38,CS38&lt;=$I38),CS38,CS38-MIN(INT(ROUND(IF($F38=1,$C38*$J38,IF(GR38&gt;0,GR38*$K38,CS38*$J38))*IF(53=$R38,$S38,12)/12,6)+$B$4),CS38-$I38)))))</f>
        <v/>
      </c>
      <c r="CU38" s="68">
        <f>IF($U38=0,0,IF($F38=4,0,IF($F38=3,0,IF(OR(54&gt;$R38,CT38&lt;=$I38),CT38,CT38-MIN(INT(ROUND(IF($F38=1,$C38*$J38,IF(GS38&gt;0,GS38*$K38,CT38*$J38))*IF(54=$R38,$S38,12)/12,6)+$B$4),CT38-$I38)))))</f>
        <v/>
      </c>
      <c r="CV38" s="68">
        <f>IF($U38=0,0,IF($F38=4,0,IF($F38=3,0,IF(OR(55&gt;$R38,CU38&lt;=$I38),CU38,CU38-MIN(INT(ROUND(IF($F38=1,$C38*$J38,IF(GT38&gt;0,GT38*$K38,CU38*$J38))*IF(55=$R38,$S38,12)/12,6)+$B$4),CU38-$I38)))))</f>
        <v/>
      </c>
      <c r="CW38" s="68">
        <f>IF($U38=0,0,IF($F38=4,0,IF($F38=3,0,IF(OR(56&gt;$R38,CV38&lt;=$I38),CV38,CV38-MIN(INT(ROUND(IF($F38=1,$C38*$J38,IF(GU38&gt;0,GU38*$K38,CV38*$J38))*IF(56=$R38,$S38,12)/12,6)+$B$4),CV38-$I38)))))</f>
        <v/>
      </c>
      <c r="CX38" s="68">
        <f>IF($U38=0,0,IF($F38=4,0,IF($F38=3,0,IF(OR(57&gt;$R38,CW38&lt;=$I38),CW38,CW38-MIN(INT(ROUND(IF($F38=1,$C38*$J38,IF(GV38&gt;0,GV38*$K38,CW38*$J38))*IF(57=$R38,$S38,12)/12,6)+$B$4),CW38-$I38)))))</f>
        <v/>
      </c>
      <c r="CY38" s="68">
        <f>IF($U38=0,0,IF($F38=4,0,IF($F38=3,0,IF(OR(58&gt;$R38,CX38&lt;=$I38),CX38,CX38-MIN(INT(ROUND(IF($F38=1,$C38*$J38,IF(GW38&gt;0,GW38*$K38,CX38*$J38))*IF(58=$R38,$S38,12)/12,6)+$B$4),CX38-$I38)))))</f>
        <v/>
      </c>
      <c r="CZ38" s="68">
        <f>IF($U38=0,0,IF($F38=4,0,IF($F38=3,0,IF(OR(59&gt;$R38,CY38&lt;=$I38),CY38,CY38-MIN(INT(ROUND(IF($F38=1,$C38*$J38,IF(GX38&gt;0,GX38*$K38,CY38*$J38))*IF(59=$R38,$S38,12)/12,6)+$B$4),CY38-$I38)))))</f>
        <v/>
      </c>
      <c r="DA38" s="68">
        <f>IF($U38=0,0,IF($F38=4,0,IF($F38=3,0,IF(OR(60&gt;$R38,CZ38&lt;=$I38),CZ38,CZ38-MIN(INT(ROUND(IF($F38=1,$C38*$J38,IF(GY38&gt;0,GY38*$K38,CZ38*$J38))*IF(60=$R38,$S38,12)/12,6)+$B$4),CZ38-$I38)))))</f>
        <v/>
      </c>
      <c r="DB38" s="68">
        <f>IF($U38=0,0,IF($F38=4,0,IF($F38=3,0,IF(OR(61&gt;$R38,DA38&lt;=$I38),DA38,DA38-MIN(INT(ROUND(IF($F38=1,$C38*$J38,IF(GZ38&gt;0,GZ38*$K38,DA38*$J38))*IF(61=$R38,$S38,12)/12,6)+$B$4),DA38-$I38)))))</f>
        <v/>
      </c>
      <c r="DC38" s="68">
        <f>IF($U38=0,0,IF($F38=4,0,IF($F38=3,0,IF(OR(62&gt;$R38,DB38&lt;=$I38),DB38,DB38-MIN(INT(ROUND(IF($F38=1,$C38*$J38,IF(HA38&gt;0,HA38*$K38,DB38*$J38))*IF(62=$R38,$S38,12)/12,6)+$B$4),DB38-$I38)))))</f>
        <v/>
      </c>
      <c r="DD38" s="68">
        <f>IF($U38=0,0,IF($F38=4,0,IF($F38=3,0,IF(OR(63&gt;$R38,DC38&lt;=$I38),DC38,DC38-MIN(INT(ROUND(IF($F38=1,$C38*$J38,IF(HB38&gt;0,HB38*$K38,DC38*$J38))*IF(63=$R38,$S38,12)/12,6)+$B$4),DC38-$I38)))))</f>
        <v/>
      </c>
      <c r="DE38" s="68">
        <f>IF($U38=0,0,IF($F38=4,0,IF($F38=3,0,IF(OR(64&gt;$R38,DD38&lt;=$I38),DD38,DD38-MIN(INT(ROUND(IF($F38=1,$C38*$J38,IF(HC38&gt;0,HC38*$K38,DD38*$J38))*IF(64=$R38,$S38,12)/12,6)+$B$4),DD38-$I38)))))</f>
        <v/>
      </c>
      <c r="DF38" s="68">
        <f>IF($U38=0,0,IF($F38=4,0,IF($F38=3,0,IF(OR(65&gt;$R38,DE38&lt;=$I38),DE38,DE38-MIN(INT(ROUND(IF($F38=1,$C38*$J38,IF(HD38&gt;0,HD38*$K38,DE38*$J38))*IF(65=$R38,$S38,12)/12,6)+$B$4),DE38-$I38)))))</f>
        <v/>
      </c>
      <c r="DG38" s="68">
        <f>IF($U38=0,0,IF($F38=4,0,IF($F38=3,0,IF(OR(66&gt;$R38,DF38&lt;=$I38),DF38,DF38-MIN(INT(ROUND(IF($F38=1,$C38*$J38,IF(HE38&gt;0,HE38*$K38,DF38*$J38))*IF(66=$R38,$S38,12)/12,6)+$B$4),DF38-$I38)))))</f>
        <v/>
      </c>
      <c r="DH38" s="68">
        <f>IF($U38=0,0,IF($F38=4,0,IF($F38=3,0,IF(OR(67&gt;$R38,DG38&lt;=$I38),DG38,DG38-MIN(INT(ROUND(IF($F38=1,$C38*$J38,IF(HF38&gt;0,HF38*$K38,DG38*$J38))*IF(67=$R38,$S38,12)/12,6)+$B$4),DG38-$I38)))))</f>
        <v/>
      </c>
      <c r="DI38" s="68">
        <f>IF($U38=0,0,IF($F38=4,0,IF($F38=3,0,IF(OR(68&gt;$R38,DH38&lt;=$I38),DH38,DH38-MIN(INT(ROUND(IF($F38=1,$C38*$J38,IF(HG38&gt;0,HG38*$K38,DH38*$J38))*IF(68=$R38,$S38,12)/12,6)+$B$4),DH38-$I38)))))</f>
        <v/>
      </c>
      <c r="DJ38" s="68">
        <f>IF($U38=0,0,IF($F38=4,0,IF($F38=3,0,IF(OR(69&gt;$R38,DI38&lt;=$I38),DI38,DI38-MIN(INT(ROUND(IF($F38=1,$C38*$J38,IF(HH38&gt;0,HH38*$K38,DI38*$J38))*IF(69=$R38,$S38,12)/12,6)+$B$4),DI38-$I38)))))</f>
        <v/>
      </c>
      <c r="DK38" s="68">
        <f>IF($U38=0,0,IF($F38=4,0,IF($F38=3,0,IF(OR(70&gt;$R38,DJ38&lt;=$I38),DJ38,DJ38-MIN(INT(ROUND(IF($F38=1,$C38*$J38,IF(HI38&gt;0,HI38*$K38,DJ38*$J38))*IF(70=$R38,$S38,12)/12,6)+$B$4),DJ38-$I38)))))</f>
        <v/>
      </c>
      <c r="DL38" s="68">
        <f>IF($U38=0,0,IF($F38=4,0,IF($F38=3,0,IF(OR(71&gt;$R38,DK38&lt;=$I38),DK38,DK38-MIN(INT(ROUND(IF($F38=1,$C38*$J38,IF(HJ38&gt;0,HJ38*$K38,DK38*$J38))*IF(71=$R38,$S38,12)/12,6)+$B$4),DK38-$I38)))))</f>
        <v/>
      </c>
      <c r="DM38" s="68">
        <f>IF($U38=0,0,IF($F38=4,0,IF($F38=3,0,IF(OR(72&gt;$R38,DL38&lt;=$I38),DL38,DL38-MIN(INT(ROUND(IF($F38=1,$C38*$J38,IF(HK38&gt;0,HK38*$K38,DL38*$J38))*IF(72=$R38,$S38,12)/12,6)+$B$4),DL38-$I38)))))</f>
        <v/>
      </c>
      <c r="DN38" s="68">
        <f>IF($U38=0,0,IF($F38=4,0,IF($F38=3,0,IF(OR(73&gt;$R38,DM38&lt;=$I38),DM38,DM38-MIN(INT(ROUND(IF($F38=1,$C38*$J38,IF(HL38&gt;0,HL38*$K38,DM38*$J38))*IF(73=$R38,$S38,12)/12,6)+$B$4),DM38-$I38)))))</f>
        <v/>
      </c>
      <c r="DO38" s="68">
        <f>IF($U38=0,0,IF($F38=4,0,IF($F38=3,0,IF(OR(74&gt;$R38,DN38&lt;=$I38),DN38,DN38-MIN(INT(ROUND(IF($F38=1,$C38*$J38,IF(HM38&gt;0,HM38*$K38,DN38*$J38))*IF(74=$R38,$S38,12)/12,6)+$B$4),DN38-$I38)))))</f>
        <v/>
      </c>
      <c r="DP38" s="68">
        <f>IF($U38=0,0,IF($F38=4,0,IF($F38=3,0,IF(OR(75&gt;$R38,DO38&lt;=$I38),DO38,DO38-MIN(INT(ROUND(IF($F38=1,$C38*$J38,IF(HN38&gt;0,HN38*$K38,DO38*$J38))*IF(75=$R38,$S38,12)/12,6)+$B$4),DO38-$I38)))))</f>
        <v/>
      </c>
      <c r="DQ38" s="68">
        <f>IF($U38=0,0,IF($F38=4,0,IF($F38=3,0,IF(OR(76&gt;$R38,DP38&lt;=$I38),DP38,DP38-MIN(INT(ROUND(IF($F38=1,$C38*$J38,IF(HO38&gt;0,HO38*$K38,DP38*$J38))*IF(76=$R38,$S38,12)/12,6)+$B$4),DP38-$I38)))))</f>
        <v/>
      </c>
      <c r="DR38" s="68">
        <f>IF($U38=0,0,IF($F38=4,0,IF($F38=3,0,IF(OR(77&gt;$R38,DQ38&lt;=$I38),DQ38,DQ38-MIN(INT(ROUND(IF($F38=1,$C38*$J38,IF(HP38&gt;0,HP38*$K38,DQ38*$J38))*IF(77=$R38,$S38,12)/12,6)+$B$4),DQ38-$I38)))))</f>
        <v/>
      </c>
      <c r="DS38" s="68">
        <f>IF($U38=0,0,IF($F38=4,0,IF($F38=3,0,IF(OR(78&gt;$R38,DR38&lt;=$I38),DR38,DR38-MIN(INT(ROUND(IF($F38=1,$C38*$J38,IF(HQ38&gt;0,HQ38*$K38,DR38*$J38))*IF(78=$R38,$S38,12)/12,6)+$B$4),DR38-$I38)))))</f>
        <v/>
      </c>
      <c r="DT38" s="68">
        <f>IF($U38=0,0,IF($F38=4,0,IF($F38=3,0,IF(OR(79&gt;$R38,DS38&lt;=$I38),DS38,DS38-MIN(INT(ROUND(IF($F38=1,$C38*$J38,IF(HR38&gt;0,HR38*$K38,DS38*$J38))*IF(79=$R38,$S38,12)/12,6)+$B$4),DS38-$I38)))))</f>
        <v/>
      </c>
      <c r="DU38" s="68">
        <f>IF($U38=0,0,IF($F38=4,0,IF($F38=3,0,IF(OR(80&gt;$R38,DT38&lt;=$I38),DT38,DT38-MIN(INT(ROUND(IF($F38=1,$C38*$J38,IF(HS38&gt;0,HS38*$K38,DT38*$J38))*IF(80=$R38,$S38,12)/12,6)+$B$4),DT38-$I38)))))</f>
        <v/>
      </c>
      <c r="DV38" s="68">
        <f>IF($U38=0,0,IF($F38=4,0,IF($F38=3,0,IF(OR(81&gt;$R38,DU38&lt;=$I38),DU38,DU38-MIN(INT(ROUND(IF($F38=1,$C38*$J38,IF(HT38&gt;0,HT38*$K38,DU38*$J38))*IF(81=$R38,$S38,12)/12,6)+$B$4),DU38-$I38)))))</f>
        <v/>
      </c>
      <c r="DW38" s="68">
        <f>IF($U38=0,0,IF($F38=4,0,IF($F38=3,0,IF(OR(82&gt;$R38,DV38&lt;=$I38),DV38,DV38-MIN(INT(ROUND(IF($F38=1,$C38*$J38,IF(HU38&gt;0,HU38*$K38,DV38*$J38))*IF(82=$R38,$S38,12)/12,6)+$B$4),DV38-$I38)))))</f>
        <v/>
      </c>
      <c r="DX38" s="68">
        <f>IF($U38=0,0,IF($F38=4,0,IF($F38=3,0,IF(OR(83&gt;$R38,DW38&lt;=$I38),DW38,DW38-MIN(INT(ROUND(IF($F38=1,$C38*$J38,IF(HV38&gt;0,HV38*$K38,DW38*$J38))*IF(83=$R38,$S38,12)/12,6)+$B$4),DW38-$I38)))))</f>
        <v/>
      </c>
      <c r="DY38" s="68">
        <f>IF($U38=0,0,IF($F38=4,0,IF($F38=3,0,IF(OR(84&gt;$R38,DX38&lt;=$I38),DX38,DX38-MIN(INT(ROUND(IF($F38=1,$C38*$J38,IF(HW38&gt;0,HW38*$K38,DX38*$J38))*IF(84=$R38,$S38,12)/12,6)+$B$4),DX38-$I38)))))</f>
        <v/>
      </c>
      <c r="DZ38" s="68">
        <f>IF($U38=0,0,IF($F38=4,0,IF($F38=3,0,IF(OR(85&gt;$R38,DY38&lt;=$I38),DY38,DY38-MIN(INT(ROUND(IF($F38=1,$C38*$J38,IF(HX38&gt;0,HX38*$K38,DY38*$J38))*IF(85=$R38,$S38,12)/12,6)+$B$4),DY38-$I38)))))</f>
        <v/>
      </c>
      <c r="EA38" s="68">
        <f>IF($U38=0,0,IF($F38=4,0,IF($F38=3,0,IF(OR(86&gt;$R38,DZ38&lt;=$I38),DZ38,DZ38-MIN(INT(ROUND(IF($F38=1,$C38*$J38,IF(HY38&gt;0,HY38*$K38,DZ38*$J38))*IF(86=$R38,$S38,12)/12,6)+$B$4),DZ38-$I38)))))</f>
        <v/>
      </c>
      <c r="EB38" s="68">
        <f>IF($U38=0,0,IF($F38=4,0,IF($F38=3,0,IF(OR(87&gt;$R38,EA38&lt;=$I38),EA38,EA38-MIN(INT(ROUND(IF($F38=1,$C38*$J38,IF(HZ38&gt;0,HZ38*$K38,EA38*$J38))*IF(87=$R38,$S38,12)/12,6)+$B$4),EA38-$I38)))))</f>
        <v/>
      </c>
      <c r="EC38" s="68">
        <f>IF($U38=0,0,IF($F38=4,0,IF($F38=3,0,IF(OR(88&gt;$R38,EB38&lt;=$I38),EB38,EB38-MIN(INT(ROUND(IF($F38=1,$C38*$J38,IF(IA38&gt;0,IA38*$K38,EB38*$J38))*IF(88=$R38,$S38,12)/12,6)+$B$4),EB38-$I38)))))</f>
        <v/>
      </c>
      <c r="ED38" s="68">
        <f>IF($U38=0,0,IF($F38=4,0,IF($F38=3,0,IF(OR(89&gt;$R38,EC38&lt;=$I38),EC38,EC38-MIN(INT(ROUND(IF($F38=1,$C38*$J38,IF(IB38&gt;0,IB38*$K38,EC38*$J38))*IF(89=$R38,$S38,12)/12,6)+$B$4),EC38-$I38)))))</f>
        <v/>
      </c>
      <c r="EE38" s="68">
        <f>IF($U38=0,0,IF($F38=4,0,IF($F38=3,0,IF(OR(90&gt;$R38,ED38&lt;=$I38),ED38,ED38-MIN(INT(ROUND(IF($F38=1,$C38*$J38,IF(IC38&gt;0,IC38*$K38,ED38*$J38))*IF(90=$R38,$S38,12)/12,6)+$B$4),ED38-$I38)))))</f>
        <v/>
      </c>
      <c r="EF38" s="68">
        <f>IF($U38=0,0,IF($F38=4,0,IF($F38=3,0,IF(OR(91&gt;$R38,EE38&lt;=$I38),EE38,EE38-MIN(INT(ROUND(IF($F38=1,$C38*$J38,IF(ID38&gt;0,ID38*$K38,EE38*$J38))*IF(91=$R38,$S38,12)/12,6)+$B$4),EE38-$I38)))))</f>
        <v/>
      </c>
      <c r="EG38" s="68">
        <f>IF($U38=0,0,IF($F38=4,0,IF($F38=3,0,IF(OR(92&gt;$R38,EF38&lt;=$I38),EF38,EF38-MIN(INT(ROUND(IF($F38=1,$C38*$J38,IF(IE38&gt;0,IE38*$K38,EF38*$J38))*IF(92=$R38,$S38,12)/12,6)+$B$4),EF38-$I38)))))</f>
        <v/>
      </c>
      <c r="EH38" s="68">
        <f>IF($U38=0,0,IF($F38=4,0,IF($F38=3,0,IF(OR(93&gt;$R38,EG38&lt;=$I38),EG38,EG38-MIN(INT(ROUND(IF($F38=1,$C38*$J38,IF(IF38&gt;0,IF38*$K38,EG38*$J38))*IF(93=$R38,$S38,12)/12,6)+$B$4),EG38-$I38)))))</f>
        <v/>
      </c>
      <c r="EI38" s="68">
        <f>IF($U38=0,0,IF($F38=4,0,IF($F38=3,0,IF(OR(94&gt;$R38,EH38&lt;=$I38),EH38,EH38-MIN(INT(ROUND(IF($F38=1,$C38*$J38,IF(IG38&gt;0,IG38*$K38,EH38*$J38))*IF(94=$R38,$S38,12)/12,6)+$B$4),EH38-$I38)))))</f>
        <v/>
      </c>
      <c r="EJ38" s="68">
        <f>IF($U38=0,0,IF($F38=4,0,IF($F38=3,0,IF(OR(95&gt;$R38,EI38&lt;=$I38),EI38,EI38-MIN(INT(ROUND(IF($F38=1,$C38*$J38,IF(IH38&gt;0,IH38*$K38,EI38*$J38))*IF(95=$R38,$S38,12)/12,6)+$B$4),EI38-$I38)))))</f>
        <v/>
      </c>
      <c r="EK38" s="68">
        <f>IF($U38=0,0,IF($F38=4,0,IF($F38=3,0,IF(OR(96&gt;$R38,EJ38&lt;=$I38),EJ38,EJ38-MIN(INT(ROUND(IF($F38=1,$C38*$J38,IF(II38&gt;0,II38*$K38,EJ38*$J38))*IF(96=$R38,$S38,12)/12,6)+$B$4),EJ38-$I38)))))</f>
        <v/>
      </c>
      <c r="EL38" s="68">
        <f>IF($U38=0,0,IF($F38=4,0,IF($F38=3,0,IF(OR(97&gt;$R38,EK38&lt;=$I38),EK38,EK38-MIN(INT(ROUND(IF($F38=1,$C38*$J38,IF(IJ38&gt;0,IJ38*$K38,EK38*$J38))*IF(97=$R38,$S38,12)/12,6)+$B$4),EK38-$I38)))))</f>
        <v/>
      </c>
      <c r="EM38" s="68">
        <f>IF($U38=0,0,IF($F38=4,0,IF($F38=3,0,IF(OR(98&gt;$R38,EL38&lt;=$I38),EL38,EL38-MIN(INT(ROUND(IF($F38=1,$C38*$J38,IF(IK38&gt;0,IK38*$K38,EL38*$J38))*IF(98=$R38,$S38,12)/12,6)+$B$4),EL38-$I38)))))</f>
        <v/>
      </c>
      <c r="EN38" s="68">
        <f>IF($U38=0,0,IF($F38=4,0,IF($F38=3,0,IF(OR(99&gt;$R38,EM38&lt;=$I38),EM38,EM38-MIN(INT(ROUND(IF($F38=1,$C38*$J38,IF(IL38&gt;0,IL38*$K38,EM38*$J38))*IF(99=$R38,$S38,12)/12,6)+$B$4),EM38-$I38)))))</f>
        <v/>
      </c>
      <c r="EO38" s="68">
        <f>IF($U38=0,0,IF($F38=4,0,IF($F38=3,0,IF(OR(100&gt;$R38,EN38&lt;=$I38),EN38,EN38-MIN(INT(ROUND(IF($F38=1,$C38*$J38,IF(IM38&gt;0,IM38*$K38,EN38*$J38))*IF(100=$R38,$S38,12)/12,6)+$B$4),EN38-$I38)))))</f>
        <v/>
      </c>
      <c r="EP38" s="68">
        <f>IF($U38=0,0,IF($F38=4,0,IF($F38=3,0,IF(OR(101&gt;$R38,EO38&lt;=$I38),EO38,EO38-MIN(INT(ROUND(IF($F38=1,$C38*$J38,IF(IN38&gt;0,IN38*$K38,EO38*$J38))*IF(101=$R38,$S38,12)/12,6)+$B$4),EO38-$I38)))))</f>
        <v/>
      </c>
      <c r="EQ38" s="68" t="n"/>
      <c r="ER38" s="68">
        <f>IF(OR($U38=0,$F38&lt;&gt;2),0,IF(ROUND(AS38*$J38,6)&lt;ROUND($M38,6),AS38,0))</f>
        <v/>
      </c>
      <c r="ES38" s="68">
        <f>IF(OR($U38=0,$F38&lt;&gt;2),0,IF(ER38&gt;0,ER38,IF(ROUND(AT38*$J38,6)&lt;ROUND($M38,6),AT38,0)))</f>
        <v/>
      </c>
      <c r="ET38" s="68">
        <f>IF(OR($U38=0,$F38&lt;&gt;2),0,IF(ES38&gt;0,ES38,IF(ROUND(AU38*$J38,6)&lt;ROUND($M38,6),AU38,0)))</f>
        <v/>
      </c>
      <c r="EU38" s="68">
        <f>IF(OR($U38=0,$F38&lt;&gt;2),0,IF(ET38&gt;0,ET38,IF(ROUND(AV38*$J38,6)&lt;ROUND($M38,6),AV38,0)))</f>
        <v/>
      </c>
      <c r="EV38" s="68">
        <f>IF(OR($U38=0,$F38&lt;&gt;2),0,IF(EU38&gt;0,EU38,IF(ROUND(AW38*$J38,6)&lt;ROUND($M38,6),AW38,0)))</f>
        <v/>
      </c>
      <c r="EW38" s="68">
        <f>IF(OR($U38=0,$F38&lt;&gt;2),0,IF(EV38&gt;0,EV38,IF(ROUND(AX38*$J38,6)&lt;ROUND($M38,6),AX38,0)))</f>
        <v/>
      </c>
      <c r="EX38" s="68">
        <f>IF(OR($U38=0,$F38&lt;&gt;2),0,IF(EW38&gt;0,EW38,IF(ROUND(AY38*$J38,6)&lt;ROUND($M38,6),AY38,0)))</f>
        <v/>
      </c>
      <c r="EY38" s="68">
        <f>IF(OR($U38=0,$F38&lt;&gt;2),0,IF(EX38&gt;0,EX38,IF(ROUND(AZ38*$J38,6)&lt;ROUND($M38,6),AZ38,0)))</f>
        <v/>
      </c>
      <c r="EZ38" s="68">
        <f>IF(OR($U38=0,$F38&lt;&gt;2),0,IF(EY38&gt;0,EY38,IF(ROUND(BA38*$J38,6)&lt;ROUND($M38,6),BA38,0)))</f>
        <v/>
      </c>
      <c r="FA38" s="68">
        <f>IF(OR($U38=0,$F38&lt;&gt;2),0,IF(EZ38&gt;0,EZ38,IF(ROUND(BB38*$J38,6)&lt;ROUND($M38,6),BB38,0)))</f>
        <v/>
      </c>
      <c r="FB38" s="68">
        <f>IF(OR($U38=0,$F38&lt;&gt;2),0,IF(FA38&gt;0,FA38,IF(ROUND(BC38*$J38,6)&lt;ROUND($M38,6),BC38,0)))</f>
        <v/>
      </c>
      <c r="FC38" s="68">
        <f>IF(OR($U38=0,$F38&lt;&gt;2),0,IF(FB38&gt;0,FB38,IF(ROUND(BD38*$J38,6)&lt;ROUND($M38,6),BD38,0)))</f>
        <v/>
      </c>
      <c r="FD38" s="68">
        <f>IF(OR($U38=0,$F38&lt;&gt;2),0,IF(FC38&gt;0,FC38,IF(ROUND(BE38*$J38,6)&lt;ROUND($M38,6),BE38,0)))</f>
        <v/>
      </c>
      <c r="FE38" s="68">
        <f>IF(OR($U38=0,$F38&lt;&gt;2),0,IF(FD38&gt;0,FD38,IF(ROUND(BF38*$J38,6)&lt;ROUND($M38,6),BF38,0)))</f>
        <v/>
      </c>
      <c r="FF38" s="68">
        <f>IF(OR($U38=0,$F38&lt;&gt;2),0,IF(FE38&gt;0,FE38,IF(ROUND(BG38*$J38,6)&lt;ROUND($M38,6),BG38,0)))</f>
        <v/>
      </c>
      <c r="FG38" s="68">
        <f>IF(OR($U38=0,$F38&lt;&gt;2),0,IF(FF38&gt;0,FF38,IF(ROUND(BH38*$J38,6)&lt;ROUND($M38,6),BH38,0)))</f>
        <v/>
      </c>
      <c r="FH38" s="68">
        <f>IF(OR($U38=0,$F38&lt;&gt;2),0,IF(FG38&gt;0,FG38,IF(ROUND(BI38*$J38,6)&lt;ROUND($M38,6),BI38,0)))</f>
        <v/>
      </c>
      <c r="FI38" s="68">
        <f>IF(OR($U38=0,$F38&lt;&gt;2),0,IF(FH38&gt;0,FH38,IF(ROUND(BJ38*$J38,6)&lt;ROUND($M38,6),BJ38,0)))</f>
        <v/>
      </c>
      <c r="FJ38" s="68">
        <f>IF(OR($U38=0,$F38&lt;&gt;2),0,IF(FI38&gt;0,FI38,IF(ROUND(BK38*$J38,6)&lt;ROUND($M38,6),BK38,0)))</f>
        <v/>
      </c>
      <c r="FK38" s="68">
        <f>IF(OR($U38=0,$F38&lt;&gt;2),0,IF(FJ38&gt;0,FJ38,IF(ROUND(BL38*$J38,6)&lt;ROUND($M38,6),BL38,0)))</f>
        <v/>
      </c>
      <c r="FL38" s="68">
        <f>IF(OR($U38=0,$F38&lt;&gt;2),0,IF(FK38&gt;0,FK38,IF(ROUND(BM38*$J38,6)&lt;ROUND($M38,6),BM38,0)))</f>
        <v/>
      </c>
      <c r="FM38" s="68">
        <f>IF(OR($U38=0,$F38&lt;&gt;2),0,IF(FL38&gt;0,FL38,IF(ROUND(BN38*$J38,6)&lt;ROUND($M38,6),BN38,0)))</f>
        <v/>
      </c>
      <c r="FN38" s="68">
        <f>IF(OR($U38=0,$F38&lt;&gt;2),0,IF(FM38&gt;0,FM38,IF(ROUND(BO38*$J38,6)&lt;ROUND($M38,6),BO38,0)))</f>
        <v/>
      </c>
      <c r="FO38" s="68">
        <f>IF(OR($U38=0,$F38&lt;&gt;2),0,IF(FN38&gt;0,FN38,IF(ROUND(BP38*$J38,6)&lt;ROUND($M38,6),BP38,0)))</f>
        <v/>
      </c>
      <c r="FP38" s="68">
        <f>IF(OR($U38=0,$F38&lt;&gt;2),0,IF(FO38&gt;0,FO38,IF(ROUND(BQ38*$J38,6)&lt;ROUND($M38,6),BQ38,0)))</f>
        <v/>
      </c>
      <c r="FQ38" s="68">
        <f>IF(OR($U38=0,$F38&lt;&gt;2),0,IF(FP38&gt;0,FP38,IF(ROUND(BR38*$J38,6)&lt;ROUND($M38,6),BR38,0)))</f>
        <v/>
      </c>
      <c r="FR38" s="68">
        <f>IF(OR($U38=0,$F38&lt;&gt;2),0,IF(FQ38&gt;0,FQ38,IF(ROUND(BS38*$J38,6)&lt;ROUND($M38,6),BS38,0)))</f>
        <v/>
      </c>
      <c r="FS38" s="68">
        <f>IF(OR($U38=0,$F38&lt;&gt;2),0,IF(FR38&gt;0,FR38,IF(ROUND(BT38*$J38,6)&lt;ROUND($M38,6),BT38,0)))</f>
        <v/>
      </c>
      <c r="FT38" s="68">
        <f>IF(OR($U38=0,$F38&lt;&gt;2),0,IF(FS38&gt;0,FS38,IF(ROUND(BU38*$J38,6)&lt;ROUND($M38,6),BU38,0)))</f>
        <v/>
      </c>
      <c r="FU38" s="68">
        <f>IF(OR($U38=0,$F38&lt;&gt;2),0,IF(FT38&gt;0,FT38,IF(ROUND(BV38*$J38,6)&lt;ROUND($M38,6),BV38,0)))</f>
        <v/>
      </c>
      <c r="FV38" s="68">
        <f>IF(OR($U38=0,$F38&lt;&gt;2),0,IF(FU38&gt;0,FU38,IF(ROUND(BW38*$J38,6)&lt;ROUND($M38,6),BW38,0)))</f>
        <v/>
      </c>
      <c r="FW38" s="68">
        <f>IF(OR($U38=0,$F38&lt;&gt;2),0,IF(FV38&gt;0,FV38,IF(ROUND(BX38*$J38,6)&lt;ROUND($M38,6),BX38,0)))</f>
        <v/>
      </c>
      <c r="FX38" s="68">
        <f>IF(OR($U38=0,$F38&lt;&gt;2),0,IF(FW38&gt;0,FW38,IF(ROUND(BY38*$J38,6)&lt;ROUND($M38,6),BY38,0)))</f>
        <v/>
      </c>
      <c r="FY38" s="68">
        <f>IF(OR($U38=0,$F38&lt;&gt;2),0,IF(FX38&gt;0,FX38,IF(ROUND(BZ38*$J38,6)&lt;ROUND($M38,6),BZ38,0)))</f>
        <v/>
      </c>
      <c r="FZ38" s="68">
        <f>IF(OR($U38=0,$F38&lt;&gt;2),0,IF(FY38&gt;0,FY38,IF(ROUND(CA38*$J38,6)&lt;ROUND($M38,6),CA38,0)))</f>
        <v/>
      </c>
      <c r="GA38" s="68">
        <f>IF(OR($U38=0,$F38&lt;&gt;2),0,IF(FZ38&gt;0,FZ38,IF(ROUND(CB38*$J38,6)&lt;ROUND($M38,6),CB38,0)))</f>
        <v/>
      </c>
      <c r="GB38" s="68">
        <f>IF(OR($U38=0,$F38&lt;&gt;2),0,IF(GA38&gt;0,GA38,IF(ROUND(CC38*$J38,6)&lt;ROUND($M38,6),CC38,0)))</f>
        <v/>
      </c>
      <c r="GC38" s="68">
        <f>IF(OR($U38=0,$F38&lt;&gt;2),0,IF(GB38&gt;0,GB38,IF(ROUND(CD38*$J38,6)&lt;ROUND($M38,6),CD38,0)))</f>
        <v/>
      </c>
      <c r="GD38" s="68">
        <f>IF(OR($U38=0,$F38&lt;&gt;2),0,IF(GC38&gt;0,GC38,IF(ROUND(CE38*$J38,6)&lt;ROUND($M38,6),CE38,0)))</f>
        <v/>
      </c>
      <c r="GE38" s="68">
        <f>IF(OR($U38=0,$F38&lt;&gt;2),0,IF(GD38&gt;0,GD38,IF(ROUND(CF38*$J38,6)&lt;ROUND($M38,6),CF38,0)))</f>
        <v/>
      </c>
      <c r="GF38" s="68">
        <f>IF(OR($U38=0,$F38&lt;&gt;2),0,IF(GE38&gt;0,GE38,IF(ROUND(CG38*$J38,6)&lt;ROUND($M38,6),CG38,0)))</f>
        <v/>
      </c>
      <c r="GG38" s="68">
        <f>IF(OR($U38=0,$F38&lt;&gt;2),0,IF(GF38&gt;0,GF38,IF(ROUND(CH38*$J38,6)&lt;ROUND($M38,6),CH38,0)))</f>
        <v/>
      </c>
      <c r="GH38" s="68">
        <f>IF(OR($U38=0,$F38&lt;&gt;2),0,IF(GG38&gt;0,GG38,IF(ROUND(CI38*$J38,6)&lt;ROUND($M38,6),CI38,0)))</f>
        <v/>
      </c>
      <c r="GI38" s="68">
        <f>IF(OR($U38=0,$F38&lt;&gt;2),0,IF(GH38&gt;0,GH38,IF(ROUND(CJ38*$J38,6)&lt;ROUND($M38,6),CJ38,0)))</f>
        <v/>
      </c>
      <c r="GJ38" s="68">
        <f>IF(OR($U38=0,$F38&lt;&gt;2),0,IF(GI38&gt;0,GI38,IF(ROUND(CK38*$J38,6)&lt;ROUND($M38,6),CK38,0)))</f>
        <v/>
      </c>
      <c r="GK38" s="68">
        <f>IF(OR($U38=0,$F38&lt;&gt;2),0,IF(GJ38&gt;0,GJ38,IF(ROUND(CL38*$J38,6)&lt;ROUND($M38,6),CL38,0)))</f>
        <v/>
      </c>
      <c r="GL38" s="68">
        <f>IF(OR($U38=0,$F38&lt;&gt;2),0,IF(GK38&gt;0,GK38,IF(ROUND(CM38*$J38,6)&lt;ROUND($M38,6),CM38,0)))</f>
        <v/>
      </c>
      <c r="GM38" s="68">
        <f>IF(OR($U38=0,$F38&lt;&gt;2),0,IF(GL38&gt;0,GL38,IF(ROUND(CN38*$J38,6)&lt;ROUND($M38,6),CN38,0)))</f>
        <v/>
      </c>
      <c r="GN38" s="68">
        <f>IF(OR($U38=0,$F38&lt;&gt;2),0,IF(GM38&gt;0,GM38,IF(ROUND(CO38*$J38,6)&lt;ROUND($M38,6),CO38,0)))</f>
        <v/>
      </c>
      <c r="GO38" s="68">
        <f>IF(OR($U38=0,$F38&lt;&gt;2),0,IF(GN38&gt;0,GN38,IF(ROUND(CP38*$J38,6)&lt;ROUND($M38,6),CP38,0)))</f>
        <v/>
      </c>
      <c r="GP38" s="68">
        <f>IF(OR($U38=0,$F38&lt;&gt;2),0,IF(GO38&gt;0,GO38,IF(ROUND(CQ38*$J38,6)&lt;ROUND($M38,6),CQ38,0)))</f>
        <v/>
      </c>
      <c r="GQ38" s="68">
        <f>IF(OR($U38=0,$F38&lt;&gt;2),0,IF(GP38&gt;0,GP38,IF(ROUND(CR38*$J38,6)&lt;ROUND($M38,6),CR38,0)))</f>
        <v/>
      </c>
      <c r="GR38" s="68">
        <f>IF(OR($U38=0,$F38&lt;&gt;2),0,IF(GQ38&gt;0,GQ38,IF(ROUND(CS38*$J38,6)&lt;ROUND($M38,6),CS38,0)))</f>
        <v/>
      </c>
      <c r="GS38" s="68">
        <f>IF(OR($U38=0,$F38&lt;&gt;2),0,IF(GR38&gt;0,GR38,IF(ROUND(CT38*$J38,6)&lt;ROUND($M38,6),CT38,0)))</f>
        <v/>
      </c>
      <c r="GT38" s="68">
        <f>IF(OR($U38=0,$F38&lt;&gt;2),0,IF(GS38&gt;0,GS38,IF(ROUND(CU38*$J38,6)&lt;ROUND($M38,6),CU38,0)))</f>
        <v/>
      </c>
      <c r="GU38" s="68">
        <f>IF(OR($U38=0,$F38&lt;&gt;2),0,IF(GT38&gt;0,GT38,IF(ROUND(CV38*$J38,6)&lt;ROUND($M38,6),CV38,0)))</f>
        <v/>
      </c>
      <c r="GV38" s="68">
        <f>IF(OR($U38=0,$F38&lt;&gt;2),0,IF(GU38&gt;0,GU38,IF(ROUND(CW38*$J38,6)&lt;ROUND($M38,6),CW38,0)))</f>
        <v/>
      </c>
      <c r="GW38" s="68">
        <f>IF(OR($U38=0,$F38&lt;&gt;2),0,IF(GV38&gt;0,GV38,IF(ROUND(CX38*$J38,6)&lt;ROUND($M38,6),CX38,0)))</f>
        <v/>
      </c>
      <c r="GX38" s="68">
        <f>IF(OR($U38=0,$F38&lt;&gt;2),0,IF(GW38&gt;0,GW38,IF(ROUND(CY38*$J38,6)&lt;ROUND($M38,6),CY38,0)))</f>
        <v/>
      </c>
      <c r="GY38" s="68">
        <f>IF(OR($U38=0,$F38&lt;&gt;2),0,IF(GX38&gt;0,GX38,IF(ROUND(CZ38*$J38,6)&lt;ROUND($M38,6),CZ38,0)))</f>
        <v/>
      </c>
      <c r="GZ38" s="68">
        <f>IF(OR($U38=0,$F38&lt;&gt;2),0,IF(GY38&gt;0,GY38,IF(ROUND(DA38*$J38,6)&lt;ROUND($M38,6),DA38,0)))</f>
        <v/>
      </c>
      <c r="HA38" s="68">
        <f>IF(OR($U38=0,$F38&lt;&gt;2),0,IF(GZ38&gt;0,GZ38,IF(ROUND(DB38*$J38,6)&lt;ROUND($M38,6),DB38,0)))</f>
        <v/>
      </c>
      <c r="HB38" s="68">
        <f>IF(OR($U38=0,$F38&lt;&gt;2),0,IF(HA38&gt;0,HA38,IF(ROUND(DC38*$J38,6)&lt;ROUND($M38,6),DC38,0)))</f>
        <v/>
      </c>
      <c r="HC38" s="68">
        <f>IF(OR($U38=0,$F38&lt;&gt;2),0,IF(HB38&gt;0,HB38,IF(ROUND(DD38*$J38,6)&lt;ROUND($M38,6),DD38,0)))</f>
        <v/>
      </c>
      <c r="HD38" s="68">
        <f>IF(OR($U38=0,$F38&lt;&gt;2),0,IF(HC38&gt;0,HC38,IF(ROUND(DE38*$J38,6)&lt;ROUND($M38,6),DE38,0)))</f>
        <v/>
      </c>
      <c r="HE38" s="68">
        <f>IF(OR($U38=0,$F38&lt;&gt;2),0,IF(HD38&gt;0,HD38,IF(ROUND(DF38*$J38,6)&lt;ROUND($M38,6),DF38,0)))</f>
        <v/>
      </c>
      <c r="HF38" s="68">
        <f>IF(OR($U38=0,$F38&lt;&gt;2),0,IF(HE38&gt;0,HE38,IF(ROUND(DG38*$J38,6)&lt;ROUND($M38,6),DG38,0)))</f>
        <v/>
      </c>
      <c r="HG38" s="68">
        <f>IF(OR($U38=0,$F38&lt;&gt;2),0,IF(HF38&gt;0,HF38,IF(ROUND(DH38*$J38,6)&lt;ROUND($M38,6),DH38,0)))</f>
        <v/>
      </c>
      <c r="HH38" s="68">
        <f>IF(OR($U38=0,$F38&lt;&gt;2),0,IF(HG38&gt;0,HG38,IF(ROUND(DI38*$J38,6)&lt;ROUND($M38,6),DI38,0)))</f>
        <v/>
      </c>
      <c r="HI38" s="68">
        <f>IF(OR($U38=0,$F38&lt;&gt;2),0,IF(HH38&gt;0,HH38,IF(ROUND(DJ38*$J38,6)&lt;ROUND($M38,6),DJ38,0)))</f>
        <v/>
      </c>
      <c r="HJ38" s="68">
        <f>IF(OR($U38=0,$F38&lt;&gt;2),0,IF(HI38&gt;0,HI38,IF(ROUND(DK38*$J38,6)&lt;ROUND($M38,6),DK38,0)))</f>
        <v/>
      </c>
      <c r="HK38" s="68">
        <f>IF(OR($U38=0,$F38&lt;&gt;2),0,IF(HJ38&gt;0,HJ38,IF(ROUND(DL38*$J38,6)&lt;ROUND($M38,6),DL38,0)))</f>
        <v/>
      </c>
      <c r="HL38" s="68">
        <f>IF(OR($U38=0,$F38&lt;&gt;2),0,IF(HK38&gt;0,HK38,IF(ROUND(DM38*$J38,6)&lt;ROUND($M38,6),DM38,0)))</f>
        <v/>
      </c>
      <c r="HM38" s="68">
        <f>IF(OR($U38=0,$F38&lt;&gt;2),0,IF(HL38&gt;0,HL38,IF(ROUND(DN38*$J38,6)&lt;ROUND($M38,6),DN38,0)))</f>
        <v/>
      </c>
      <c r="HN38" s="68">
        <f>IF(OR($U38=0,$F38&lt;&gt;2),0,IF(HM38&gt;0,HM38,IF(ROUND(DO38*$J38,6)&lt;ROUND($M38,6),DO38,0)))</f>
        <v/>
      </c>
      <c r="HO38" s="68">
        <f>IF(OR($U38=0,$F38&lt;&gt;2),0,IF(HN38&gt;0,HN38,IF(ROUND(DP38*$J38,6)&lt;ROUND($M38,6),DP38,0)))</f>
        <v/>
      </c>
      <c r="HP38" s="68">
        <f>IF(OR($U38=0,$F38&lt;&gt;2),0,IF(HO38&gt;0,HO38,IF(ROUND(DQ38*$J38,6)&lt;ROUND($M38,6),DQ38,0)))</f>
        <v/>
      </c>
      <c r="HQ38" s="68">
        <f>IF(OR($U38=0,$F38&lt;&gt;2),0,IF(HP38&gt;0,HP38,IF(ROUND(DR38*$J38,6)&lt;ROUND($M38,6),DR38,0)))</f>
        <v/>
      </c>
      <c r="HR38" s="68">
        <f>IF(OR($U38=0,$F38&lt;&gt;2),0,IF(HQ38&gt;0,HQ38,IF(ROUND(DS38*$J38,6)&lt;ROUND($M38,6),DS38,0)))</f>
        <v/>
      </c>
      <c r="HS38" s="68">
        <f>IF(OR($U38=0,$F38&lt;&gt;2),0,IF(HR38&gt;0,HR38,IF(ROUND(DT38*$J38,6)&lt;ROUND($M38,6),DT38,0)))</f>
        <v/>
      </c>
      <c r="HT38" s="68">
        <f>IF(OR($U38=0,$F38&lt;&gt;2),0,IF(HS38&gt;0,HS38,IF(ROUND(DU38*$J38,6)&lt;ROUND($M38,6),DU38,0)))</f>
        <v/>
      </c>
      <c r="HU38" s="68">
        <f>IF(OR($U38=0,$F38&lt;&gt;2),0,IF(HT38&gt;0,HT38,IF(ROUND(DV38*$J38,6)&lt;ROUND($M38,6),DV38,0)))</f>
        <v/>
      </c>
      <c r="HV38" s="68">
        <f>IF(OR($U38=0,$F38&lt;&gt;2),0,IF(HU38&gt;0,HU38,IF(ROUND(DW38*$J38,6)&lt;ROUND($M38,6),DW38,0)))</f>
        <v/>
      </c>
      <c r="HW38" s="68">
        <f>IF(OR($U38=0,$F38&lt;&gt;2),0,IF(HV38&gt;0,HV38,IF(ROUND(DX38*$J38,6)&lt;ROUND($M38,6),DX38,0)))</f>
        <v/>
      </c>
      <c r="HX38" s="68">
        <f>IF(OR($U38=0,$F38&lt;&gt;2),0,IF(HW38&gt;0,HW38,IF(ROUND(DY38*$J38,6)&lt;ROUND($M38,6),DY38,0)))</f>
        <v/>
      </c>
      <c r="HY38" s="68">
        <f>IF(OR($U38=0,$F38&lt;&gt;2),0,IF(HX38&gt;0,HX38,IF(ROUND(DZ38*$J38,6)&lt;ROUND($M38,6),DZ38,0)))</f>
        <v/>
      </c>
      <c r="HZ38" s="68">
        <f>IF(OR($U38=0,$F38&lt;&gt;2),0,IF(HY38&gt;0,HY38,IF(ROUND(EA38*$J38,6)&lt;ROUND($M38,6),EA38,0)))</f>
        <v/>
      </c>
      <c r="IA38" s="68">
        <f>IF(OR($U38=0,$F38&lt;&gt;2),0,IF(HZ38&gt;0,HZ38,IF(ROUND(EB38*$J38,6)&lt;ROUND($M38,6),EB38,0)))</f>
        <v/>
      </c>
      <c r="IB38" s="68">
        <f>IF(OR($U38=0,$F38&lt;&gt;2),0,IF(IA38&gt;0,IA38,IF(ROUND(EC38*$J38,6)&lt;ROUND($M38,6),EC38,0)))</f>
        <v/>
      </c>
      <c r="IC38" s="68">
        <f>IF(OR($U38=0,$F38&lt;&gt;2),0,IF(IB38&gt;0,IB38,IF(ROUND(ED38*$J38,6)&lt;ROUND($M38,6),ED38,0)))</f>
        <v/>
      </c>
      <c r="ID38" s="68">
        <f>IF(OR($U38=0,$F38&lt;&gt;2),0,IF(IC38&gt;0,IC38,IF(ROUND(EE38*$J38,6)&lt;ROUND($M38,6),EE38,0)))</f>
        <v/>
      </c>
      <c r="IE38" s="68">
        <f>IF(OR($U38=0,$F38&lt;&gt;2),0,IF(ID38&gt;0,ID38,IF(ROUND(EF38*$J38,6)&lt;ROUND($M38,6),EF38,0)))</f>
        <v/>
      </c>
      <c r="IF38" s="68">
        <f>IF(OR($U38=0,$F38&lt;&gt;2),0,IF(IE38&gt;0,IE38,IF(ROUND(EG38*$J38,6)&lt;ROUND($M38,6),EG38,0)))</f>
        <v/>
      </c>
      <c r="IG38" s="68">
        <f>IF(OR($U38=0,$F38&lt;&gt;2),0,IF(IF38&gt;0,IF38,IF(ROUND(EH38*$J38,6)&lt;ROUND($M38,6),EH38,0)))</f>
        <v/>
      </c>
      <c r="IH38" s="68">
        <f>IF(OR($U38=0,$F38&lt;&gt;2),0,IF(IG38&gt;0,IG38,IF(ROUND(EI38*$J38,6)&lt;ROUND($M38,6),EI38,0)))</f>
        <v/>
      </c>
      <c r="II38" s="68">
        <f>IF(OR($U38=0,$F38&lt;&gt;2),0,IF(IH38&gt;0,IH38,IF(ROUND(EJ38*$J38,6)&lt;ROUND($M38,6),EJ38,0)))</f>
        <v/>
      </c>
      <c r="IJ38" s="68">
        <f>IF(OR($U38=0,$F38&lt;&gt;2),0,IF(II38&gt;0,II38,IF(ROUND(EK38*$J38,6)&lt;ROUND($M38,6),EK38,0)))</f>
        <v/>
      </c>
      <c r="IK38" s="68">
        <f>IF(OR($U38=0,$F38&lt;&gt;2),0,IF(IJ38&gt;0,IJ38,IF(ROUND(EL38*$J38,6)&lt;ROUND($M38,6),EL38,0)))</f>
        <v/>
      </c>
      <c r="IL38" s="68">
        <f>IF(OR($U38=0,$F38&lt;&gt;2),0,IF(IK38&gt;0,IK38,IF(ROUND(EM38*$J38,6)&lt;ROUND($M38,6),EM38,0)))</f>
        <v/>
      </c>
      <c r="IM38" s="68">
        <f>IF(OR($U38=0,$F38&lt;&gt;2),0,IF(IL38&gt;0,IL38,IF(ROUND(EN38*$J38,6)&lt;ROUND($M38,6),EN38,0)))</f>
        <v/>
      </c>
      <c r="IN38" s="68">
        <f>IF(OR($U38=0,$F38&lt;&gt;2),0,IF(IM38&gt;0,IM38,IF(ROUND(EO38*$J38,6)&lt;ROUND($M38,6),EO38,0)))</f>
        <v/>
      </c>
    </row>
    <row r="39">
      <c r="A39" s="68" t="n">
        <v>34</v>
      </c>
      <c r="B39" s="68">
        <f>IF(OR(TRIM('固定資産台帳'!$B39)&lt;&gt;"",'固定資産台帳'!$E39&lt;&gt;"",'固定資産台帳'!$G39&lt;&gt;"",'固定資産台帳'!$H39&lt;&gt;""),1,0)</f>
        <v/>
      </c>
      <c r="C39" s="68">
        <f>IF(ISNUMBER('固定資産台帳'!$G39),MAX(ROUND('固定資産台帳'!$G39,0),0),0)</f>
        <v/>
      </c>
      <c r="D39" s="84">
        <f>IF(ISNUMBER('固定資産台帳'!$E39),INT('固定資産台帳'!$E39),0)</f>
        <v/>
      </c>
      <c r="E39" s="84">
        <f>IF(ISNUMBER('固定資産台帳'!$F39),INT('固定資産台帳'!$F39),$D39)</f>
        <v/>
      </c>
      <c r="F39" s="68">
        <f>IF('固定資産台帳'!$H39="定額法",1,IF(OR('固定資産台帳'!$H39="定率法",'固定資産台帳'!$H39="定率法（200%）",'固定資産台帳'!$H39="定率法（250%）"),2,IF('固定資産台帳'!$H39="一括償却（3年）",3,IF('固定資産台帳'!$H39="少額特例",4,0))))</f>
        <v/>
      </c>
      <c r="G39" s="68">
        <f>IF('固定資産台帳'!$H39="定率法（250%）",250,IF('固定資産台帳'!$H39="定率法（200%）",200,IF($D39&gt;=DATE(2012,4,1),200,250)))</f>
        <v/>
      </c>
      <c r="H39" s="68">
        <f>IF(ISNUMBER('固定資産台帳'!$I39),IF(AND('固定資産台帳'!$I39&gt;=2,'固定資産台帳'!$I39&lt;=100,'固定資産台帳'!$I39=INT('固定資産台帳'!$I39)),'固定資産台帳'!$I39,0),0)</f>
        <v/>
      </c>
      <c r="I39" s="68">
        <f>IF('固定資産台帳'!$C39="無形固定資産",0,1)</f>
        <v/>
      </c>
      <c r="J39" s="68">
        <f>IF(OR($H39=0,$F39=0,$F39&gt;2),0,IF($F39=1,INDEX('償却率表'!$B$6:$B$104,$H39-1),IF($G39=200,INDEX('償却率表'!$C$6:$C$104,$H39-1),INDEX('償却率表'!$F$6:$F$104,$H39-1))))</f>
        <v/>
      </c>
      <c r="K39" s="68">
        <f>IF(AND($F39=2,$H39&gt;0),IF($G39=200,INDEX('償却率表'!$D$6:$D$104,$H39-1),INDEX('償却率表'!$G$6:$G$104,$H39-1)),0)</f>
        <v/>
      </c>
      <c r="L39" s="68">
        <f>IF(AND($F39=2,$H39&gt;0),IF($G39=200,INDEX('償却率表'!$E$6:$E$104,$H39-1),INDEX('償却率表'!$H$6:$H$104,$H39-1)),0)</f>
        <v/>
      </c>
      <c r="M39" s="68">
        <f>$C39*$L39</f>
        <v/>
      </c>
      <c r="N39" s="68">
        <f>IF($B$1=1,1,IF('固定資産台帳'!$J39="",1,IF(ISNUMBER('固定資産台帳'!$J39),IF(AND('固定資産台帳'!$J39&gt;0,'固定資産台帳'!$J39&lt;=1),'固定資産台帳'!$J39,0),0)))</f>
        <v/>
      </c>
      <c r="O39" s="68">
        <f>IF($E39=0,0,YEAR($E39)-IF(MONTH($E39)&lt;$B$2,1,0))</f>
        <v/>
      </c>
      <c r="P39" s="68">
        <f>IF($E39=0,0,12-MOD(MONTH($E39)-$B$2,12))</f>
        <v/>
      </c>
      <c r="Q39" s="84">
        <f>IF(ISNUMBER('固定資産台帳'!$K39),INT('固定資産台帳'!$K39),0)</f>
        <v/>
      </c>
      <c r="R39" s="68">
        <f>IF(OR($Q39=0,$E39=0),999,YEAR($Q39)-IF(MONTH($Q39)&lt;$B$2,1,0)-$O39)</f>
        <v/>
      </c>
      <c r="S39" s="68">
        <f>IF($R39=999,0,MOD(MONTH($Q39)-$B$2,12)+1-IF($R39=0,12-$P39,0))</f>
        <v/>
      </c>
      <c r="T39" s="68">
        <f>IF($B39=0,0,IF($C39&lt;=0,1,IF($D39=0,2,IF($F39=0,3,IF(AND($F39&lt;=2,$H39=0),4,IF(AND($F39&lt;=2,$D39&lt;DATE(2007,4,1)),5,IF($E39&lt;$D39,6,IF(AND($Q39&gt;0,$Q39&lt;$E39),7,IF($N39=0,8,IF($B$3=0,9,0))))))))))</f>
        <v/>
      </c>
      <c r="U39" s="68">
        <f>IF(AND($B39=1,$T39=0),1,0)</f>
        <v/>
      </c>
      <c r="V39" s="68">
        <f>$B$3-$O39</f>
        <v/>
      </c>
      <c r="W39" s="68">
        <f>IF(AND($U39=1,$V39&gt;=0),1,0)</f>
        <v/>
      </c>
      <c r="X39" s="68">
        <f>IF($W39=0,0,IF($V39=0,$C39,INDEX($AS39:$EP39,MIN($V39,102))))</f>
        <v/>
      </c>
      <c r="Y39" s="68">
        <f>IF($W39=0,0,INDEX($AS39:$EP39,MIN($V39,101)+1))</f>
        <v/>
      </c>
      <c r="Z39" s="68">
        <f>$X39-$Y39</f>
        <v/>
      </c>
      <c r="AA39" s="68">
        <f>IF(AND($W39=1,$F39=2,$V39&gt;=1),INDEX($ER39:$IN39,MIN($V39,101)),0)</f>
        <v/>
      </c>
      <c r="AB39" s="68">
        <f>IF(OR($W39=0,$F39&gt;2,$Z39=0),0,IF($V39=0,IF($R39=0,$S39,$P39),IF($V39=$R39,$S39,12)))</f>
        <v/>
      </c>
      <c r="AC39" s="68">
        <f>IF($W39=0,0,INT(ROUND($Z39*$N39,6)+$B$4))</f>
        <v/>
      </c>
      <c r="AD39" s="68">
        <f>IF(AND($W39=1,$F39&lt;=2,$V39=$R39),1,0)</f>
        <v/>
      </c>
      <c r="AE39" s="68">
        <f>IF(AND($W39=1,$F39&lt;=2,$V39&gt;$R39),1,0)</f>
        <v/>
      </c>
      <c r="AF39" s="68">
        <f>IF(AND($W39=1,$AE39=0,OR($Z39&gt;0,$AD39=1)),1,0)</f>
        <v/>
      </c>
      <c r="AG39" s="68">
        <f>IF($AF39=1,SUM($AF$6:$AF39),0)</f>
        <v/>
      </c>
      <c r="AH39" s="68">
        <f>IF($T39=0,"",CHOOSE($T39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39" s="68">
        <f>IF(AND($F39=2,OR('固定資産台帳'!$C39="建物",'固定資産台帳'!$C39="無形固定資産",AND(OR('固定資産台帳'!$C39="建物附属設備",'固定資産台帳'!$C39="構築物"),$D39&gt;=DATE(2016,4,1)))),"この資産は定額法だけです（定率法は使えません）。","")&amp;IF(AND($F39=3,$C39&gt;=200000),"一括償却は20万円未満の資産だけです。","")&amp;IF(AND($F39=3,$B$1=0,$C39&lt;100000),"10万円未満は一括償却にせず、全額をその年の経費にします。","")&amp;IF(AND($F39=4,$C39&lt;100000),"10万円未満は少額特例ではなく、全額をその年の経費にします。","")&amp;IF(AND($F39=4,$D39&lt;DATE(2026,4,1),$C39&gt;=300000),"2026年3月31日までの取得で少額特例が使えるのは30万円未満です。","")&amp;IF(AND($F39=4,$D39&gt;=DATE(2026,4,1),$C39&gt;=400000),"少額特例は40万円未満の資産だけです。","")&amp;IF(AND($F39=4,OR($D39&lt;DATE(2006,4,1),$D39&gt;DATE(2029,3,31))),"少額特例は2006年4月1日〜2029年3月31日に取得した資産だけです。","")&amp;IF(AND($F39=2,$G39=250,$D39&gt;DATE(2012,12,31)),"250%定率法は2012年12月31日までの取得だけです。","")</f>
        <v/>
      </c>
      <c r="AJ39" s="68">
        <f>IF(AND($F39=2,'固定資産台帳'!$H39="定率法（200%）",$D39&lt;DATE(2012,4,1)),"2012年3月31日までの取得に200%を使うのは、経過措置の届出をした場合です。","")&amp;IF(AND($F39=2,'固定資産台帳'!$H39="定率法（250%）",$D39&gt;=DATE(2012,4,1),$D39&lt;=DATE(2012,12,31)),"2012年4〜12月の取得に250%を使うのは、経過措置を選んだ場合です。","")</f>
        <v/>
      </c>
      <c r="AK39" s="68">
        <f>IF($U39=0,"",IF($V39&lt;0,"表示している年より後に使い始める資産です。",IF($AE39=1,"売却・除却済みです。",IF($AD39=1,"この年に売却・除却。期末の帳簿価額 "&amp;TEXT($Y39,"#,##0")&amp;"円を帳簿から外します。",IF($F39=4,IF($V39=0,"少額特例：この年に全額を経費にします。","少額特例で経費にした資産です。"),IF($F39=3,IF($V39&gt;2,"一括償却は終わっています。","一括償却 "&amp;($V39+1)&amp;"年目（3年のうち）。"),IF($Z39=0,"償却済み（帳簿価額 "&amp;TEXT($Y39,"#,##0")&amp;"円）。",IF($AA39&gt;0,"改定償却率で計算（改定取得価額 "&amp;TEXT($AA39,"#,##0")&amp;"円）。",IF($V39=0,"この年に使い始め（"&amp;$AB39&amp;"か月分）。","")))))))))</f>
        <v/>
      </c>
      <c r="AL39" s="68">
        <f>IF(AND($U39=1,$F39=4,$V39=0),$C39,0)</f>
        <v/>
      </c>
      <c r="AM39" s="68">
        <f>IF($F39=2,INT(ROUND($M39,6)+$B$4),0)</f>
        <v/>
      </c>
      <c r="AN39" s="68">
        <f>IF($W39=0,0,IF($F39=2,IF($AA39&gt;0,$AA39,$X39),$C39))</f>
        <v/>
      </c>
      <c r="AO39" s="68">
        <f>IF($W39=0,"",IF($F39=3,"1/3",IF($F39=4,"―",IF($AA39&gt;0,$K39,$J39))))</f>
        <v/>
      </c>
      <c r="AP39" s="68" t="n"/>
      <c r="AQ39" s="68" t="n"/>
      <c r="AR39" s="68" t="n"/>
      <c r="AS39" s="68">
        <f>IF($U39=0,0,IF($F39=4,0,IF($F39=3,MAX($C39-INT(ROUND($C39/3,6)+$B$4),0),$C39-MIN(INT(ROUND($C39*$J39*IF($R39=0,$S39,$P39)/12,6)+$B$4),MAX($C39-$I39,0)))))</f>
        <v/>
      </c>
      <c r="AT39" s="68">
        <f>IF($U39=0,0,IF($F39=4,0,IF($F39=3,AS39-MIN(INT(ROUND($C39/3,6)+$B$4),AS39),IF(OR(1&gt;$R39,AS39&lt;=$I39),AS39,AS39-MIN(INT(ROUND(IF($F39=1,$C39*$J39,IF(ER39&gt;0,ER39*$K39,AS39*$J39))*IF(1=$R39,$S39,12)/12,6)+$B$4),AS39-$I39)))))</f>
        <v/>
      </c>
      <c r="AU39" s="68">
        <f>IF($U39=0,0,IF($F39=4,0,IF($F39=3,0,IF(OR(2&gt;$R39,AT39&lt;=$I39),AT39,AT39-MIN(INT(ROUND(IF($F39=1,$C39*$J39,IF(ES39&gt;0,ES39*$K39,AT39*$J39))*IF(2=$R39,$S39,12)/12,6)+$B$4),AT39-$I39)))))</f>
        <v/>
      </c>
      <c r="AV39" s="68">
        <f>IF($U39=0,0,IF($F39=4,0,IF($F39=3,0,IF(OR(3&gt;$R39,AU39&lt;=$I39),AU39,AU39-MIN(INT(ROUND(IF($F39=1,$C39*$J39,IF(ET39&gt;0,ET39*$K39,AU39*$J39))*IF(3=$R39,$S39,12)/12,6)+$B$4),AU39-$I39)))))</f>
        <v/>
      </c>
      <c r="AW39" s="68">
        <f>IF($U39=0,0,IF($F39=4,0,IF($F39=3,0,IF(OR(4&gt;$R39,AV39&lt;=$I39),AV39,AV39-MIN(INT(ROUND(IF($F39=1,$C39*$J39,IF(EU39&gt;0,EU39*$K39,AV39*$J39))*IF(4=$R39,$S39,12)/12,6)+$B$4),AV39-$I39)))))</f>
        <v/>
      </c>
      <c r="AX39" s="68">
        <f>IF($U39=0,0,IF($F39=4,0,IF($F39=3,0,IF(OR(5&gt;$R39,AW39&lt;=$I39),AW39,AW39-MIN(INT(ROUND(IF($F39=1,$C39*$J39,IF(EV39&gt;0,EV39*$K39,AW39*$J39))*IF(5=$R39,$S39,12)/12,6)+$B$4),AW39-$I39)))))</f>
        <v/>
      </c>
      <c r="AY39" s="68">
        <f>IF($U39=0,0,IF($F39=4,0,IF($F39=3,0,IF(OR(6&gt;$R39,AX39&lt;=$I39),AX39,AX39-MIN(INT(ROUND(IF($F39=1,$C39*$J39,IF(EW39&gt;0,EW39*$K39,AX39*$J39))*IF(6=$R39,$S39,12)/12,6)+$B$4),AX39-$I39)))))</f>
        <v/>
      </c>
      <c r="AZ39" s="68">
        <f>IF($U39=0,0,IF($F39=4,0,IF($F39=3,0,IF(OR(7&gt;$R39,AY39&lt;=$I39),AY39,AY39-MIN(INT(ROUND(IF($F39=1,$C39*$J39,IF(EX39&gt;0,EX39*$K39,AY39*$J39))*IF(7=$R39,$S39,12)/12,6)+$B$4),AY39-$I39)))))</f>
        <v/>
      </c>
      <c r="BA39" s="68">
        <f>IF($U39=0,0,IF($F39=4,0,IF($F39=3,0,IF(OR(8&gt;$R39,AZ39&lt;=$I39),AZ39,AZ39-MIN(INT(ROUND(IF($F39=1,$C39*$J39,IF(EY39&gt;0,EY39*$K39,AZ39*$J39))*IF(8=$R39,$S39,12)/12,6)+$B$4),AZ39-$I39)))))</f>
        <v/>
      </c>
      <c r="BB39" s="68">
        <f>IF($U39=0,0,IF($F39=4,0,IF($F39=3,0,IF(OR(9&gt;$R39,BA39&lt;=$I39),BA39,BA39-MIN(INT(ROUND(IF($F39=1,$C39*$J39,IF(EZ39&gt;0,EZ39*$K39,BA39*$J39))*IF(9=$R39,$S39,12)/12,6)+$B$4),BA39-$I39)))))</f>
        <v/>
      </c>
      <c r="BC39" s="68">
        <f>IF($U39=0,0,IF($F39=4,0,IF($F39=3,0,IF(OR(10&gt;$R39,BB39&lt;=$I39),BB39,BB39-MIN(INT(ROUND(IF($F39=1,$C39*$J39,IF(FA39&gt;0,FA39*$K39,BB39*$J39))*IF(10=$R39,$S39,12)/12,6)+$B$4),BB39-$I39)))))</f>
        <v/>
      </c>
      <c r="BD39" s="68">
        <f>IF($U39=0,0,IF($F39=4,0,IF($F39=3,0,IF(OR(11&gt;$R39,BC39&lt;=$I39),BC39,BC39-MIN(INT(ROUND(IF($F39=1,$C39*$J39,IF(FB39&gt;0,FB39*$K39,BC39*$J39))*IF(11=$R39,$S39,12)/12,6)+$B$4),BC39-$I39)))))</f>
        <v/>
      </c>
      <c r="BE39" s="68">
        <f>IF($U39=0,0,IF($F39=4,0,IF($F39=3,0,IF(OR(12&gt;$R39,BD39&lt;=$I39),BD39,BD39-MIN(INT(ROUND(IF($F39=1,$C39*$J39,IF(FC39&gt;0,FC39*$K39,BD39*$J39))*IF(12=$R39,$S39,12)/12,6)+$B$4),BD39-$I39)))))</f>
        <v/>
      </c>
      <c r="BF39" s="68">
        <f>IF($U39=0,0,IF($F39=4,0,IF($F39=3,0,IF(OR(13&gt;$R39,BE39&lt;=$I39),BE39,BE39-MIN(INT(ROUND(IF($F39=1,$C39*$J39,IF(FD39&gt;0,FD39*$K39,BE39*$J39))*IF(13=$R39,$S39,12)/12,6)+$B$4),BE39-$I39)))))</f>
        <v/>
      </c>
      <c r="BG39" s="68">
        <f>IF($U39=0,0,IF($F39=4,0,IF($F39=3,0,IF(OR(14&gt;$R39,BF39&lt;=$I39),BF39,BF39-MIN(INT(ROUND(IF($F39=1,$C39*$J39,IF(FE39&gt;0,FE39*$K39,BF39*$J39))*IF(14=$R39,$S39,12)/12,6)+$B$4),BF39-$I39)))))</f>
        <v/>
      </c>
      <c r="BH39" s="68">
        <f>IF($U39=0,0,IF($F39=4,0,IF($F39=3,0,IF(OR(15&gt;$R39,BG39&lt;=$I39),BG39,BG39-MIN(INT(ROUND(IF($F39=1,$C39*$J39,IF(FF39&gt;0,FF39*$K39,BG39*$J39))*IF(15=$R39,$S39,12)/12,6)+$B$4),BG39-$I39)))))</f>
        <v/>
      </c>
      <c r="BI39" s="68">
        <f>IF($U39=0,0,IF($F39=4,0,IF($F39=3,0,IF(OR(16&gt;$R39,BH39&lt;=$I39),BH39,BH39-MIN(INT(ROUND(IF($F39=1,$C39*$J39,IF(FG39&gt;0,FG39*$K39,BH39*$J39))*IF(16=$R39,$S39,12)/12,6)+$B$4),BH39-$I39)))))</f>
        <v/>
      </c>
      <c r="BJ39" s="68">
        <f>IF($U39=0,0,IF($F39=4,0,IF($F39=3,0,IF(OR(17&gt;$R39,BI39&lt;=$I39),BI39,BI39-MIN(INT(ROUND(IF($F39=1,$C39*$J39,IF(FH39&gt;0,FH39*$K39,BI39*$J39))*IF(17=$R39,$S39,12)/12,6)+$B$4),BI39-$I39)))))</f>
        <v/>
      </c>
      <c r="BK39" s="68">
        <f>IF($U39=0,0,IF($F39=4,0,IF($F39=3,0,IF(OR(18&gt;$R39,BJ39&lt;=$I39),BJ39,BJ39-MIN(INT(ROUND(IF($F39=1,$C39*$J39,IF(FI39&gt;0,FI39*$K39,BJ39*$J39))*IF(18=$R39,$S39,12)/12,6)+$B$4),BJ39-$I39)))))</f>
        <v/>
      </c>
      <c r="BL39" s="68">
        <f>IF($U39=0,0,IF($F39=4,0,IF($F39=3,0,IF(OR(19&gt;$R39,BK39&lt;=$I39),BK39,BK39-MIN(INT(ROUND(IF($F39=1,$C39*$J39,IF(FJ39&gt;0,FJ39*$K39,BK39*$J39))*IF(19=$R39,$S39,12)/12,6)+$B$4),BK39-$I39)))))</f>
        <v/>
      </c>
      <c r="BM39" s="68">
        <f>IF($U39=0,0,IF($F39=4,0,IF($F39=3,0,IF(OR(20&gt;$R39,BL39&lt;=$I39),BL39,BL39-MIN(INT(ROUND(IF($F39=1,$C39*$J39,IF(FK39&gt;0,FK39*$K39,BL39*$J39))*IF(20=$R39,$S39,12)/12,6)+$B$4),BL39-$I39)))))</f>
        <v/>
      </c>
      <c r="BN39" s="68">
        <f>IF($U39=0,0,IF($F39=4,0,IF($F39=3,0,IF(OR(21&gt;$R39,BM39&lt;=$I39),BM39,BM39-MIN(INT(ROUND(IF($F39=1,$C39*$J39,IF(FL39&gt;0,FL39*$K39,BM39*$J39))*IF(21=$R39,$S39,12)/12,6)+$B$4),BM39-$I39)))))</f>
        <v/>
      </c>
      <c r="BO39" s="68">
        <f>IF($U39=0,0,IF($F39=4,0,IF($F39=3,0,IF(OR(22&gt;$R39,BN39&lt;=$I39),BN39,BN39-MIN(INT(ROUND(IF($F39=1,$C39*$J39,IF(FM39&gt;0,FM39*$K39,BN39*$J39))*IF(22=$R39,$S39,12)/12,6)+$B$4),BN39-$I39)))))</f>
        <v/>
      </c>
      <c r="BP39" s="68">
        <f>IF($U39=0,0,IF($F39=4,0,IF($F39=3,0,IF(OR(23&gt;$R39,BO39&lt;=$I39),BO39,BO39-MIN(INT(ROUND(IF($F39=1,$C39*$J39,IF(FN39&gt;0,FN39*$K39,BO39*$J39))*IF(23=$R39,$S39,12)/12,6)+$B$4),BO39-$I39)))))</f>
        <v/>
      </c>
      <c r="BQ39" s="68">
        <f>IF($U39=0,0,IF($F39=4,0,IF($F39=3,0,IF(OR(24&gt;$R39,BP39&lt;=$I39),BP39,BP39-MIN(INT(ROUND(IF($F39=1,$C39*$J39,IF(FO39&gt;0,FO39*$K39,BP39*$J39))*IF(24=$R39,$S39,12)/12,6)+$B$4),BP39-$I39)))))</f>
        <v/>
      </c>
      <c r="BR39" s="68">
        <f>IF($U39=0,0,IF($F39=4,0,IF($F39=3,0,IF(OR(25&gt;$R39,BQ39&lt;=$I39),BQ39,BQ39-MIN(INT(ROUND(IF($F39=1,$C39*$J39,IF(FP39&gt;0,FP39*$K39,BQ39*$J39))*IF(25=$R39,$S39,12)/12,6)+$B$4),BQ39-$I39)))))</f>
        <v/>
      </c>
      <c r="BS39" s="68">
        <f>IF($U39=0,0,IF($F39=4,0,IF($F39=3,0,IF(OR(26&gt;$R39,BR39&lt;=$I39),BR39,BR39-MIN(INT(ROUND(IF($F39=1,$C39*$J39,IF(FQ39&gt;0,FQ39*$K39,BR39*$J39))*IF(26=$R39,$S39,12)/12,6)+$B$4),BR39-$I39)))))</f>
        <v/>
      </c>
      <c r="BT39" s="68">
        <f>IF($U39=0,0,IF($F39=4,0,IF($F39=3,0,IF(OR(27&gt;$R39,BS39&lt;=$I39),BS39,BS39-MIN(INT(ROUND(IF($F39=1,$C39*$J39,IF(FR39&gt;0,FR39*$K39,BS39*$J39))*IF(27=$R39,$S39,12)/12,6)+$B$4),BS39-$I39)))))</f>
        <v/>
      </c>
      <c r="BU39" s="68">
        <f>IF($U39=0,0,IF($F39=4,0,IF($F39=3,0,IF(OR(28&gt;$R39,BT39&lt;=$I39),BT39,BT39-MIN(INT(ROUND(IF($F39=1,$C39*$J39,IF(FS39&gt;0,FS39*$K39,BT39*$J39))*IF(28=$R39,$S39,12)/12,6)+$B$4),BT39-$I39)))))</f>
        <v/>
      </c>
      <c r="BV39" s="68">
        <f>IF($U39=0,0,IF($F39=4,0,IF($F39=3,0,IF(OR(29&gt;$R39,BU39&lt;=$I39),BU39,BU39-MIN(INT(ROUND(IF($F39=1,$C39*$J39,IF(FT39&gt;0,FT39*$K39,BU39*$J39))*IF(29=$R39,$S39,12)/12,6)+$B$4),BU39-$I39)))))</f>
        <v/>
      </c>
      <c r="BW39" s="68">
        <f>IF($U39=0,0,IF($F39=4,0,IF($F39=3,0,IF(OR(30&gt;$R39,BV39&lt;=$I39),BV39,BV39-MIN(INT(ROUND(IF($F39=1,$C39*$J39,IF(FU39&gt;0,FU39*$K39,BV39*$J39))*IF(30=$R39,$S39,12)/12,6)+$B$4),BV39-$I39)))))</f>
        <v/>
      </c>
      <c r="BX39" s="68">
        <f>IF($U39=0,0,IF($F39=4,0,IF($F39=3,0,IF(OR(31&gt;$R39,BW39&lt;=$I39),BW39,BW39-MIN(INT(ROUND(IF($F39=1,$C39*$J39,IF(FV39&gt;0,FV39*$K39,BW39*$J39))*IF(31=$R39,$S39,12)/12,6)+$B$4),BW39-$I39)))))</f>
        <v/>
      </c>
      <c r="BY39" s="68">
        <f>IF($U39=0,0,IF($F39=4,0,IF($F39=3,0,IF(OR(32&gt;$R39,BX39&lt;=$I39),BX39,BX39-MIN(INT(ROUND(IF($F39=1,$C39*$J39,IF(FW39&gt;0,FW39*$K39,BX39*$J39))*IF(32=$R39,$S39,12)/12,6)+$B$4),BX39-$I39)))))</f>
        <v/>
      </c>
      <c r="BZ39" s="68">
        <f>IF($U39=0,0,IF($F39=4,0,IF($F39=3,0,IF(OR(33&gt;$R39,BY39&lt;=$I39),BY39,BY39-MIN(INT(ROUND(IF($F39=1,$C39*$J39,IF(FX39&gt;0,FX39*$K39,BY39*$J39))*IF(33=$R39,$S39,12)/12,6)+$B$4),BY39-$I39)))))</f>
        <v/>
      </c>
      <c r="CA39" s="68">
        <f>IF($U39=0,0,IF($F39=4,0,IF($F39=3,0,IF(OR(34&gt;$R39,BZ39&lt;=$I39),BZ39,BZ39-MIN(INT(ROUND(IF($F39=1,$C39*$J39,IF(FY39&gt;0,FY39*$K39,BZ39*$J39))*IF(34=$R39,$S39,12)/12,6)+$B$4),BZ39-$I39)))))</f>
        <v/>
      </c>
      <c r="CB39" s="68">
        <f>IF($U39=0,0,IF($F39=4,0,IF($F39=3,0,IF(OR(35&gt;$R39,CA39&lt;=$I39),CA39,CA39-MIN(INT(ROUND(IF($F39=1,$C39*$J39,IF(FZ39&gt;0,FZ39*$K39,CA39*$J39))*IF(35=$R39,$S39,12)/12,6)+$B$4),CA39-$I39)))))</f>
        <v/>
      </c>
      <c r="CC39" s="68">
        <f>IF($U39=0,0,IF($F39=4,0,IF($F39=3,0,IF(OR(36&gt;$R39,CB39&lt;=$I39),CB39,CB39-MIN(INT(ROUND(IF($F39=1,$C39*$J39,IF(GA39&gt;0,GA39*$K39,CB39*$J39))*IF(36=$R39,$S39,12)/12,6)+$B$4),CB39-$I39)))))</f>
        <v/>
      </c>
      <c r="CD39" s="68">
        <f>IF($U39=0,0,IF($F39=4,0,IF($F39=3,0,IF(OR(37&gt;$R39,CC39&lt;=$I39),CC39,CC39-MIN(INT(ROUND(IF($F39=1,$C39*$J39,IF(GB39&gt;0,GB39*$K39,CC39*$J39))*IF(37=$R39,$S39,12)/12,6)+$B$4),CC39-$I39)))))</f>
        <v/>
      </c>
      <c r="CE39" s="68">
        <f>IF($U39=0,0,IF($F39=4,0,IF($F39=3,0,IF(OR(38&gt;$R39,CD39&lt;=$I39),CD39,CD39-MIN(INT(ROUND(IF($F39=1,$C39*$J39,IF(GC39&gt;0,GC39*$K39,CD39*$J39))*IF(38=$R39,$S39,12)/12,6)+$B$4),CD39-$I39)))))</f>
        <v/>
      </c>
      <c r="CF39" s="68">
        <f>IF($U39=0,0,IF($F39=4,0,IF($F39=3,0,IF(OR(39&gt;$R39,CE39&lt;=$I39),CE39,CE39-MIN(INT(ROUND(IF($F39=1,$C39*$J39,IF(GD39&gt;0,GD39*$K39,CE39*$J39))*IF(39=$R39,$S39,12)/12,6)+$B$4),CE39-$I39)))))</f>
        <v/>
      </c>
      <c r="CG39" s="68">
        <f>IF($U39=0,0,IF($F39=4,0,IF($F39=3,0,IF(OR(40&gt;$R39,CF39&lt;=$I39),CF39,CF39-MIN(INT(ROUND(IF($F39=1,$C39*$J39,IF(GE39&gt;0,GE39*$K39,CF39*$J39))*IF(40=$R39,$S39,12)/12,6)+$B$4),CF39-$I39)))))</f>
        <v/>
      </c>
      <c r="CH39" s="68">
        <f>IF($U39=0,0,IF($F39=4,0,IF($F39=3,0,IF(OR(41&gt;$R39,CG39&lt;=$I39),CG39,CG39-MIN(INT(ROUND(IF($F39=1,$C39*$J39,IF(GF39&gt;0,GF39*$K39,CG39*$J39))*IF(41=$R39,$S39,12)/12,6)+$B$4),CG39-$I39)))))</f>
        <v/>
      </c>
      <c r="CI39" s="68">
        <f>IF($U39=0,0,IF($F39=4,0,IF($F39=3,0,IF(OR(42&gt;$R39,CH39&lt;=$I39),CH39,CH39-MIN(INT(ROUND(IF($F39=1,$C39*$J39,IF(GG39&gt;0,GG39*$K39,CH39*$J39))*IF(42=$R39,$S39,12)/12,6)+$B$4),CH39-$I39)))))</f>
        <v/>
      </c>
      <c r="CJ39" s="68">
        <f>IF($U39=0,0,IF($F39=4,0,IF($F39=3,0,IF(OR(43&gt;$R39,CI39&lt;=$I39),CI39,CI39-MIN(INT(ROUND(IF($F39=1,$C39*$J39,IF(GH39&gt;0,GH39*$K39,CI39*$J39))*IF(43=$R39,$S39,12)/12,6)+$B$4),CI39-$I39)))))</f>
        <v/>
      </c>
      <c r="CK39" s="68">
        <f>IF($U39=0,0,IF($F39=4,0,IF($F39=3,0,IF(OR(44&gt;$R39,CJ39&lt;=$I39),CJ39,CJ39-MIN(INT(ROUND(IF($F39=1,$C39*$J39,IF(GI39&gt;0,GI39*$K39,CJ39*$J39))*IF(44=$R39,$S39,12)/12,6)+$B$4),CJ39-$I39)))))</f>
        <v/>
      </c>
      <c r="CL39" s="68">
        <f>IF($U39=0,0,IF($F39=4,0,IF($F39=3,0,IF(OR(45&gt;$R39,CK39&lt;=$I39),CK39,CK39-MIN(INT(ROUND(IF($F39=1,$C39*$J39,IF(GJ39&gt;0,GJ39*$K39,CK39*$J39))*IF(45=$R39,$S39,12)/12,6)+$B$4),CK39-$I39)))))</f>
        <v/>
      </c>
      <c r="CM39" s="68">
        <f>IF($U39=0,0,IF($F39=4,0,IF($F39=3,0,IF(OR(46&gt;$R39,CL39&lt;=$I39),CL39,CL39-MIN(INT(ROUND(IF($F39=1,$C39*$J39,IF(GK39&gt;0,GK39*$K39,CL39*$J39))*IF(46=$R39,$S39,12)/12,6)+$B$4),CL39-$I39)))))</f>
        <v/>
      </c>
      <c r="CN39" s="68">
        <f>IF($U39=0,0,IF($F39=4,0,IF($F39=3,0,IF(OR(47&gt;$R39,CM39&lt;=$I39),CM39,CM39-MIN(INT(ROUND(IF($F39=1,$C39*$J39,IF(GL39&gt;0,GL39*$K39,CM39*$J39))*IF(47=$R39,$S39,12)/12,6)+$B$4),CM39-$I39)))))</f>
        <v/>
      </c>
      <c r="CO39" s="68">
        <f>IF($U39=0,0,IF($F39=4,0,IF($F39=3,0,IF(OR(48&gt;$R39,CN39&lt;=$I39),CN39,CN39-MIN(INT(ROUND(IF($F39=1,$C39*$J39,IF(GM39&gt;0,GM39*$K39,CN39*$J39))*IF(48=$R39,$S39,12)/12,6)+$B$4),CN39-$I39)))))</f>
        <v/>
      </c>
      <c r="CP39" s="68">
        <f>IF($U39=0,0,IF($F39=4,0,IF($F39=3,0,IF(OR(49&gt;$R39,CO39&lt;=$I39),CO39,CO39-MIN(INT(ROUND(IF($F39=1,$C39*$J39,IF(GN39&gt;0,GN39*$K39,CO39*$J39))*IF(49=$R39,$S39,12)/12,6)+$B$4),CO39-$I39)))))</f>
        <v/>
      </c>
      <c r="CQ39" s="68">
        <f>IF($U39=0,0,IF($F39=4,0,IF($F39=3,0,IF(OR(50&gt;$R39,CP39&lt;=$I39),CP39,CP39-MIN(INT(ROUND(IF($F39=1,$C39*$J39,IF(GO39&gt;0,GO39*$K39,CP39*$J39))*IF(50=$R39,$S39,12)/12,6)+$B$4),CP39-$I39)))))</f>
        <v/>
      </c>
      <c r="CR39" s="68">
        <f>IF($U39=0,0,IF($F39=4,0,IF($F39=3,0,IF(OR(51&gt;$R39,CQ39&lt;=$I39),CQ39,CQ39-MIN(INT(ROUND(IF($F39=1,$C39*$J39,IF(GP39&gt;0,GP39*$K39,CQ39*$J39))*IF(51=$R39,$S39,12)/12,6)+$B$4),CQ39-$I39)))))</f>
        <v/>
      </c>
      <c r="CS39" s="68">
        <f>IF($U39=0,0,IF($F39=4,0,IF($F39=3,0,IF(OR(52&gt;$R39,CR39&lt;=$I39),CR39,CR39-MIN(INT(ROUND(IF($F39=1,$C39*$J39,IF(GQ39&gt;0,GQ39*$K39,CR39*$J39))*IF(52=$R39,$S39,12)/12,6)+$B$4),CR39-$I39)))))</f>
        <v/>
      </c>
      <c r="CT39" s="68">
        <f>IF($U39=0,0,IF($F39=4,0,IF($F39=3,0,IF(OR(53&gt;$R39,CS39&lt;=$I39),CS39,CS39-MIN(INT(ROUND(IF($F39=1,$C39*$J39,IF(GR39&gt;0,GR39*$K39,CS39*$J39))*IF(53=$R39,$S39,12)/12,6)+$B$4),CS39-$I39)))))</f>
        <v/>
      </c>
      <c r="CU39" s="68">
        <f>IF($U39=0,0,IF($F39=4,0,IF($F39=3,0,IF(OR(54&gt;$R39,CT39&lt;=$I39),CT39,CT39-MIN(INT(ROUND(IF($F39=1,$C39*$J39,IF(GS39&gt;0,GS39*$K39,CT39*$J39))*IF(54=$R39,$S39,12)/12,6)+$B$4),CT39-$I39)))))</f>
        <v/>
      </c>
      <c r="CV39" s="68">
        <f>IF($U39=0,0,IF($F39=4,0,IF($F39=3,0,IF(OR(55&gt;$R39,CU39&lt;=$I39),CU39,CU39-MIN(INT(ROUND(IF($F39=1,$C39*$J39,IF(GT39&gt;0,GT39*$K39,CU39*$J39))*IF(55=$R39,$S39,12)/12,6)+$B$4),CU39-$I39)))))</f>
        <v/>
      </c>
      <c r="CW39" s="68">
        <f>IF($U39=0,0,IF($F39=4,0,IF($F39=3,0,IF(OR(56&gt;$R39,CV39&lt;=$I39),CV39,CV39-MIN(INT(ROUND(IF($F39=1,$C39*$J39,IF(GU39&gt;0,GU39*$K39,CV39*$J39))*IF(56=$R39,$S39,12)/12,6)+$B$4),CV39-$I39)))))</f>
        <v/>
      </c>
      <c r="CX39" s="68">
        <f>IF($U39=0,0,IF($F39=4,0,IF($F39=3,0,IF(OR(57&gt;$R39,CW39&lt;=$I39),CW39,CW39-MIN(INT(ROUND(IF($F39=1,$C39*$J39,IF(GV39&gt;0,GV39*$K39,CW39*$J39))*IF(57=$R39,$S39,12)/12,6)+$B$4),CW39-$I39)))))</f>
        <v/>
      </c>
      <c r="CY39" s="68">
        <f>IF($U39=0,0,IF($F39=4,0,IF($F39=3,0,IF(OR(58&gt;$R39,CX39&lt;=$I39),CX39,CX39-MIN(INT(ROUND(IF($F39=1,$C39*$J39,IF(GW39&gt;0,GW39*$K39,CX39*$J39))*IF(58=$R39,$S39,12)/12,6)+$B$4),CX39-$I39)))))</f>
        <v/>
      </c>
      <c r="CZ39" s="68">
        <f>IF($U39=0,0,IF($F39=4,0,IF($F39=3,0,IF(OR(59&gt;$R39,CY39&lt;=$I39),CY39,CY39-MIN(INT(ROUND(IF($F39=1,$C39*$J39,IF(GX39&gt;0,GX39*$K39,CY39*$J39))*IF(59=$R39,$S39,12)/12,6)+$B$4),CY39-$I39)))))</f>
        <v/>
      </c>
      <c r="DA39" s="68">
        <f>IF($U39=0,0,IF($F39=4,0,IF($F39=3,0,IF(OR(60&gt;$R39,CZ39&lt;=$I39),CZ39,CZ39-MIN(INT(ROUND(IF($F39=1,$C39*$J39,IF(GY39&gt;0,GY39*$K39,CZ39*$J39))*IF(60=$R39,$S39,12)/12,6)+$B$4),CZ39-$I39)))))</f>
        <v/>
      </c>
      <c r="DB39" s="68">
        <f>IF($U39=0,0,IF($F39=4,0,IF($F39=3,0,IF(OR(61&gt;$R39,DA39&lt;=$I39),DA39,DA39-MIN(INT(ROUND(IF($F39=1,$C39*$J39,IF(GZ39&gt;0,GZ39*$K39,DA39*$J39))*IF(61=$R39,$S39,12)/12,6)+$B$4),DA39-$I39)))))</f>
        <v/>
      </c>
      <c r="DC39" s="68">
        <f>IF($U39=0,0,IF($F39=4,0,IF($F39=3,0,IF(OR(62&gt;$R39,DB39&lt;=$I39),DB39,DB39-MIN(INT(ROUND(IF($F39=1,$C39*$J39,IF(HA39&gt;0,HA39*$K39,DB39*$J39))*IF(62=$R39,$S39,12)/12,6)+$B$4),DB39-$I39)))))</f>
        <v/>
      </c>
      <c r="DD39" s="68">
        <f>IF($U39=0,0,IF($F39=4,0,IF($F39=3,0,IF(OR(63&gt;$R39,DC39&lt;=$I39),DC39,DC39-MIN(INT(ROUND(IF($F39=1,$C39*$J39,IF(HB39&gt;0,HB39*$K39,DC39*$J39))*IF(63=$R39,$S39,12)/12,6)+$B$4),DC39-$I39)))))</f>
        <v/>
      </c>
      <c r="DE39" s="68">
        <f>IF($U39=0,0,IF($F39=4,0,IF($F39=3,0,IF(OR(64&gt;$R39,DD39&lt;=$I39),DD39,DD39-MIN(INT(ROUND(IF($F39=1,$C39*$J39,IF(HC39&gt;0,HC39*$K39,DD39*$J39))*IF(64=$R39,$S39,12)/12,6)+$B$4),DD39-$I39)))))</f>
        <v/>
      </c>
      <c r="DF39" s="68">
        <f>IF($U39=0,0,IF($F39=4,0,IF($F39=3,0,IF(OR(65&gt;$R39,DE39&lt;=$I39),DE39,DE39-MIN(INT(ROUND(IF($F39=1,$C39*$J39,IF(HD39&gt;0,HD39*$K39,DE39*$J39))*IF(65=$R39,$S39,12)/12,6)+$B$4),DE39-$I39)))))</f>
        <v/>
      </c>
      <c r="DG39" s="68">
        <f>IF($U39=0,0,IF($F39=4,0,IF($F39=3,0,IF(OR(66&gt;$R39,DF39&lt;=$I39),DF39,DF39-MIN(INT(ROUND(IF($F39=1,$C39*$J39,IF(HE39&gt;0,HE39*$K39,DF39*$J39))*IF(66=$R39,$S39,12)/12,6)+$B$4),DF39-$I39)))))</f>
        <v/>
      </c>
      <c r="DH39" s="68">
        <f>IF($U39=0,0,IF($F39=4,0,IF($F39=3,0,IF(OR(67&gt;$R39,DG39&lt;=$I39),DG39,DG39-MIN(INT(ROUND(IF($F39=1,$C39*$J39,IF(HF39&gt;0,HF39*$K39,DG39*$J39))*IF(67=$R39,$S39,12)/12,6)+$B$4),DG39-$I39)))))</f>
        <v/>
      </c>
      <c r="DI39" s="68">
        <f>IF($U39=0,0,IF($F39=4,0,IF($F39=3,0,IF(OR(68&gt;$R39,DH39&lt;=$I39),DH39,DH39-MIN(INT(ROUND(IF($F39=1,$C39*$J39,IF(HG39&gt;0,HG39*$K39,DH39*$J39))*IF(68=$R39,$S39,12)/12,6)+$B$4),DH39-$I39)))))</f>
        <v/>
      </c>
      <c r="DJ39" s="68">
        <f>IF($U39=0,0,IF($F39=4,0,IF($F39=3,0,IF(OR(69&gt;$R39,DI39&lt;=$I39),DI39,DI39-MIN(INT(ROUND(IF($F39=1,$C39*$J39,IF(HH39&gt;0,HH39*$K39,DI39*$J39))*IF(69=$R39,$S39,12)/12,6)+$B$4),DI39-$I39)))))</f>
        <v/>
      </c>
      <c r="DK39" s="68">
        <f>IF($U39=0,0,IF($F39=4,0,IF($F39=3,0,IF(OR(70&gt;$R39,DJ39&lt;=$I39),DJ39,DJ39-MIN(INT(ROUND(IF($F39=1,$C39*$J39,IF(HI39&gt;0,HI39*$K39,DJ39*$J39))*IF(70=$R39,$S39,12)/12,6)+$B$4),DJ39-$I39)))))</f>
        <v/>
      </c>
      <c r="DL39" s="68">
        <f>IF($U39=0,0,IF($F39=4,0,IF($F39=3,0,IF(OR(71&gt;$R39,DK39&lt;=$I39),DK39,DK39-MIN(INT(ROUND(IF($F39=1,$C39*$J39,IF(HJ39&gt;0,HJ39*$K39,DK39*$J39))*IF(71=$R39,$S39,12)/12,6)+$B$4),DK39-$I39)))))</f>
        <v/>
      </c>
      <c r="DM39" s="68">
        <f>IF($U39=0,0,IF($F39=4,0,IF($F39=3,0,IF(OR(72&gt;$R39,DL39&lt;=$I39),DL39,DL39-MIN(INT(ROUND(IF($F39=1,$C39*$J39,IF(HK39&gt;0,HK39*$K39,DL39*$J39))*IF(72=$R39,$S39,12)/12,6)+$B$4),DL39-$I39)))))</f>
        <v/>
      </c>
      <c r="DN39" s="68">
        <f>IF($U39=0,0,IF($F39=4,0,IF($F39=3,0,IF(OR(73&gt;$R39,DM39&lt;=$I39),DM39,DM39-MIN(INT(ROUND(IF($F39=1,$C39*$J39,IF(HL39&gt;0,HL39*$K39,DM39*$J39))*IF(73=$R39,$S39,12)/12,6)+$B$4),DM39-$I39)))))</f>
        <v/>
      </c>
      <c r="DO39" s="68">
        <f>IF($U39=0,0,IF($F39=4,0,IF($F39=3,0,IF(OR(74&gt;$R39,DN39&lt;=$I39),DN39,DN39-MIN(INT(ROUND(IF($F39=1,$C39*$J39,IF(HM39&gt;0,HM39*$K39,DN39*$J39))*IF(74=$R39,$S39,12)/12,6)+$B$4),DN39-$I39)))))</f>
        <v/>
      </c>
      <c r="DP39" s="68">
        <f>IF($U39=0,0,IF($F39=4,0,IF($F39=3,0,IF(OR(75&gt;$R39,DO39&lt;=$I39),DO39,DO39-MIN(INT(ROUND(IF($F39=1,$C39*$J39,IF(HN39&gt;0,HN39*$K39,DO39*$J39))*IF(75=$R39,$S39,12)/12,6)+$B$4),DO39-$I39)))))</f>
        <v/>
      </c>
      <c r="DQ39" s="68">
        <f>IF($U39=0,0,IF($F39=4,0,IF($F39=3,0,IF(OR(76&gt;$R39,DP39&lt;=$I39),DP39,DP39-MIN(INT(ROUND(IF($F39=1,$C39*$J39,IF(HO39&gt;0,HO39*$K39,DP39*$J39))*IF(76=$R39,$S39,12)/12,6)+$B$4),DP39-$I39)))))</f>
        <v/>
      </c>
      <c r="DR39" s="68">
        <f>IF($U39=0,0,IF($F39=4,0,IF($F39=3,0,IF(OR(77&gt;$R39,DQ39&lt;=$I39),DQ39,DQ39-MIN(INT(ROUND(IF($F39=1,$C39*$J39,IF(HP39&gt;0,HP39*$K39,DQ39*$J39))*IF(77=$R39,$S39,12)/12,6)+$B$4),DQ39-$I39)))))</f>
        <v/>
      </c>
      <c r="DS39" s="68">
        <f>IF($U39=0,0,IF($F39=4,0,IF($F39=3,0,IF(OR(78&gt;$R39,DR39&lt;=$I39),DR39,DR39-MIN(INT(ROUND(IF($F39=1,$C39*$J39,IF(HQ39&gt;0,HQ39*$K39,DR39*$J39))*IF(78=$R39,$S39,12)/12,6)+$B$4),DR39-$I39)))))</f>
        <v/>
      </c>
      <c r="DT39" s="68">
        <f>IF($U39=0,0,IF($F39=4,0,IF($F39=3,0,IF(OR(79&gt;$R39,DS39&lt;=$I39),DS39,DS39-MIN(INT(ROUND(IF($F39=1,$C39*$J39,IF(HR39&gt;0,HR39*$K39,DS39*$J39))*IF(79=$R39,$S39,12)/12,6)+$B$4),DS39-$I39)))))</f>
        <v/>
      </c>
      <c r="DU39" s="68">
        <f>IF($U39=0,0,IF($F39=4,0,IF($F39=3,0,IF(OR(80&gt;$R39,DT39&lt;=$I39),DT39,DT39-MIN(INT(ROUND(IF($F39=1,$C39*$J39,IF(HS39&gt;0,HS39*$K39,DT39*$J39))*IF(80=$R39,$S39,12)/12,6)+$B$4),DT39-$I39)))))</f>
        <v/>
      </c>
      <c r="DV39" s="68">
        <f>IF($U39=0,0,IF($F39=4,0,IF($F39=3,0,IF(OR(81&gt;$R39,DU39&lt;=$I39),DU39,DU39-MIN(INT(ROUND(IF($F39=1,$C39*$J39,IF(HT39&gt;0,HT39*$K39,DU39*$J39))*IF(81=$R39,$S39,12)/12,6)+$B$4),DU39-$I39)))))</f>
        <v/>
      </c>
      <c r="DW39" s="68">
        <f>IF($U39=0,0,IF($F39=4,0,IF($F39=3,0,IF(OR(82&gt;$R39,DV39&lt;=$I39),DV39,DV39-MIN(INT(ROUND(IF($F39=1,$C39*$J39,IF(HU39&gt;0,HU39*$K39,DV39*$J39))*IF(82=$R39,$S39,12)/12,6)+$B$4),DV39-$I39)))))</f>
        <v/>
      </c>
      <c r="DX39" s="68">
        <f>IF($U39=0,0,IF($F39=4,0,IF($F39=3,0,IF(OR(83&gt;$R39,DW39&lt;=$I39),DW39,DW39-MIN(INT(ROUND(IF($F39=1,$C39*$J39,IF(HV39&gt;0,HV39*$K39,DW39*$J39))*IF(83=$R39,$S39,12)/12,6)+$B$4),DW39-$I39)))))</f>
        <v/>
      </c>
      <c r="DY39" s="68">
        <f>IF($U39=0,0,IF($F39=4,0,IF($F39=3,0,IF(OR(84&gt;$R39,DX39&lt;=$I39),DX39,DX39-MIN(INT(ROUND(IF($F39=1,$C39*$J39,IF(HW39&gt;0,HW39*$K39,DX39*$J39))*IF(84=$R39,$S39,12)/12,6)+$B$4),DX39-$I39)))))</f>
        <v/>
      </c>
      <c r="DZ39" s="68">
        <f>IF($U39=0,0,IF($F39=4,0,IF($F39=3,0,IF(OR(85&gt;$R39,DY39&lt;=$I39),DY39,DY39-MIN(INT(ROUND(IF($F39=1,$C39*$J39,IF(HX39&gt;0,HX39*$K39,DY39*$J39))*IF(85=$R39,$S39,12)/12,6)+$B$4),DY39-$I39)))))</f>
        <v/>
      </c>
      <c r="EA39" s="68">
        <f>IF($U39=0,0,IF($F39=4,0,IF($F39=3,0,IF(OR(86&gt;$R39,DZ39&lt;=$I39),DZ39,DZ39-MIN(INT(ROUND(IF($F39=1,$C39*$J39,IF(HY39&gt;0,HY39*$K39,DZ39*$J39))*IF(86=$R39,$S39,12)/12,6)+$B$4),DZ39-$I39)))))</f>
        <v/>
      </c>
      <c r="EB39" s="68">
        <f>IF($U39=0,0,IF($F39=4,0,IF($F39=3,0,IF(OR(87&gt;$R39,EA39&lt;=$I39),EA39,EA39-MIN(INT(ROUND(IF($F39=1,$C39*$J39,IF(HZ39&gt;0,HZ39*$K39,EA39*$J39))*IF(87=$R39,$S39,12)/12,6)+$B$4),EA39-$I39)))))</f>
        <v/>
      </c>
      <c r="EC39" s="68">
        <f>IF($U39=0,0,IF($F39=4,0,IF($F39=3,0,IF(OR(88&gt;$R39,EB39&lt;=$I39),EB39,EB39-MIN(INT(ROUND(IF($F39=1,$C39*$J39,IF(IA39&gt;0,IA39*$K39,EB39*$J39))*IF(88=$R39,$S39,12)/12,6)+$B$4),EB39-$I39)))))</f>
        <v/>
      </c>
      <c r="ED39" s="68">
        <f>IF($U39=0,0,IF($F39=4,0,IF($F39=3,0,IF(OR(89&gt;$R39,EC39&lt;=$I39),EC39,EC39-MIN(INT(ROUND(IF($F39=1,$C39*$J39,IF(IB39&gt;0,IB39*$K39,EC39*$J39))*IF(89=$R39,$S39,12)/12,6)+$B$4),EC39-$I39)))))</f>
        <v/>
      </c>
      <c r="EE39" s="68">
        <f>IF($U39=0,0,IF($F39=4,0,IF($F39=3,0,IF(OR(90&gt;$R39,ED39&lt;=$I39),ED39,ED39-MIN(INT(ROUND(IF($F39=1,$C39*$J39,IF(IC39&gt;0,IC39*$K39,ED39*$J39))*IF(90=$R39,$S39,12)/12,6)+$B$4),ED39-$I39)))))</f>
        <v/>
      </c>
      <c r="EF39" s="68">
        <f>IF($U39=0,0,IF($F39=4,0,IF($F39=3,0,IF(OR(91&gt;$R39,EE39&lt;=$I39),EE39,EE39-MIN(INT(ROUND(IF($F39=1,$C39*$J39,IF(ID39&gt;0,ID39*$K39,EE39*$J39))*IF(91=$R39,$S39,12)/12,6)+$B$4),EE39-$I39)))))</f>
        <v/>
      </c>
      <c r="EG39" s="68">
        <f>IF($U39=0,0,IF($F39=4,0,IF($F39=3,0,IF(OR(92&gt;$R39,EF39&lt;=$I39),EF39,EF39-MIN(INT(ROUND(IF($F39=1,$C39*$J39,IF(IE39&gt;0,IE39*$K39,EF39*$J39))*IF(92=$R39,$S39,12)/12,6)+$B$4),EF39-$I39)))))</f>
        <v/>
      </c>
      <c r="EH39" s="68">
        <f>IF($U39=0,0,IF($F39=4,0,IF($F39=3,0,IF(OR(93&gt;$R39,EG39&lt;=$I39),EG39,EG39-MIN(INT(ROUND(IF($F39=1,$C39*$J39,IF(IF39&gt;0,IF39*$K39,EG39*$J39))*IF(93=$R39,$S39,12)/12,6)+$B$4),EG39-$I39)))))</f>
        <v/>
      </c>
      <c r="EI39" s="68">
        <f>IF($U39=0,0,IF($F39=4,0,IF($F39=3,0,IF(OR(94&gt;$R39,EH39&lt;=$I39),EH39,EH39-MIN(INT(ROUND(IF($F39=1,$C39*$J39,IF(IG39&gt;0,IG39*$K39,EH39*$J39))*IF(94=$R39,$S39,12)/12,6)+$B$4),EH39-$I39)))))</f>
        <v/>
      </c>
      <c r="EJ39" s="68">
        <f>IF($U39=0,0,IF($F39=4,0,IF($F39=3,0,IF(OR(95&gt;$R39,EI39&lt;=$I39),EI39,EI39-MIN(INT(ROUND(IF($F39=1,$C39*$J39,IF(IH39&gt;0,IH39*$K39,EI39*$J39))*IF(95=$R39,$S39,12)/12,6)+$B$4),EI39-$I39)))))</f>
        <v/>
      </c>
      <c r="EK39" s="68">
        <f>IF($U39=0,0,IF($F39=4,0,IF($F39=3,0,IF(OR(96&gt;$R39,EJ39&lt;=$I39),EJ39,EJ39-MIN(INT(ROUND(IF($F39=1,$C39*$J39,IF(II39&gt;0,II39*$K39,EJ39*$J39))*IF(96=$R39,$S39,12)/12,6)+$B$4),EJ39-$I39)))))</f>
        <v/>
      </c>
      <c r="EL39" s="68">
        <f>IF($U39=0,0,IF($F39=4,0,IF($F39=3,0,IF(OR(97&gt;$R39,EK39&lt;=$I39),EK39,EK39-MIN(INT(ROUND(IF($F39=1,$C39*$J39,IF(IJ39&gt;0,IJ39*$K39,EK39*$J39))*IF(97=$R39,$S39,12)/12,6)+$B$4),EK39-$I39)))))</f>
        <v/>
      </c>
      <c r="EM39" s="68">
        <f>IF($U39=0,0,IF($F39=4,0,IF($F39=3,0,IF(OR(98&gt;$R39,EL39&lt;=$I39),EL39,EL39-MIN(INT(ROUND(IF($F39=1,$C39*$J39,IF(IK39&gt;0,IK39*$K39,EL39*$J39))*IF(98=$R39,$S39,12)/12,6)+$B$4),EL39-$I39)))))</f>
        <v/>
      </c>
      <c r="EN39" s="68">
        <f>IF($U39=0,0,IF($F39=4,0,IF($F39=3,0,IF(OR(99&gt;$R39,EM39&lt;=$I39),EM39,EM39-MIN(INT(ROUND(IF($F39=1,$C39*$J39,IF(IL39&gt;0,IL39*$K39,EM39*$J39))*IF(99=$R39,$S39,12)/12,6)+$B$4),EM39-$I39)))))</f>
        <v/>
      </c>
      <c r="EO39" s="68">
        <f>IF($U39=0,0,IF($F39=4,0,IF($F39=3,0,IF(OR(100&gt;$R39,EN39&lt;=$I39),EN39,EN39-MIN(INT(ROUND(IF($F39=1,$C39*$J39,IF(IM39&gt;0,IM39*$K39,EN39*$J39))*IF(100=$R39,$S39,12)/12,6)+$B$4),EN39-$I39)))))</f>
        <v/>
      </c>
      <c r="EP39" s="68">
        <f>IF($U39=0,0,IF($F39=4,0,IF($F39=3,0,IF(OR(101&gt;$R39,EO39&lt;=$I39),EO39,EO39-MIN(INT(ROUND(IF($F39=1,$C39*$J39,IF(IN39&gt;0,IN39*$K39,EO39*$J39))*IF(101=$R39,$S39,12)/12,6)+$B$4),EO39-$I39)))))</f>
        <v/>
      </c>
      <c r="EQ39" s="68" t="n"/>
      <c r="ER39" s="68">
        <f>IF(OR($U39=0,$F39&lt;&gt;2),0,IF(ROUND(AS39*$J39,6)&lt;ROUND($M39,6),AS39,0))</f>
        <v/>
      </c>
      <c r="ES39" s="68">
        <f>IF(OR($U39=0,$F39&lt;&gt;2),0,IF(ER39&gt;0,ER39,IF(ROUND(AT39*$J39,6)&lt;ROUND($M39,6),AT39,0)))</f>
        <v/>
      </c>
      <c r="ET39" s="68">
        <f>IF(OR($U39=0,$F39&lt;&gt;2),0,IF(ES39&gt;0,ES39,IF(ROUND(AU39*$J39,6)&lt;ROUND($M39,6),AU39,0)))</f>
        <v/>
      </c>
      <c r="EU39" s="68">
        <f>IF(OR($U39=0,$F39&lt;&gt;2),0,IF(ET39&gt;0,ET39,IF(ROUND(AV39*$J39,6)&lt;ROUND($M39,6),AV39,0)))</f>
        <v/>
      </c>
      <c r="EV39" s="68">
        <f>IF(OR($U39=0,$F39&lt;&gt;2),0,IF(EU39&gt;0,EU39,IF(ROUND(AW39*$J39,6)&lt;ROUND($M39,6),AW39,0)))</f>
        <v/>
      </c>
      <c r="EW39" s="68">
        <f>IF(OR($U39=0,$F39&lt;&gt;2),0,IF(EV39&gt;0,EV39,IF(ROUND(AX39*$J39,6)&lt;ROUND($M39,6),AX39,0)))</f>
        <v/>
      </c>
      <c r="EX39" s="68">
        <f>IF(OR($U39=0,$F39&lt;&gt;2),0,IF(EW39&gt;0,EW39,IF(ROUND(AY39*$J39,6)&lt;ROUND($M39,6),AY39,0)))</f>
        <v/>
      </c>
      <c r="EY39" s="68">
        <f>IF(OR($U39=0,$F39&lt;&gt;2),0,IF(EX39&gt;0,EX39,IF(ROUND(AZ39*$J39,6)&lt;ROUND($M39,6),AZ39,0)))</f>
        <v/>
      </c>
      <c r="EZ39" s="68">
        <f>IF(OR($U39=0,$F39&lt;&gt;2),0,IF(EY39&gt;0,EY39,IF(ROUND(BA39*$J39,6)&lt;ROUND($M39,6),BA39,0)))</f>
        <v/>
      </c>
      <c r="FA39" s="68">
        <f>IF(OR($U39=0,$F39&lt;&gt;2),0,IF(EZ39&gt;0,EZ39,IF(ROUND(BB39*$J39,6)&lt;ROUND($M39,6),BB39,0)))</f>
        <v/>
      </c>
      <c r="FB39" s="68">
        <f>IF(OR($U39=0,$F39&lt;&gt;2),0,IF(FA39&gt;0,FA39,IF(ROUND(BC39*$J39,6)&lt;ROUND($M39,6),BC39,0)))</f>
        <v/>
      </c>
      <c r="FC39" s="68">
        <f>IF(OR($U39=0,$F39&lt;&gt;2),0,IF(FB39&gt;0,FB39,IF(ROUND(BD39*$J39,6)&lt;ROUND($M39,6),BD39,0)))</f>
        <v/>
      </c>
      <c r="FD39" s="68">
        <f>IF(OR($U39=0,$F39&lt;&gt;2),0,IF(FC39&gt;0,FC39,IF(ROUND(BE39*$J39,6)&lt;ROUND($M39,6),BE39,0)))</f>
        <v/>
      </c>
      <c r="FE39" s="68">
        <f>IF(OR($U39=0,$F39&lt;&gt;2),0,IF(FD39&gt;0,FD39,IF(ROUND(BF39*$J39,6)&lt;ROUND($M39,6),BF39,0)))</f>
        <v/>
      </c>
      <c r="FF39" s="68">
        <f>IF(OR($U39=0,$F39&lt;&gt;2),0,IF(FE39&gt;0,FE39,IF(ROUND(BG39*$J39,6)&lt;ROUND($M39,6),BG39,0)))</f>
        <v/>
      </c>
      <c r="FG39" s="68">
        <f>IF(OR($U39=0,$F39&lt;&gt;2),0,IF(FF39&gt;0,FF39,IF(ROUND(BH39*$J39,6)&lt;ROUND($M39,6),BH39,0)))</f>
        <v/>
      </c>
      <c r="FH39" s="68">
        <f>IF(OR($U39=0,$F39&lt;&gt;2),0,IF(FG39&gt;0,FG39,IF(ROUND(BI39*$J39,6)&lt;ROUND($M39,6),BI39,0)))</f>
        <v/>
      </c>
      <c r="FI39" s="68">
        <f>IF(OR($U39=0,$F39&lt;&gt;2),0,IF(FH39&gt;0,FH39,IF(ROUND(BJ39*$J39,6)&lt;ROUND($M39,6),BJ39,0)))</f>
        <v/>
      </c>
      <c r="FJ39" s="68">
        <f>IF(OR($U39=0,$F39&lt;&gt;2),0,IF(FI39&gt;0,FI39,IF(ROUND(BK39*$J39,6)&lt;ROUND($M39,6),BK39,0)))</f>
        <v/>
      </c>
      <c r="FK39" s="68">
        <f>IF(OR($U39=0,$F39&lt;&gt;2),0,IF(FJ39&gt;0,FJ39,IF(ROUND(BL39*$J39,6)&lt;ROUND($M39,6),BL39,0)))</f>
        <v/>
      </c>
      <c r="FL39" s="68">
        <f>IF(OR($U39=0,$F39&lt;&gt;2),0,IF(FK39&gt;0,FK39,IF(ROUND(BM39*$J39,6)&lt;ROUND($M39,6),BM39,0)))</f>
        <v/>
      </c>
      <c r="FM39" s="68">
        <f>IF(OR($U39=0,$F39&lt;&gt;2),0,IF(FL39&gt;0,FL39,IF(ROUND(BN39*$J39,6)&lt;ROUND($M39,6),BN39,0)))</f>
        <v/>
      </c>
      <c r="FN39" s="68">
        <f>IF(OR($U39=0,$F39&lt;&gt;2),0,IF(FM39&gt;0,FM39,IF(ROUND(BO39*$J39,6)&lt;ROUND($M39,6),BO39,0)))</f>
        <v/>
      </c>
      <c r="FO39" s="68">
        <f>IF(OR($U39=0,$F39&lt;&gt;2),0,IF(FN39&gt;0,FN39,IF(ROUND(BP39*$J39,6)&lt;ROUND($M39,6),BP39,0)))</f>
        <v/>
      </c>
      <c r="FP39" s="68">
        <f>IF(OR($U39=0,$F39&lt;&gt;2),0,IF(FO39&gt;0,FO39,IF(ROUND(BQ39*$J39,6)&lt;ROUND($M39,6),BQ39,0)))</f>
        <v/>
      </c>
      <c r="FQ39" s="68">
        <f>IF(OR($U39=0,$F39&lt;&gt;2),0,IF(FP39&gt;0,FP39,IF(ROUND(BR39*$J39,6)&lt;ROUND($M39,6),BR39,0)))</f>
        <v/>
      </c>
      <c r="FR39" s="68">
        <f>IF(OR($U39=0,$F39&lt;&gt;2),0,IF(FQ39&gt;0,FQ39,IF(ROUND(BS39*$J39,6)&lt;ROUND($M39,6),BS39,0)))</f>
        <v/>
      </c>
      <c r="FS39" s="68">
        <f>IF(OR($U39=0,$F39&lt;&gt;2),0,IF(FR39&gt;0,FR39,IF(ROUND(BT39*$J39,6)&lt;ROUND($M39,6),BT39,0)))</f>
        <v/>
      </c>
      <c r="FT39" s="68">
        <f>IF(OR($U39=0,$F39&lt;&gt;2),0,IF(FS39&gt;0,FS39,IF(ROUND(BU39*$J39,6)&lt;ROUND($M39,6),BU39,0)))</f>
        <v/>
      </c>
      <c r="FU39" s="68">
        <f>IF(OR($U39=0,$F39&lt;&gt;2),0,IF(FT39&gt;0,FT39,IF(ROUND(BV39*$J39,6)&lt;ROUND($M39,6),BV39,0)))</f>
        <v/>
      </c>
      <c r="FV39" s="68">
        <f>IF(OR($U39=0,$F39&lt;&gt;2),0,IF(FU39&gt;0,FU39,IF(ROUND(BW39*$J39,6)&lt;ROUND($M39,6),BW39,0)))</f>
        <v/>
      </c>
      <c r="FW39" s="68">
        <f>IF(OR($U39=0,$F39&lt;&gt;2),0,IF(FV39&gt;0,FV39,IF(ROUND(BX39*$J39,6)&lt;ROUND($M39,6),BX39,0)))</f>
        <v/>
      </c>
      <c r="FX39" s="68">
        <f>IF(OR($U39=0,$F39&lt;&gt;2),0,IF(FW39&gt;0,FW39,IF(ROUND(BY39*$J39,6)&lt;ROUND($M39,6),BY39,0)))</f>
        <v/>
      </c>
      <c r="FY39" s="68">
        <f>IF(OR($U39=0,$F39&lt;&gt;2),0,IF(FX39&gt;0,FX39,IF(ROUND(BZ39*$J39,6)&lt;ROUND($M39,6),BZ39,0)))</f>
        <v/>
      </c>
      <c r="FZ39" s="68">
        <f>IF(OR($U39=0,$F39&lt;&gt;2),0,IF(FY39&gt;0,FY39,IF(ROUND(CA39*$J39,6)&lt;ROUND($M39,6),CA39,0)))</f>
        <v/>
      </c>
      <c r="GA39" s="68">
        <f>IF(OR($U39=0,$F39&lt;&gt;2),0,IF(FZ39&gt;0,FZ39,IF(ROUND(CB39*$J39,6)&lt;ROUND($M39,6),CB39,0)))</f>
        <v/>
      </c>
      <c r="GB39" s="68">
        <f>IF(OR($U39=0,$F39&lt;&gt;2),0,IF(GA39&gt;0,GA39,IF(ROUND(CC39*$J39,6)&lt;ROUND($M39,6),CC39,0)))</f>
        <v/>
      </c>
      <c r="GC39" s="68">
        <f>IF(OR($U39=0,$F39&lt;&gt;2),0,IF(GB39&gt;0,GB39,IF(ROUND(CD39*$J39,6)&lt;ROUND($M39,6),CD39,0)))</f>
        <v/>
      </c>
      <c r="GD39" s="68">
        <f>IF(OR($U39=0,$F39&lt;&gt;2),0,IF(GC39&gt;0,GC39,IF(ROUND(CE39*$J39,6)&lt;ROUND($M39,6),CE39,0)))</f>
        <v/>
      </c>
      <c r="GE39" s="68">
        <f>IF(OR($U39=0,$F39&lt;&gt;2),0,IF(GD39&gt;0,GD39,IF(ROUND(CF39*$J39,6)&lt;ROUND($M39,6),CF39,0)))</f>
        <v/>
      </c>
      <c r="GF39" s="68">
        <f>IF(OR($U39=0,$F39&lt;&gt;2),0,IF(GE39&gt;0,GE39,IF(ROUND(CG39*$J39,6)&lt;ROUND($M39,6),CG39,0)))</f>
        <v/>
      </c>
      <c r="GG39" s="68">
        <f>IF(OR($U39=0,$F39&lt;&gt;2),0,IF(GF39&gt;0,GF39,IF(ROUND(CH39*$J39,6)&lt;ROUND($M39,6),CH39,0)))</f>
        <v/>
      </c>
      <c r="GH39" s="68">
        <f>IF(OR($U39=0,$F39&lt;&gt;2),0,IF(GG39&gt;0,GG39,IF(ROUND(CI39*$J39,6)&lt;ROUND($M39,6),CI39,0)))</f>
        <v/>
      </c>
      <c r="GI39" s="68">
        <f>IF(OR($U39=0,$F39&lt;&gt;2),0,IF(GH39&gt;0,GH39,IF(ROUND(CJ39*$J39,6)&lt;ROUND($M39,6),CJ39,0)))</f>
        <v/>
      </c>
      <c r="GJ39" s="68">
        <f>IF(OR($U39=0,$F39&lt;&gt;2),0,IF(GI39&gt;0,GI39,IF(ROUND(CK39*$J39,6)&lt;ROUND($M39,6),CK39,0)))</f>
        <v/>
      </c>
      <c r="GK39" s="68">
        <f>IF(OR($U39=0,$F39&lt;&gt;2),0,IF(GJ39&gt;0,GJ39,IF(ROUND(CL39*$J39,6)&lt;ROUND($M39,6),CL39,0)))</f>
        <v/>
      </c>
      <c r="GL39" s="68">
        <f>IF(OR($U39=0,$F39&lt;&gt;2),0,IF(GK39&gt;0,GK39,IF(ROUND(CM39*$J39,6)&lt;ROUND($M39,6),CM39,0)))</f>
        <v/>
      </c>
      <c r="GM39" s="68">
        <f>IF(OR($U39=0,$F39&lt;&gt;2),0,IF(GL39&gt;0,GL39,IF(ROUND(CN39*$J39,6)&lt;ROUND($M39,6),CN39,0)))</f>
        <v/>
      </c>
      <c r="GN39" s="68">
        <f>IF(OR($U39=0,$F39&lt;&gt;2),0,IF(GM39&gt;0,GM39,IF(ROUND(CO39*$J39,6)&lt;ROUND($M39,6),CO39,0)))</f>
        <v/>
      </c>
      <c r="GO39" s="68">
        <f>IF(OR($U39=0,$F39&lt;&gt;2),0,IF(GN39&gt;0,GN39,IF(ROUND(CP39*$J39,6)&lt;ROUND($M39,6),CP39,0)))</f>
        <v/>
      </c>
      <c r="GP39" s="68">
        <f>IF(OR($U39=0,$F39&lt;&gt;2),0,IF(GO39&gt;0,GO39,IF(ROUND(CQ39*$J39,6)&lt;ROUND($M39,6),CQ39,0)))</f>
        <v/>
      </c>
      <c r="GQ39" s="68">
        <f>IF(OR($U39=0,$F39&lt;&gt;2),0,IF(GP39&gt;0,GP39,IF(ROUND(CR39*$J39,6)&lt;ROUND($M39,6),CR39,0)))</f>
        <v/>
      </c>
      <c r="GR39" s="68">
        <f>IF(OR($U39=0,$F39&lt;&gt;2),0,IF(GQ39&gt;0,GQ39,IF(ROUND(CS39*$J39,6)&lt;ROUND($M39,6),CS39,0)))</f>
        <v/>
      </c>
      <c r="GS39" s="68">
        <f>IF(OR($U39=0,$F39&lt;&gt;2),0,IF(GR39&gt;0,GR39,IF(ROUND(CT39*$J39,6)&lt;ROUND($M39,6),CT39,0)))</f>
        <v/>
      </c>
      <c r="GT39" s="68">
        <f>IF(OR($U39=0,$F39&lt;&gt;2),0,IF(GS39&gt;0,GS39,IF(ROUND(CU39*$J39,6)&lt;ROUND($M39,6),CU39,0)))</f>
        <v/>
      </c>
      <c r="GU39" s="68">
        <f>IF(OR($U39=0,$F39&lt;&gt;2),0,IF(GT39&gt;0,GT39,IF(ROUND(CV39*$J39,6)&lt;ROUND($M39,6),CV39,0)))</f>
        <v/>
      </c>
      <c r="GV39" s="68">
        <f>IF(OR($U39=0,$F39&lt;&gt;2),0,IF(GU39&gt;0,GU39,IF(ROUND(CW39*$J39,6)&lt;ROUND($M39,6),CW39,0)))</f>
        <v/>
      </c>
      <c r="GW39" s="68">
        <f>IF(OR($U39=0,$F39&lt;&gt;2),0,IF(GV39&gt;0,GV39,IF(ROUND(CX39*$J39,6)&lt;ROUND($M39,6),CX39,0)))</f>
        <v/>
      </c>
      <c r="GX39" s="68">
        <f>IF(OR($U39=0,$F39&lt;&gt;2),0,IF(GW39&gt;0,GW39,IF(ROUND(CY39*$J39,6)&lt;ROUND($M39,6),CY39,0)))</f>
        <v/>
      </c>
      <c r="GY39" s="68">
        <f>IF(OR($U39=0,$F39&lt;&gt;2),0,IF(GX39&gt;0,GX39,IF(ROUND(CZ39*$J39,6)&lt;ROUND($M39,6),CZ39,0)))</f>
        <v/>
      </c>
      <c r="GZ39" s="68">
        <f>IF(OR($U39=0,$F39&lt;&gt;2),0,IF(GY39&gt;0,GY39,IF(ROUND(DA39*$J39,6)&lt;ROUND($M39,6),DA39,0)))</f>
        <v/>
      </c>
      <c r="HA39" s="68">
        <f>IF(OR($U39=0,$F39&lt;&gt;2),0,IF(GZ39&gt;0,GZ39,IF(ROUND(DB39*$J39,6)&lt;ROUND($M39,6),DB39,0)))</f>
        <v/>
      </c>
      <c r="HB39" s="68">
        <f>IF(OR($U39=0,$F39&lt;&gt;2),0,IF(HA39&gt;0,HA39,IF(ROUND(DC39*$J39,6)&lt;ROUND($M39,6),DC39,0)))</f>
        <v/>
      </c>
      <c r="HC39" s="68">
        <f>IF(OR($U39=0,$F39&lt;&gt;2),0,IF(HB39&gt;0,HB39,IF(ROUND(DD39*$J39,6)&lt;ROUND($M39,6),DD39,0)))</f>
        <v/>
      </c>
      <c r="HD39" s="68">
        <f>IF(OR($U39=0,$F39&lt;&gt;2),0,IF(HC39&gt;0,HC39,IF(ROUND(DE39*$J39,6)&lt;ROUND($M39,6),DE39,0)))</f>
        <v/>
      </c>
      <c r="HE39" s="68">
        <f>IF(OR($U39=0,$F39&lt;&gt;2),0,IF(HD39&gt;0,HD39,IF(ROUND(DF39*$J39,6)&lt;ROUND($M39,6),DF39,0)))</f>
        <v/>
      </c>
      <c r="HF39" s="68">
        <f>IF(OR($U39=0,$F39&lt;&gt;2),0,IF(HE39&gt;0,HE39,IF(ROUND(DG39*$J39,6)&lt;ROUND($M39,6),DG39,0)))</f>
        <v/>
      </c>
      <c r="HG39" s="68">
        <f>IF(OR($U39=0,$F39&lt;&gt;2),0,IF(HF39&gt;0,HF39,IF(ROUND(DH39*$J39,6)&lt;ROUND($M39,6),DH39,0)))</f>
        <v/>
      </c>
      <c r="HH39" s="68">
        <f>IF(OR($U39=0,$F39&lt;&gt;2),0,IF(HG39&gt;0,HG39,IF(ROUND(DI39*$J39,6)&lt;ROUND($M39,6),DI39,0)))</f>
        <v/>
      </c>
      <c r="HI39" s="68">
        <f>IF(OR($U39=0,$F39&lt;&gt;2),0,IF(HH39&gt;0,HH39,IF(ROUND(DJ39*$J39,6)&lt;ROUND($M39,6),DJ39,0)))</f>
        <v/>
      </c>
      <c r="HJ39" s="68">
        <f>IF(OR($U39=0,$F39&lt;&gt;2),0,IF(HI39&gt;0,HI39,IF(ROUND(DK39*$J39,6)&lt;ROUND($M39,6),DK39,0)))</f>
        <v/>
      </c>
      <c r="HK39" s="68">
        <f>IF(OR($U39=0,$F39&lt;&gt;2),0,IF(HJ39&gt;0,HJ39,IF(ROUND(DL39*$J39,6)&lt;ROUND($M39,6),DL39,0)))</f>
        <v/>
      </c>
      <c r="HL39" s="68">
        <f>IF(OR($U39=0,$F39&lt;&gt;2),0,IF(HK39&gt;0,HK39,IF(ROUND(DM39*$J39,6)&lt;ROUND($M39,6),DM39,0)))</f>
        <v/>
      </c>
      <c r="HM39" s="68">
        <f>IF(OR($U39=0,$F39&lt;&gt;2),0,IF(HL39&gt;0,HL39,IF(ROUND(DN39*$J39,6)&lt;ROUND($M39,6),DN39,0)))</f>
        <v/>
      </c>
      <c r="HN39" s="68">
        <f>IF(OR($U39=0,$F39&lt;&gt;2),0,IF(HM39&gt;0,HM39,IF(ROUND(DO39*$J39,6)&lt;ROUND($M39,6),DO39,0)))</f>
        <v/>
      </c>
      <c r="HO39" s="68">
        <f>IF(OR($U39=0,$F39&lt;&gt;2),0,IF(HN39&gt;0,HN39,IF(ROUND(DP39*$J39,6)&lt;ROUND($M39,6),DP39,0)))</f>
        <v/>
      </c>
      <c r="HP39" s="68">
        <f>IF(OR($U39=0,$F39&lt;&gt;2),0,IF(HO39&gt;0,HO39,IF(ROUND(DQ39*$J39,6)&lt;ROUND($M39,6),DQ39,0)))</f>
        <v/>
      </c>
      <c r="HQ39" s="68">
        <f>IF(OR($U39=0,$F39&lt;&gt;2),0,IF(HP39&gt;0,HP39,IF(ROUND(DR39*$J39,6)&lt;ROUND($M39,6),DR39,0)))</f>
        <v/>
      </c>
      <c r="HR39" s="68">
        <f>IF(OR($U39=0,$F39&lt;&gt;2),0,IF(HQ39&gt;0,HQ39,IF(ROUND(DS39*$J39,6)&lt;ROUND($M39,6),DS39,0)))</f>
        <v/>
      </c>
      <c r="HS39" s="68">
        <f>IF(OR($U39=0,$F39&lt;&gt;2),0,IF(HR39&gt;0,HR39,IF(ROUND(DT39*$J39,6)&lt;ROUND($M39,6),DT39,0)))</f>
        <v/>
      </c>
      <c r="HT39" s="68">
        <f>IF(OR($U39=0,$F39&lt;&gt;2),0,IF(HS39&gt;0,HS39,IF(ROUND(DU39*$J39,6)&lt;ROUND($M39,6),DU39,0)))</f>
        <v/>
      </c>
      <c r="HU39" s="68">
        <f>IF(OR($U39=0,$F39&lt;&gt;2),0,IF(HT39&gt;0,HT39,IF(ROUND(DV39*$J39,6)&lt;ROUND($M39,6),DV39,0)))</f>
        <v/>
      </c>
      <c r="HV39" s="68">
        <f>IF(OR($U39=0,$F39&lt;&gt;2),0,IF(HU39&gt;0,HU39,IF(ROUND(DW39*$J39,6)&lt;ROUND($M39,6),DW39,0)))</f>
        <v/>
      </c>
      <c r="HW39" s="68">
        <f>IF(OR($U39=0,$F39&lt;&gt;2),0,IF(HV39&gt;0,HV39,IF(ROUND(DX39*$J39,6)&lt;ROUND($M39,6),DX39,0)))</f>
        <v/>
      </c>
      <c r="HX39" s="68">
        <f>IF(OR($U39=0,$F39&lt;&gt;2),0,IF(HW39&gt;0,HW39,IF(ROUND(DY39*$J39,6)&lt;ROUND($M39,6),DY39,0)))</f>
        <v/>
      </c>
      <c r="HY39" s="68">
        <f>IF(OR($U39=0,$F39&lt;&gt;2),0,IF(HX39&gt;0,HX39,IF(ROUND(DZ39*$J39,6)&lt;ROUND($M39,6),DZ39,0)))</f>
        <v/>
      </c>
      <c r="HZ39" s="68">
        <f>IF(OR($U39=0,$F39&lt;&gt;2),0,IF(HY39&gt;0,HY39,IF(ROUND(EA39*$J39,6)&lt;ROUND($M39,6),EA39,0)))</f>
        <v/>
      </c>
      <c r="IA39" s="68">
        <f>IF(OR($U39=0,$F39&lt;&gt;2),0,IF(HZ39&gt;0,HZ39,IF(ROUND(EB39*$J39,6)&lt;ROUND($M39,6),EB39,0)))</f>
        <v/>
      </c>
      <c r="IB39" s="68">
        <f>IF(OR($U39=0,$F39&lt;&gt;2),0,IF(IA39&gt;0,IA39,IF(ROUND(EC39*$J39,6)&lt;ROUND($M39,6),EC39,0)))</f>
        <v/>
      </c>
      <c r="IC39" s="68">
        <f>IF(OR($U39=0,$F39&lt;&gt;2),0,IF(IB39&gt;0,IB39,IF(ROUND(ED39*$J39,6)&lt;ROUND($M39,6),ED39,0)))</f>
        <v/>
      </c>
      <c r="ID39" s="68">
        <f>IF(OR($U39=0,$F39&lt;&gt;2),0,IF(IC39&gt;0,IC39,IF(ROUND(EE39*$J39,6)&lt;ROUND($M39,6),EE39,0)))</f>
        <v/>
      </c>
      <c r="IE39" s="68">
        <f>IF(OR($U39=0,$F39&lt;&gt;2),0,IF(ID39&gt;0,ID39,IF(ROUND(EF39*$J39,6)&lt;ROUND($M39,6),EF39,0)))</f>
        <v/>
      </c>
      <c r="IF39" s="68">
        <f>IF(OR($U39=0,$F39&lt;&gt;2),0,IF(IE39&gt;0,IE39,IF(ROUND(EG39*$J39,6)&lt;ROUND($M39,6),EG39,0)))</f>
        <v/>
      </c>
      <c r="IG39" s="68">
        <f>IF(OR($U39=0,$F39&lt;&gt;2),0,IF(IF39&gt;0,IF39,IF(ROUND(EH39*$J39,6)&lt;ROUND($M39,6),EH39,0)))</f>
        <v/>
      </c>
      <c r="IH39" s="68">
        <f>IF(OR($U39=0,$F39&lt;&gt;2),0,IF(IG39&gt;0,IG39,IF(ROUND(EI39*$J39,6)&lt;ROUND($M39,6),EI39,0)))</f>
        <v/>
      </c>
      <c r="II39" s="68">
        <f>IF(OR($U39=0,$F39&lt;&gt;2),0,IF(IH39&gt;0,IH39,IF(ROUND(EJ39*$J39,6)&lt;ROUND($M39,6),EJ39,0)))</f>
        <v/>
      </c>
      <c r="IJ39" s="68">
        <f>IF(OR($U39=0,$F39&lt;&gt;2),0,IF(II39&gt;0,II39,IF(ROUND(EK39*$J39,6)&lt;ROUND($M39,6),EK39,0)))</f>
        <v/>
      </c>
      <c r="IK39" s="68">
        <f>IF(OR($U39=0,$F39&lt;&gt;2),0,IF(IJ39&gt;0,IJ39,IF(ROUND(EL39*$J39,6)&lt;ROUND($M39,6),EL39,0)))</f>
        <v/>
      </c>
      <c r="IL39" s="68">
        <f>IF(OR($U39=0,$F39&lt;&gt;2),0,IF(IK39&gt;0,IK39,IF(ROUND(EM39*$J39,6)&lt;ROUND($M39,6),EM39,0)))</f>
        <v/>
      </c>
      <c r="IM39" s="68">
        <f>IF(OR($U39=0,$F39&lt;&gt;2),0,IF(IL39&gt;0,IL39,IF(ROUND(EN39*$J39,6)&lt;ROUND($M39,6),EN39,0)))</f>
        <v/>
      </c>
      <c r="IN39" s="68">
        <f>IF(OR($U39=0,$F39&lt;&gt;2),0,IF(IM39&gt;0,IM39,IF(ROUND(EO39*$J39,6)&lt;ROUND($M39,6),EO39,0)))</f>
        <v/>
      </c>
    </row>
    <row r="40">
      <c r="A40" s="68" t="n">
        <v>35</v>
      </c>
      <c r="B40" s="68">
        <f>IF(OR(TRIM('固定資産台帳'!$B40)&lt;&gt;"",'固定資産台帳'!$E40&lt;&gt;"",'固定資産台帳'!$G40&lt;&gt;"",'固定資産台帳'!$H40&lt;&gt;""),1,0)</f>
        <v/>
      </c>
      <c r="C40" s="68">
        <f>IF(ISNUMBER('固定資産台帳'!$G40),MAX(ROUND('固定資産台帳'!$G40,0),0),0)</f>
        <v/>
      </c>
      <c r="D40" s="84">
        <f>IF(ISNUMBER('固定資産台帳'!$E40),INT('固定資産台帳'!$E40),0)</f>
        <v/>
      </c>
      <c r="E40" s="84">
        <f>IF(ISNUMBER('固定資産台帳'!$F40),INT('固定資産台帳'!$F40),$D40)</f>
        <v/>
      </c>
      <c r="F40" s="68">
        <f>IF('固定資産台帳'!$H40="定額法",1,IF(OR('固定資産台帳'!$H40="定率法",'固定資産台帳'!$H40="定率法（200%）",'固定資産台帳'!$H40="定率法（250%）"),2,IF('固定資産台帳'!$H40="一括償却（3年）",3,IF('固定資産台帳'!$H40="少額特例",4,0))))</f>
        <v/>
      </c>
      <c r="G40" s="68">
        <f>IF('固定資産台帳'!$H40="定率法（250%）",250,IF('固定資産台帳'!$H40="定率法（200%）",200,IF($D40&gt;=DATE(2012,4,1),200,250)))</f>
        <v/>
      </c>
      <c r="H40" s="68">
        <f>IF(ISNUMBER('固定資産台帳'!$I40),IF(AND('固定資産台帳'!$I40&gt;=2,'固定資産台帳'!$I40&lt;=100,'固定資産台帳'!$I40=INT('固定資産台帳'!$I40)),'固定資産台帳'!$I40,0),0)</f>
        <v/>
      </c>
      <c r="I40" s="68">
        <f>IF('固定資産台帳'!$C40="無形固定資産",0,1)</f>
        <v/>
      </c>
      <c r="J40" s="68">
        <f>IF(OR($H40=0,$F40=0,$F40&gt;2),0,IF($F40=1,INDEX('償却率表'!$B$6:$B$104,$H40-1),IF($G40=200,INDEX('償却率表'!$C$6:$C$104,$H40-1),INDEX('償却率表'!$F$6:$F$104,$H40-1))))</f>
        <v/>
      </c>
      <c r="K40" s="68">
        <f>IF(AND($F40=2,$H40&gt;0),IF($G40=200,INDEX('償却率表'!$D$6:$D$104,$H40-1),INDEX('償却率表'!$G$6:$G$104,$H40-1)),0)</f>
        <v/>
      </c>
      <c r="L40" s="68">
        <f>IF(AND($F40=2,$H40&gt;0),IF($G40=200,INDEX('償却率表'!$E$6:$E$104,$H40-1),INDEX('償却率表'!$H$6:$H$104,$H40-1)),0)</f>
        <v/>
      </c>
      <c r="M40" s="68">
        <f>$C40*$L40</f>
        <v/>
      </c>
      <c r="N40" s="68">
        <f>IF($B$1=1,1,IF('固定資産台帳'!$J40="",1,IF(ISNUMBER('固定資産台帳'!$J40),IF(AND('固定資産台帳'!$J40&gt;0,'固定資産台帳'!$J40&lt;=1),'固定資産台帳'!$J40,0),0)))</f>
        <v/>
      </c>
      <c r="O40" s="68">
        <f>IF($E40=0,0,YEAR($E40)-IF(MONTH($E40)&lt;$B$2,1,0))</f>
        <v/>
      </c>
      <c r="P40" s="68">
        <f>IF($E40=0,0,12-MOD(MONTH($E40)-$B$2,12))</f>
        <v/>
      </c>
      <c r="Q40" s="84">
        <f>IF(ISNUMBER('固定資産台帳'!$K40),INT('固定資産台帳'!$K40),0)</f>
        <v/>
      </c>
      <c r="R40" s="68">
        <f>IF(OR($Q40=0,$E40=0),999,YEAR($Q40)-IF(MONTH($Q40)&lt;$B$2,1,0)-$O40)</f>
        <v/>
      </c>
      <c r="S40" s="68">
        <f>IF($R40=999,0,MOD(MONTH($Q40)-$B$2,12)+1-IF($R40=0,12-$P40,0))</f>
        <v/>
      </c>
      <c r="T40" s="68">
        <f>IF($B40=0,0,IF($C40&lt;=0,1,IF($D40=0,2,IF($F40=0,3,IF(AND($F40&lt;=2,$H40=0),4,IF(AND($F40&lt;=2,$D40&lt;DATE(2007,4,1)),5,IF($E40&lt;$D40,6,IF(AND($Q40&gt;0,$Q40&lt;$E40),7,IF($N40=0,8,IF($B$3=0,9,0))))))))))</f>
        <v/>
      </c>
      <c r="U40" s="68">
        <f>IF(AND($B40=1,$T40=0),1,0)</f>
        <v/>
      </c>
      <c r="V40" s="68">
        <f>$B$3-$O40</f>
        <v/>
      </c>
      <c r="W40" s="68">
        <f>IF(AND($U40=1,$V40&gt;=0),1,0)</f>
        <v/>
      </c>
      <c r="X40" s="68">
        <f>IF($W40=0,0,IF($V40=0,$C40,INDEX($AS40:$EP40,MIN($V40,102))))</f>
        <v/>
      </c>
      <c r="Y40" s="68">
        <f>IF($W40=0,0,INDEX($AS40:$EP40,MIN($V40,101)+1))</f>
        <v/>
      </c>
      <c r="Z40" s="68">
        <f>$X40-$Y40</f>
        <v/>
      </c>
      <c r="AA40" s="68">
        <f>IF(AND($W40=1,$F40=2,$V40&gt;=1),INDEX($ER40:$IN40,MIN($V40,101)),0)</f>
        <v/>
      </c>
      <c r="AB40" s="68">
        <f>IF(OR($W40=0,$F40&gt;2,$Z40=0),0,IF($V40=0,IF($R40=0,$S40,$P40),IF($V40=$R40,$S40,12)))</f>
        <v/>
      </c>
      <c r="AC40" s="68">
        <f>IF($W40=0,0,INT(ROUND($Z40*$N40,6)+$B$4))</f>
        <v/>
      </c>
      <c r="AD40" s="68">
        <f>IF(AND($W40=1,$F40&lt;=2,$V40=$R40),1,0)</f>
        <v/>
      </c>
      <c r="AE40" s="68">
        <f>IF(AND($W40=1,$F40&lt;=2,$V40&gt;$R40),1,0)</f>
        <v/>
      </c>
      <c r="AF40" s="68">
        <f>IF(AND($W40=1,$AE40=0,OR($Z40&gt;0,$AD40=1)),1,0)</f>
        <v/>
      </c>
      <c r="AG40" s="68">
        <f>IF($AF40=1,SUM($AF$6:$AF40),0)</f>
        <v/>
      </c>
      <c r="AH40" s="68">
        <f>IF($T40=0,"",CHOOSE($T40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40" s="68">
        <f>IF(AND($F40=2,OR('固定資産台帳'!$C40="建物",'固定資産台帳'!$C40="無形固定資産",AND(OR('固定資産台帳'!$C40="建物附属設備",'固定資産台帳'!$C40="構築物"),$D40&gt;=DATE(2016,4,1)))),"この資産は定額法だけです（定率法は使えません）。","")&amp;IF(AND($F40=3,$C40&gt;=200000),"一括償却は20万円未満の資産だけです。","")&amp;IF(AND($F40=3,$B$1=0,$C40&lt;100000),"10万円未満は一括償却にせず、全額をその年の経費にします。","")&amp;IF(AND($F40=4,$C40&lt;100000),"10万円未満は少額特例ではなく、全額をその年の経費にします。","")&amp;IF(AND($F40=4,$D40&lt;DATE(2026,4,1),$C40&gt;=300000),"2026年3月31日までの取得で少額特例が使えるのは30万円未満です。","")&amp;IF(AND($F40=4,$D40&gt;=DATE(2026,4,1),$C40&gt;=400000),"少額特例は40万円未満の資産だけです。","")&amp;IF(AND($F40=4,OR($D40&lt;DATE(2006,4,1),$D40&gt;DATE(2029,3,31))),"少額特例は2006年4月1日〜2029年3月31日に取得した資産だけです。","")&amp;IF(AND($F40=2,$G40=250,$D40&gt;DATE(2012,12,31)),"250%定率法は2012年12月31日までの取得だけです。","")</f>
        <v/>
      </c>
      <c r="AJ40" s="68">
        <f>IF(AND($F40=2,'固定資産台帳'!$H40="定率法（200%）",$D40&lt;DATE(2012,4,1)),"2012年3月31日までの取得に200%を使うのは、経過措置の届出をした場合です。","")&amp;IF(AND($F40=2,'固定資産台帳'!$H40="定率法（250%）",$D40&gt;=DATE(2012,4,1),$D40&lt;=DATE(2012,12,31)),"2012年4〜12月の取得に250%を使うのは、経過措置を選んだ場合です。","")</f>
        <v/>
      </c>
      <c r="AK40" s="68">
        <f>IF($U40=0,"",IF($V40&lt;0,"表示している年より後に使い始める資産です。",IF($AE40=1,"売却・除却済みです。",IF($AD40=1,"この年に売却・除却。期末の帳簿価額 "&amp;TEXT($Y40,"#,##0")&amp;"円を帳簿から外します。",IF($F40=4,IF($V40=0,"少額特例：この年に全額を経費にします。","少額特例で経費にした資産です。"),IF($F40=3,IF($V40&gt;2,"一括償却は終わっています。","一括償却 "&amp;($V40+1)&amp;"年目（3年のうち）。"),IF($Z40=0,"償却済み（帳簿価額 "&amp;TEXT($Y40,"#,##0")&amp;"円）。",IF($AA40&gt;0,"改定償却率で計算（改定取得価額 "&amp;TEXT($AA40,"#,##0")&amp;"円）。",IF($V40=0,"この年に使い始め（"&amp;$AB40&amp;"か月分）。","")))))))))</f>
        <v/>
      </c>
      <c r="AL40" s="68">
        <f>IF(AND($U40=1,$F40=4,$V40=0),$C40,0)</f>
        <v/>
      </c>
      <c r="AM40" s="68">
        <f>IF($F40=2,INT(ROUND($M40,6)+$B$4),0)</f>
        <v/>
      </c>
      <c r="AN40" s="68">
        <f>IF($W40=0,0,IF($F40=2,IF($AA40&gt;0,$AA40,$X40),$C40))</f>
        <v/>
      </c>
      <c r="AO40" s="68">
        <f>IF($W40=0,"",IF($F40=3,"1/3",IF($F40=4,"―",IF($AA40&gt;0,$K40,$J40))))</f>
        <v/>
      </c>
      <c r="AP40" s="68" t="n"/>
      <c r="AQ40" s="68" t="n"/>
      <c r="AR40" s="68" t="n"/>
      <c r="AS40" s="68">
        <f>IF($U40=0,0,IF($F40=4,0,IF($F40=3,MAX($C40-INT(ROUND($C40/3,6)+$B$4),0),$C40-MIN(INT(ROUND($C40*$J40*IF($R40=0,$S40,$P40)/12,6)+$B$4),MAX($C40-$I40,0)))))</f>
        <v/>
      </c>
      <c r="AT40" s="68">
        <f>IF($U40=0,0,IF($F40=4,0,IF($F40=3,AS40-MIN(INT(ROUND($C40/3,6)+$B$4),AS40),IF(OR(1&gt;$R40,AS40&lt;=$I40),AS40,AS40-MIN(INT(ROUND(IF($F40=1,$C40*$J40,IF(ER40&gt;0,ER40*$K40,AS40*$J40))*IF(1=$R40,$S40,12)/12,6)+$B$4),AS40-$I40)))))</f>
        <v/>
      </c>
      <c r="AU40" s="68">
        <f>IF($U40=0,0,IF($F40=4,0,IF($F40=3,0,IF(OR(2&gt;$R40,AT40&lt;=$I40),AT40,AT40-MIN(INT(ROUND(IF($F40=1,$C40*$J40,IF(ES40&gt;0,ES40*$K40,AT40*$J40))*IF(2=$R40,$S40,12)/12,6)+$B$4),AT40-$I40)))))</f>
        <v/>
      </c>
      <c r="AV40" s="68">
        <f>IF($U40=0,0,IF($F40=4,0,IF($F40=3,0,IF(OR(3&gt;$R40,AU40&lt;=$I40),AU40,AU40-MIN(INT(ROUND(IF($F40=1,$C40*$J40,IF(ET40&gt;0,ET40*$K40,AU40*$J40))*IF(3=$R40,$S40,12)/12,6)+$B$4),AU40-$I40)))))</f>
        <v/>
      </c>
      <c r="AW40" s="68">
        <f>IF($U40=0,0,IF($F40=4,0,IF($F40=3,0,IF(OR(4&gt;$R40,AV40&lt;=$I40),AV40,AV40-MIN(INT(ROUND(IF($F40=1,$C40*$J40,IF(EU40&gt;0,EU40*$K40,AV40*$J40))*IF(4=$R40,$S40,12)/12,6)+$B$4),AV40-$I40)))))</f>
        <v/>
      </c>
      <c r="AX40" s="68">
        <f>IF($U40=0,0,IF($F40=4,0,IF($F40=3,0,IF(OR(5&gt;$R40,AW40&lt;=$I40),AW40,AW40-MIN(INT(ROUND(IF($F40=1,$C40*$J40,IF(EV40&gt;0,EV40*$K40,AW40*$J40))*IF(5=$R40,$S40,12)/12,6)+$B$4),AW40-$I40)))))</f>
        <v/>
      </c>
      <c r="AY40" s="68">
        <f>IF($U40=0,0,IF($F40=4,0,IF($F40=3,0,IF(OR(6&gt;$R40,AX40&lt;=$I40),AX40,AX40-MIN(INT(ROUND(IF($F40=1,$C40*$J40,IF(EW40&gt;0,EW40*$K40,AX40*$J40))*IF(6=$R40,$S40,12)/12,6)+$B$4),AX40-$I40)))))</f>
        <v/>
      </c>
      <c r="AZ40" s="68">
        <f>IF($U40=0,0,IF($F40=4,0,IF($F40=3,0,IF(OR(7&gt;$R40,AY40&lt;=$I40),AY40,AY40-MIN(INT(ROUND(IF($F40=1,$C40*$J40,IF(EX40&gt;0,EX40*$K40,AY40*$J40))*IF(7=$R40,$S40,12)/12,6)+$B$4),AY40-$I40)))))</f>
        <v/>
      </c>
      <c r="BA40" s="68">
        <f>IF($U40=0,0,IF($F40=4,0,IF($F40=3,0,IF(OR(8&gt;$R40,AZ40&lt;=$I40),AZ40,AZ40-MIN(INT(ROUND(IF($F40=1,$C40*$J40,IF(EY40&gt;0,EY40*$K40,AZ40*$J40))*IF(8=$R40,$S40,12)/12,6)+$B$4),AZ40-$I40)))))</f>
        <v/>
      </c>
      <c r="BB40" s="68">
        <f>IF($U40=0,0,IF($F40=4,0,IF($F40=3,0,IF(OR(9&gt;$R40,BA40&lt;=$I40),BA40,BA40-MIN(INT(ROUND(IF($F40=1,$C40*$J40,IF(EZ40&gt;0,EZ40*$K40,BA40*$J40))*IF(9=$R40,$S40,12)/12,6)+$B$4),BA40-$I40)))))</f>
        <v/>
      </c>
      <c r="BC40" s="68">
        <f>IF($U40=0,0,IF($F40=4,0,IF($F40=3,0,IF(OR(10&gt;$R40,BB40&lt;=$I40),BB40,BB40-MIN(INT(ROUND(IF($F40=1,$C40*$J40,IF(FA40&gt;0,FA40*$K40,BB40*$J40))*IF(10=$R40,$S40,12)/12,6)+$B$4),BB40-$I40)))))</f>
        <v/>
      </c>
      <c r="BD40" s="68">
        <f>IF($U40=0,0,IF($F40=4,0,IF($F40=3,0,IF(OR(11&gt;$R40,BC40&lt;=$I40),BC40,BC40-MIN(INT(ROUND(IF($F40=1,$C40*$J40,IF(FB40&gt;0,FB40*$K40,BC40*$J40))*IF(11=$R40,$S40,12)/12,6)+$B$4),BC40-$I40)))))</f>
        <v/>
      </c>
      <c r="BE40" s="68">
        <f>IF($U40=0,0,IF($F40=4,0,IF($F40=3,0,IF(OR(12&gt;$R40,BD40&lt;=$I40),BD40,BD40-MIN(INT(ROUND(IF($F40=1,$C40*$J40,IF(FC40&gt;0,FC40*$K40,BD40*$J40))*IF(12=$R40,$S40,12)/12,6)+$B$4),BD40-$I40)))))</f>
        <v/>
      </c>
      <c r="BF40" s="68">
        <f>IF($U40=0,0,IF($F40=4,0,IF($F40=3,0,IF(OR(13&gt;$R40,BE40&lt;=$I40),BE40,BE40-MIN(INT(ROUND(IF($F40=1,$C40*$J40,IF(FD40&gt;0,FD40*$K40,BE40*$J40))*IF(13=$R40,$S40,12)/12,6)+$B$4),BE40-$I40)))))</f>
        <v/>
      </c>
      <c r="BG40" s="68">
        <f>IF($U40=0,0,IF($F40=4,0,IF($F40=3,0,IF(OR(14&gt;$R40,BF40&lt;=$I40),BF40,BF40-MIN(INT(ROUND(IF($F40=1,$C40*$J40,IF(FE40&gt;0,FE40*$K40,BF40*$J40))*IF(14=$R40,$S40,12)/12,6)+$B$4),BF40-$I40)))))</f>
        <v/>
      </c>
      <c r="BH40" s="68">
        <f>IF($U40=0,0,IF($F40=4,0,IF($F40=3,0,IF(OR(15&gt;$R40,BG40&lt;=$I40),BG40,BG40-MIN(INT(ROUND(IF($F40=1,$C40*$J40,IF(FF40&gt;0,FF40*$K40,BG40*$J40))*IF(15=$R40,$S40,12)/12,6)+$B$4),BG40-$I40)))))</f>
        <v/>
      </c>
      <c r="BI40" s="68">
        <f>IF($U40=0,0,IF($F40=4,0,IF($F40=3,0,IF(OR(16&gt;$R40,BH40&lt;=$I40),BH40,BH40-MIN(INT(ROUND(IF($F40=1,$C40*$J40,IF(FG40&gt;0,FG40*$K40,BH40*$J40))*IF(16=$R40,$S40,12)/12,6)+$B$4),BH40-$I40)))))</f>
        <v/>
      </c>
      <c r="BJ40" s="68">
        <f>IF($U40=0,0,IF($F40=4,0,IF($F40=3,0,IF(OR(17&gt;$R40,BI40&lt;=$I40),BI40,BI40-MIN(INT(ROUND(IF($F40=1,$C40*$J40,IF(FH40&gt;0,FH40*$K40,BI40*$J40))*IF(17=$R40,$S40,12)/12,6)+$B$4),BI40-$I40)))))</f>
        <v/>
      </c>
      <c r="BK40" s="68">
        <f>IF($U40=0,0,IF($F40=4,0,IF($F40=3,0,IF(OR(18&gt;$R40,BJ40&lt;=$I40),BJ40,BJ40-MIN(INT(ROUND(IF($F40=1,$C40*$J40,IF(FI40&gt;0,FI40*$K40,BJ40*$J40))*IF(18=$R40,$S40,12)/12,6)+$B$4),BJ40-$I40)))))</f>
        <v/>
      </c>
      <c r="BL40" s="68">
        <f>IF($U40=0,0,IF($F40=4,0,IF($F40=3,0,IF(OR(19&gt;$R40,BK40&lt;=$I40),BK40,BK40-MIN(INT(ROUND(IF($F40=1,$C40*$J40,IF(FJ40&gt;0,FJ40*$K40,BK40*$J40))*IF(19=$R40,$S40,12)/12,6)+$B$4),BK40-$I40)))))</f>
        <v/>
      </c>
      <c r="BM40" s="68">
        <f>IF($U40=0,0,IF($F40=4,0,IF($F40=3,0,IF(OR(20&gt;$R40,BL40&lt;=$I40),BL40,BL40-MIN(INT(ROUND(IF($F40=1,$C40*$J40,IF(FK40&gt;0,FK40*$K40,BL40*$J40))*IF(20=$R40,$S40,12)/12,6)+$B$4),BL40-$I40)))))</f>
        <v/>
      </c>
      <c r="BN40" s="68">
        <f>IF($U40=0,0,IF($F40=4,0,IF($F40=3,0,IF(OR(21&gt;$R40,BM40&lt;=$I40),BM40,BM40-MIN(INT(ROUND(IF($F40=1,$C40*$J40,IF(FL40&gt;0,FL40*$K40,BM40*$J40))*IF(21=$R40,$S40,12)/12,6)+$B$4),BM40-$I40)))))</f>
        <v/>
      </c>
      <c r="BO40" s="68">
        <f>IF($U40=0,0,IF($F40=4,0,IF($F40=3,0,IF(OR(22&gt;$R40,BN40&lt;=$I40),BN40,BN40-MIN(INT(ROUND(IF($F40=1,$C40*$J40,IF(FM40&gt;0,FM40*$K40,BN40*$J40))*IF(22=$R40,$S40,12)/12,6)+$B$4),BN40-$I40)))))</f>
        <v/>
      </c>
      <c r="BP40" s="68">
        <f>IF($U40=0,0,IF($F40=4,0,IF($F40=3,0,IF(OR(23&gt;$R40,BO40&lt;=$I40),BO40,BO40-MIN(INT(ROUND(IF($F40=1,$C40*$J40,IF(FN40&gt;0,FN40*$K40,BO40*$J40))*IF(23=$R40,$S40,12)/12,6)+$B$4),BO40-$I40)))))</f>
        <v/>
      </c>
      <c r="BQ40" s="68">
        <f>IF($U40=0,0,IF($F40=4,0,IF($F40=3,0,IF(OR(24&gt;$R40,BP40&lt;=$I40),BP40,BP40-MIN(INT(ROUND(IF($F40=1,$C40*$J40,IF(FO40&gt;0,FO40*$K40,BP40*$J40))*IF(24=$R40,$S40,12)/12,6)+$B$4),BP40-$I40)))))</f>
        <v/>
      </c>
      <c r="BR40" s="68">
        <f>IF($U40=0,0,IF($F40=4,0,IF($F40=3,0,IF(OR(25&gt;$R40,BQ40&lt;=$I40),BQ40,BQ40-MIN(INT(ROUND(IF($F40=1,$C40*$J40,IF(FP40&gt;0,FP40*$K40,BQ40*$J40))*IF(25=$R40,$S40,12)/12,6)+$B$4),BQ40-$I40)))))</f>
        <v/>
      </c>
      <c r="BS40" s="68">
        <f>IF($U40=0,0,IF($F40=4,0,IF($F40=3,0,IF(OR(26&gt;$R40,BR40&lt;=$I40),BR40,BR40-MIN(INT(ROUND(IF($F40=1,$C40*$J40,IF(FQ40&gt;0,FQ40*$K40,BR40*$J40))*IF(26=$R40,$S40,12)/12,6)+$B$4),BR40-$I40)))))</f>
        <v/>
      </c>
      <c r="BT40" s="68">
        <f>IF($U40=0,0,IF($F40=4,0,IF($F40=3,0,IF(OR(27&gt;$R40,BS40&lt;=$I40),BS40,BS40-MIN(INT(ROUND(IF($F40=1,$C40*$J40,IF(FR40&gt;0,FR40*$K40,BS40*$J40))*IF(27=$R40,$S40,12)/12,6)+$B$4),BS40-$I40)))))</f>
        <v/>
      </c>
      <c r="BU40" s="68">
        <f>IF($U40=0,0,IF($F40=4,0,IF($F40=3,0,IF(OR(28&gt;$R40,BT40&lt;=$I40),BT40,BT40-MIN(INT(ROUND(IF($F40=1,$C40*$J40,IF(FS40&gt;0,FS40*$K40,BT40*$J40))*IF(28=$R40,$S40,12)/12,6)+$B$4),BT40-$I40)))))</f>
        <v/>
      </c>
      <c r="BV40" s="68">
        <f>IF($U40=0,0,IF($F40=4,0,IF($F40=3,0,IF(OR(29&gt;$R40,BU40&lt;=$I40),BU40,BU40-MIN(INT(ROUND(IF($F40=1,$C40*$J40,IF(FT40&gt;0,FT40*$K40,BU40*$J40))*IF(29=$R40,$S40,12)/12,6)+$B$4),BU40-$I40)))))</f>
        <v/>
      </c>
      <c r="BW40" s="68">
        <f>IF($U40=0,0,IF($F40=4,0,IF($F40=3,0,IF(OR(30&gt;$R40,BV40&lt;=$I40),BV40,BV40-MIN(INT(ROUND(IF($F40=1,$C40*$J40,IF(FU40&gt;0,FU40*$K40,BV40*$J40))*IF(30=$R40,$S40,12)/12,6)+$B$4),BV40-$I40)))))</f>
        <v/>
      </c>
      <c r="BX40" s="68">
        <f>IF($U40=0,0,IF($F40=4,0,IF($F40=3,0,IF(OR(31&gt;$R40,BW40&lt;=$I40),BW40,BW40-MIN(INT(ROUND(IF($F40=1,$C40*$J40,IF(FV40&gt;0,FV40*$K40,BW40*$J40))*IF(31=$R40,$S40,12)/12,6)+$B$4),BW40-$I40)))))</f>
        <v/>
      </c>
      <c r="BY40" s="68">
        <f>IF($U40=0,0,IF($F40=4,0,IF($F40=3,0,IF(OR(32&gt;$R40,BX40&lt;=$I40),BX40,BX40-MIN(INT(ROUND(IF($F40=1,$C40*$J40,IF(FW40&gt;0,FW40*$K40,BX40*$J40))*IF(32=$R40,$S40,12)/12,6)+$B$4),BX40-$I40)))))</f>
        <v/>
      </c>
      <c r="BZ40" s="68">
        <f>IF($U40=0,0,IF($F40=4,0,IF($F40=3,0,IF(OR(33&gt;$R40,BY40&lt;=$I40),BY40,BY40-MIN(INT(ROUND(IF($F40=1,$C40*$J40,IF(FX40&gt;0,FX40*$K40,BY40*$J40))*IF(33=$R40,$S40,12)/12,6)+$B$4),BY40-$I40)))))</f>
        <v/>
      </c>
      <c r="CA40" s="68">
        <f>IF($U40=0,0,IF($F40=4,0,IF($F40=3,0,IF(OR(34&gt;$R40,BZ40&lt;=$I40),BZ40,BZ40-MIN(INT(ROUND(IF($F40=1,$C40*$J40,IF(FY40&gt;0,FY40*$K40,BZ40*$J40))*IF(34=$R40,$S40,12)/12,6)+$B$4),BZ40-$I40)))))</f>
        <v/>
      </c>
      <c r="CB40" s="68">
        <f>IF($U40=0,0,IF($F40=4,0,IF($F40=3,0,IF(OR(35&gt;$R40,CA40&lt;=$I40),CA40,CA40-MIN(INT(ROUND(IF($F40=1,$C40*$J40,IF(FZ40&gt;0,FZ40*$K40,CA40*$J40))*IF(35=$R40,$S40,12)/12,6)+$B$4),CA40-$I40)))))</f>
        <v/>
      </c>
      <c r="CC40" s="68">
        <f>IF($U40=0,0,IF($F40=4,0,IF($F40=3,0,IF(OR(36&gt;$R40,CB40&lt;=$I40),CB40,CB40-MIN(INT(ROUND(IF($F40=1,$C40*$J40,IF(GA40&gt;0,GA40*$K40,CB40*$J40))*IF(36=$R40,$S40,12)/12,6)+$B$4),CB40-$I40)))))</f>
        <v/>
      </c>
      <c r="CD40" s="68">
        <f>IF($U40=0,0,IF($F40=4,0,IF($F40=3,0,IF(OR(37&gt;$R40,CC40&lt;=$I40),CC40,CC40-MIN(INT(ROUND(IF($F40=1,$C40*$J40,IF(GB40&gt;0,GB40*$K40,CC40*$J40))*IF(37=$R40,$S40,12)/12,6)+$B$4),CC40-$I40)))))</f>
        <v/>
      </c>
      <c r="CE40" s="68">
        <f>IF($U40=0,0,IF($F40=4,0,IF($F40=3,0,IF(OR(38&gt;$R40,CD40&lt;=$I40),CD40,CD40-MIN(INT(ROUND(IF($F40=1,$C40*$J40,IF(GC40&gt;0,GC40*$K40,CD40*$J40))*IF(38=$R40,$S40,12)/12,6)+$B$4),CD40-$I40)))))</f>
        <v/>
      </c>
      <c r="CF40" s="68">
        <f>IF($U40=0,0,IF($F40=4,0,IF($F40=3,0,IF(OR(39&gt;$R40,CE40&lt;=$I40),CE40,CE40-MIN(INT(ROUND(IF($F40=1,$C40*$J40,IF(GD40&gt;0,GD40*$K40,CE40*$J40))*IF(39=$R40,$S40,12)/12,6)+$B$4),CE40-$I40)))))</f>
        <v/>
      </c>
      <c r="CG40" s="68">
        <f>IF($U40=0,0,IF($F40=4,0,IF($F40=3,0,IF(OR(40&gt;$R40,CF40&lt;=$I40),CF40,CF40-MIN(INT(ROUND(IF($F40=1,$C40*$J40,IF(GE40&gt;0,GE40*$K40,CF40*$J40))*IF(40=$R40,$S40,12)/12,6)+$B$4),CF40-$I40)))))</f>
        <v/>
      </c>
      <c r="CH40" s="68">
        <f>IF($U40=0,0,IF($F40=4,0,IF($F40=3,0,IF(OR(41&gt;$R40,CG40&lt;=$I40),CG40,CG40-MIN(INT(ROUND(IF($F40=1,$C40*$J40,IF(GF40&gt;0,GF40*$K40,CG40*$J40))*IF(41=$R40,$S40,12)/12,6)+$B$4),CG40-$I40)))))</f>
        <v/>
      </c>
      <c r="CI40" s="68">
        <f>IF($U40=0,0,IF($F40=4,0,IF($F40=3,0,IF(OR(42&gt;$R40,CH40&lt;=$I40),CH40,CH40-MIN(INT(ROUND(IF($F40=1,$C40*$J40,IF(GG40&gt;0,GG40*$K40,CH40*$J40))*IF(42=$R40,$S40,12)/12,6)+$B$4),CH40-$I40)))))</f>
        <v/>
      </c>
      <c r="CJ40" s="68">
        <f>IF($U40=0,0,IF($F40=4,0,IF($F40=3,0,IF(OR(43&gt;$R40,CI40&lt;=$I40),CI40,CI40-MIN(INT(ROUND(IF($F40=1,$C40*$J40,IF(GH40&gt;0,GH40*$K40,CI40*$J40))*IF(43=$R40,$S40,12)/12,6)+$B$4),CI40-$I40)))))</f>
        <v/>
      </c>
      <c r="CK40" s="68">
        <f>IF($U40=0,0,IF($F40=4,0,IF($F40=3,0,IF(OR(44&gt;$R40,CJ40&lt;=$I40),CJ40,CJ40-MIN(INT(ROUND(IF($F40=1,$C40*$J40,IF(GI40&gt;0,GI40*$K40,CJ40*$J40))*IF(44=$R40,$S40,12)/12,6)+$B$4),CJ40-$I40)))))</f>
        <v/>
      </c>
      <c r="CL40" s="68">
        <f>IF($U40=0,0,IF($F40=4,0,IF($F40=3,0,IF(OR(45&gt;$R40,CK40&lt;=$I40),CK40,CK40-MIN(INT(ROUND(IF($F40=1,$C40*$J40,IF(GJ40&gt;0,GJ40*$K40,CK40*$J40))*IF(45=$R40,$S40,12)/12,6)+$B$4),CK40-$I40)))))</f>
        <v/>
      </c>
      <c r="CM40" s="68">
        <f>IF($U40=0,0,IF($F40=4,0,IF($F40=3,0,IF(OR(46&gt;$R40,CL40&lt;=$I40),CL40,CL40-MIN(INT(ROUND(IF($F40=1,$C40*$J40,IF(GK40&gt;0,GK40*$K40,CL40*$J40))*IF(46=$R40,$S40,12)/12,6)+$B$4),CL40-$I40)))))</f>
        <v/>
      </c>
      <c r="CN40" s="68">
        <f>IF($U40=0,0,IF($F40=4,0,IF($F40=3,0,IF(OR(47&gt;$R40,CM40&lt;=$I40),CM40,CM40-MIN(INT(ROUND(IF($F40=1,$C40*$J40,IF(GL40&gt;0,GL40*$K40,CM40*$J40))*IF(47=$R40,$S40,12)/12,6)+$B$4),CM40-$I40)))))</f>
        <v/>
      </c>
      <c r="CO40" s="68">
        <f>IF($U40=0,0,IF($F40=4,0,IF($F40=3,0,IF(OR(48&gt;$R40,CN40&lt;=$I40),CN40,CN40-MIN(INT(ROUND(IF($F40=1,$C40*$J40,IF(GM40&gt;0,GM40*$K40,CN40*$J40))*IF(48=$R40,$S40,12)/12,6)+$B$4),CN40-$I40)))))</f>
        <v/>
      </c>
      <c r="CP40" s="68">
        <f>IF($U40=0,0,IF($F40=4,0,IF($F40=3,0,IF(OR(49&gt;$R40,CO40&lt;=$I40),CO40,CO40-MIN(INT(ROUND(IF($F40=1,$C40*$J40,IF(GN40&gt;0,GN40*$K40,CO40*$J40))*IF(49=$R40,$S40,12)/12,6)+$B$4),CO40-$I40)))))</f>
        <v/>
      </c>
      <c r="CQ40" s="68">
        <f>IF($U40=0,0,IF($F40=4,0,IF($F40=3,0,IF(OR(50&gt;$R40,CP40&lt;=$I40),CP40,CP40-MIN(INT(ROUND(IF($F40=1,$C40*$J40,IF(GO40&gt;0,GO40*$K40,CP40*$J40))*IF(50=$R40,$S40,12)/12,6)+$B$4),CP40-$I40)))))</f>
        <v/>
      </c>
      <c r="CR40" s="68">
        <f>IF($U40=0,0,IF($F40=4,0,IF($F40=3,0,IF(OR(51&gt;$R40,CQ40&lt;=$I40),CQ40,CQ40-MIN(INT(ROUND(IF($F40=1,$C40*$J40,IF(GP40&gt;0,GP40*$K40,CQ40*$J40))*IF(51=$R40,$S40,12)/12,6)+$B$4),CQ40-$I40)))))</f>
        <v/>
      </c>
      <c r="CS40" s="68">
        <f>IF($U40=0,0,IF($F40=4,0,IF($F40=3,0,IF(OR(52&gt;$R40,CR40&lt;=$I40),CR40,CR40-MIN(INT(ROUND(IF($F40=1,$C40*$J40,IF(GQ40&gt;0,GQ40*$K40,CR40*$J40))*IF(52=$R40,$S40,12)/12,6)+$B$4),CR40-$I40)))))</f>
        <v/>
      </c>
      <c r="CT40" s="68">
        <f>IF($U40=0,0,IF($F40=4,0,IF($F40=3,0,IF(OR(53&gt;$R40,CS40&lt;=$I40),CS40,CS40-MIN(INT(ROUND(IF($F40=1,$C40*$J40,IF(GR40&gt;0,GR40*$K40,CS40*$J40))*IF(53=$R40,$S40,12)/12,6)+$B$4),CS40-$I40)))))</f>
        <v/>
      </c>
      <c r="CU40" s="68">
        <f>IF($U40=0,0,IF($F40=4,0,IF($F40=3,0,IF(OR(54&gt;$R40,CT40&lt;=$I40),CT40,CT40-MIN(INT(ROUND(IF($F40=1,$C40*$J40,IF(GS40&gt;0,GS40*$K40,CT40*$J40))*IF(54=$R40,$S40,12)/12,6)+$B$4),CT40-$I40)))))</f>
        <v/>
      </c>
      <c r="CV40" s="68">
        <f>IF($U40=0,0,IF($F40=4,0,IF($F40=3,0,IF(OR(55&gt;$R40,CU40&lt;=$I40),CU40,CU40-MIN(INT(ROUND(IF($F40=1,$C40*$J40,IF(GT40&gt;0,GT40*$K40,CU40*$J40))*IF(55=$R40,$S40,12)/12,6)+$B$4),CU40-$I40)))))</f>
        <v/>
      </c>
      <c r="CW40" s="68">
        <f>IF($U40=0,0,IF($F40=4,0,IF($F40=3,0,IF(OR(56&gt;$R40,CV40&lt;=$I40),CV40,CV40-MIN(INT(ROUND(IF($F40=1,$C40*$J40,IF(GU40&gt;0,GU40*$K40,CV40*$J40))*IF(56=$R40,$S40,12)/12,6)+$B$4),CV40-$I40)))))</f>
        <v/>
      </c>
      <c r="CX40" s="68">
        <f>IF($U40=0,0,IF($F40=4,0,IF($F40=3,0,IF(OR(57&gt;$R40,CW40&lt;=$I40),CW40,CW40-MIN(INT(ROUND(IF($F40=1,$C40*$J40,IF(GV40&gt;0,GV40*$K40,CW40*$J40))*IF(57=$R40,$S40,12)/12,6)+$B$4),CW40-$I40)))))</f>
        <v/>
      </c>
      <c r="CY40" s="68">
        <f>IF($U40=0,0,IF($F40=4,0,IF($F40=3,0,IF(OR(58&gt;$R40,CX40&lt;=$I40),CX40,CX40-MIN(INT(ROUND(IF($F40=1,$C40*$J40,IF(GW40&gt;0,GW40*$K40,CX40*$J40))*IF(58=$R40,$S40,12)/12,6)+$B$4),CX40-$I40)))))</f>
        <v/>
      </c>
      <c r="CZ40" s="68">
        <f>IF($U40=0,0,IF($F40=4,0,IF($F40=3,0,IF(OR(59&gt;$R40,CY40&lt;=$I40),CY40,CY40-MIN(INT(ROUND(IF($F40=1,$C40*$J40,IF(GX40&gt;0,GX40*$K40,CY40*$J40))*IF(59=$R40,$S40,12)/12,6)+$B$4),CY40-$I40)))))</f>
        <v/>
      </c>
      <c r="DA40" s="68">
        <f>IF($U40=0,0,IF($F40=4,0,IF($F40=3,0,IF(OR(60&gt;$R40,CZ40&lt;=$I40),CZ40,CZ40-MIN(INT(ROUND(IF($F40=1,$C40*$J40,IF(GY40&gt;0,GY40*$K40,CZ40*$J40))*IF(60=$R40,$S40,12)/12,6)+$B$4),CZ40-$I40)))))</f>
        <v/>
      </c>
      <c r="DB40" s="68">
        <f>IF($U40=0,0,IF($F40=4,0,IF($F40=3,0,IF(OR(61&gt;$R40,DA40&lt;=$I40),DA40,DA40-MIN(INT(ROUND(IF($F40=1,$C40*$J40,IF(GZ40&gt;0,GZ40*$K40,DA40*$J40))*IF(61=$R40,$S40,12)/12,6)+$B$4),DA40-$I40)))))</f>
        <v/>
      </c>
      <c r="DC40" s="68">
        <f>IF($U40=0,0,IF($F40=4,0,IF($F40=3,0,IF(OR(62&gt;$R40,DB40&lt;=$I40),DB40,DB40-MIN(INT(ROUND(IF($F40=1,$C40*$J40,IF(HA40&gt;0,HA40*$K40,DB40*$J40))*IF(62=$R40,$S40,12)/12,6)+$B$4),DB40-$I40)))))</f>
        <v/>
      </c>
      <c r="DD40" s="68">
        <f>IF($U40=0,0,IF($F40=4,0,IF($F40=3,0,IF(OR(63&gt;$R40,DC40&lt;=$I40),DC40,DC40-MIN(INT(ROUND(IF($F40=1,$C40*$J40,IF(HB40&gt;0,HB40*$K40,DC40*$J40))*IF(63=$R40,$S40,12)/12,6)+$B$4),DC40-$I40)))))</f>
        <v/>
      </c>
      <c r="DE40" s="68">
        <f>IF($U40=0,0,IF($F40=4,0,IF($F40=3,0,IF(OR(64&gt;$R40,DD40&lt;=$I40),DD40,DD40-MIN(INT(ROUND(IF($F40=1,$C40*$J40,IF(HC40&gt;0,HC40*$K40,DD40*$J40))*IF(64=$R40,$S40,12)/12,6)+$B$4),DD40-$I40)))))</f>
        <v/>
      </c>
      <c r="DF40" s="68">
        <f>IF($U40=0,0,IF($F40=4,0,IF($F40=3,0,IF(OR(65&gt;$R40,DE40&lt;=$I40),DE40,DE40-MIN(INT(ROUND(IF($F40=1,$C40*$J40,IF(HD40&gt;0,HD40*$K40,DE40*$J40))*IF(65=$R40,$S40,12)/12,6)+$B$4),DE40-$I40)))))</f>
        <v/>
      </c>
      <c r="DG40" s="68">
        <f>IF($U40=0,0,IF($F40=4,0,IF($F40=3,0,IF(OR(66&gt;$R40,DF40&lt;=$I40),DF40,DF40-MIN(INT(ROUND(IF($F40=1,$C40*$J40,IF(HE40&gt;0,HE40*$K40,DF40*$J40))*IF(66=$R40,$S40,12)/12,6)+$B$4),DF40-$I40)))))</f>
        <v/>
      </c>
      <c r="DH40" s="68">
        <f>IF($U40=0,0,IF($F40=4,0,IF($F40=3,0,IF(OR(67&gt;$R40,DG40&lt;=$I40),DG40,DG40-MIN(INT(ROUND(IF($F40=1,$C40*$J40,IF(HF40&gt;0,HF40*$K40,DG40*$J40))*IF(67=$R40,$S40,12)/12,6)+$B$4),DG40-$I40)))))</f>
        <v/>
      </c>
      <c r="DI40" s="68">
        <f>IF($U40=0,0,IF($F40=4,0,IF($F40=3,0,IF(OR(68&gt;$R40,DH40&lt;=$I40),DH40,DH40-MIN(INT(ROUND(IF($F40=1,$C40*$J40,IF(HG40&gt;0,HG40*$K40,DH40*$J40))*IF(68=$R40,$S40,12)/12,6)+$B$4),DH40-$I40)))))</f>
        <v/>
      </c>
      <c r="DJ40" s="68">
        <f>IF($U40=0,0,IF($F40=4,0,IF($F40=3,0,IF(OR(69&gt;$R40,DI40&lt;=$I40),DI40,DI40-MIN(INT(ROUND(IF($F40=1,$C40*$J40,IF(HH40&gt;0,HH40*$K40,DI40*$J40))*IF(69=$R40,$S40,12)/12,6)+$B$4),DI40-$I40)))))</f>
        <v/>
      </c>
      <c r="DK40" s="68">
        <f>IF($U40=0,0,IF($F40=4,0,IF($F40=3,0,IF(OR(70&gt;$R40,DJ40&lt;=$I40),DJ40,DJ40-MIN(INT(ROUND(IF($F40=1,$C40*$J40,IF(HI40&gt;0,HI40*$K40,DJ40*$J40))*IF(70=$R40,$S40,12)/12,6)+$B$4),DJ40-$I40)))))</f>
        <v/>
      </c>
      <c r="DL40" s="68">
        <f>IF($U40=0,0,IF($F40=4,0,IF($F40=3,0,IF(OR(71&gt;$R40,DK40&lt;=$I40),DK40,DK40-MIN(INT(ROUND(IF($F40=1,$C40*$J40,IF(HJ40&gt;0,HJ40*$K40,DK40*$J40))*IF(71=$R40,$S40,12)/12,6)+$B$4),DK40-$I40)))))</f>
        <v/>
      </c>
      <c r="DM40" s="68">
        <f>IF($U40=0,0,IF($F40=4,0,IF($F40=3,0,IF(OR(72&gt;$R40,DL40&lt;=$I40),DL40,DL40-MIN(INT(ROUND(IF($F40=1,$C40*$J40,IF(HK40&gt;0,HK40*$K40,DL40*$J40))*IF(72=$R40,$S40,12)/12,6)+$B$4),DL40-$I40)))))</f>
        <v/>
      </c>
      <c r="DN40" s="68">
        <f>IF($U40=0,0,IF($F40=4,0,IF($F40=3,0,IF(OR(73&gt;$R40,DM40&lt;=$I40),DM40,DM40-MIN(INT(ROUND(IF($F40=1,$C40*$J40,IF(HL40&gt;0,HL40*$K40,DM40*$J40))*IF(73=$R40,$S40,12)/12,6)+$B$4),DM40-$I40)))))</f>
        <v/>
      </c>
      <c r="DO40" s="68">
        <f>IF($U40=0,0,IF($F40=4,0,IF($F40=3,0,IF(OR(74&gt;$R40,DN40&lt;=$I40),DN40,DN40-MIN(INT(ROUND(IF($F40=1,$C40*$J40,IF(HM40&gt;0,HM40*$K40,DN40*$J40))*IF(74=$R40,$S40,12)/12,6)+$B$4),DN40-$I40)))))</f>
        <v/>
      </c>
      <c r="DP40" s="68">
        <f>IF($U40=0,0,IF($F40=4,0,IF($F40=3,0,IF(OR(75&gt;$R40,DO40&lt;=$I40),DO40,DO40-MIN(INT(ROUND(IF($F40=1,$C40*$J40,IF(HN40&gt;0,HN40*$K40,DO40*$J40))*IF(75=$R40,$S40,12)/12,6)+$B$4),DO40-$I40)))))</f>
        <v/>
      </c>
      <c r="DQ40" s="68">
        <f>IF($U40=0,0,IF($F40=4,0,IF($F40=3,0,IF(OR(76&gt;$R40,DP40&lt;=$I40),DP40,DP40-MIN(INT(ROUND(IF($F40=1,$C40*$J40,IF(HO40&gt;0,HO40*$K40,DP40*$J40))*IF(76=$R40,$S40,12)/12,6)+$B$4),DP40-$I40)))))</f>
        <v/>
      </c>
      <c r="DR40" s="68">
        <f>IF($U40=0,0,IF($F40=4,0,IF($F40=3,0,IF(OR(77&gt;$R40,DQ40&lt;=$I40),DQ40,DQ40-MIN(INT(ROUND(IF($F40=1,$C40*$J40,IF(HP40&gt;0,HP40*$K40,DQ40*$J40))*IF(77=$R40,$S40,12)/12,6)+$B$4),DQ40-$I40)))))</f>
        <v/>
      </c>
      <c r="DS40" s="68">
        <f>IF($U40=0,0,IF($F40=4,0,IF($F40=3,0,IF(OR(78&gt;$R40,DR40&lt;=$I40),DR40,DR40-MIN(INT(ROUND(IF($F40=1,$C40*$J40,IF(HQ40&gt;0,HQ40*$K40,DR40*$J40))*IF(78=$R40,$S40,12)/12,6)+$B$4),DR40-$I40)))))</f>
        <v/>
      </c>
      <c r="DT40" s="68">
        <f>IF($U40=0,0,IF($F40=4,0,IF($F40=3,0,IF(OR(79&gt;$R40,DS40&lt;=$I40),DS40,DS40-MIN(INT(ROUND(IF($F40=1,$C40*$J40,IF(HR40&gt;0,HR40*$K40,DS40*$J40))*IF(79=$R40,$S40,12)/12,6)+$B$4),DS40-$I40)))))</f>
        <v/>
      </c>
      <c r="DU40" s="68">
        <f>IF($U40=0,0,IF($F40=4,0,IF($F40=3,0,IF(OR(80&gt;$R40,DT40&lt;=$I40),DT40,DT40-MIN(INT(ROUND(IF($F40=1,$C40*$J40,IF(HS40&gt;0,HS40*$K40,DT40*$J40))*IF(80=$R40,$S40,12)/12,6)+$B$4),DT40-$I40)))))</f>
        <v/>
      </c>
      <c r="DV40" s="68">
        <f>IF($U40=0,0,IF($F40=4,0,IF($F40=3,0,IF(OR(81&gt;$R40,DU40&lt;=$I40),DU40,DU40-MIN(INT(ROUND(IF($F40=1,$C40*$J40,IF(HT40&gt;0,HT40*$K40,DU40*$J40))*IF(81=$R40,$S40,12)/12,6)+$B$4),DU40-$I40)))))</f>
        <v/>
      </c>
      <c r="DW40" s="68">
        <f>IF($U40=0,0,IF($F40=4,0,IF($F40=3,0,IF(OR(82&gt;$R40,DV40&lt;=$I40),DV40,DV40-MIN(INT(ROUND(IF($F40=1,$C40*$J40,IF(HU40&gt;0,HU40*$K40,DV40*$J40))*IF(82=$R40,$S40,12)/12,6)+$B$4),DV40-$I40)))))</f>
        <v/>
      </c>
      <c r="DX40" s="68">
        <f>IF($U40=0,0,IF($F40=4,0,IF($F40=3,0,IF(OR(83&gt;$R40,DW40&lt;=$I40),DW40,DW40-MIN(INT(ROUND(IF($F40=1,$C40*$J40,IF(HV40&gt;0,HV40*$K40,DW40*$J40))*IF(83=$R40,$S40,12)/12,6)+$B$4),DW40-$I40)))))</f>
        <v/>
      </c>
      <c r="DY40" s="68">
        <f>IF($U40=0,0,IF($F40=4,0,IF($F40=3,0,IF(OR(84&gt;$R40,DX40&lt;=$I40),DX40,DX40-MIN(INT(ROUND(IF($F40=1,$C40*$J40,IF(HW40&gt;0,HW40*$K40,DX40*$J40))*IF(84=$R40,$S40,12)/12,6)+$B$4),DX40-$I40)))))</f>
        <v/>
      </c>
      <c r="DZ40" s="68">
        <f>IF($U40=0,0,IF($F40=4,0,IF($F40=3,0,IF(OR(85&gt;$R40,DY40&lt;=$I40),DY40,DY40-MIN(INT(ROUND(IF($F40=1,$C40*$J40,IF(HX40&gt;0,HX40*$K40,DY40*$J40))*IF(85=$R40,$S40,12)/12,6)+$B$4),DY40-$I40)))))</f>
        <v/>
      </c>
      <c r="EA40" s="68">
        <f>IF($U40=0,0,IF($F40=4,0,IF($F40=3,0,IF(OR(86&gt;$R40,DZ40&lt;=$I40),DZ40,DZ40-MIN(INT(ROUND(IF($F40=1,$C40*$J40,IF(HY40&gt;0,HY40*$K40,DZ40*$J40))*IF(86=$R40,$S40,12)/12,6)+$B$4),DZ40-$I40)))))</f>
        <v/>
      </c>
      <c r="EB40" s="68">
        <f>IF($U40=0,0,IF($F40=4,0,IF($F40=3,0,IF(OR(87&gt;$R40,EA40&lt;=$I40),EA40,EA40-MIN(INT(ROUND(IF($F40=1,$C40*$J40,IF(HZ40&gt;0,HZ40*$K40,EA40*$J40))*IF(87=$R40,$S40,12)/12,6)+$B$4),EA40-$I40)))))</f>
        <v/>
      </c>
      <c r="EC40" s="68">
        <f>IF($U40=0,0,IF($F40=4,0,IF($F40=3,0,IF(OR(88&gt;$R40,EB40&lt;=$I40),EB40,EB40-MIN(INT(ROUND(IF($F40=1,$C40*$J40,IF(IA40&gt;0,IA40*$K40,EB40*$J40))*IF(88=$R40,$S40,12)/12,6)+$B$4),EB40-$I40)))))</f>
        <v/>
      </c>
      <c r="ED40" s="68">
        <f>IF($U40=0,0,IF($F40=4,0,IF($F40=3,0,IF(OR(89&gt;$R40,EC40&lt;=$I40),EC40,EC40-MIN(INT(ROUND(IF($F40=1,$C40*$J40,IF(IB40&gt;0,IB40*$K40,EC40*$J40))*IF(89=$R40,$S40,12)/12,6)+$B$4),EC40-$I40)))))</f>
        <v/>
      </c>
      <c r="EE40" s="68">
        <f>IF($U40=0,0,IF($F40=4,0,IF($F40=3,0,IF(OR(90&gt;$R40,ED40&lt;=$I40),ED40,ED40-MIN(INT(ROUND(IF($F40=1,$C40*$J40,IF(IC40&gt;0,IC40*$K40,ED40*$J40))*IF(90=$R40,$S40,12)/12,6)+$B$4),ED40-$I40)))))</f>
        <v/>
      </c>
      <c r="EF40" s="68">
        <f>IF($U40=0,0,IF($F40=4,0,IF($F40=3,0,IF(OR(91&gt;$R40,EE40&lt;=$I40),EE40,EE40-MIN(INT(ROUND(IF($F40=1,$C40*$J40,IF(ID40&gt;0,ID40*$K40,EE40*$J40))*IF(91=$R40,$S40,12)/12,6)+$B$4),EE40-$I40)))))</f>
        <v/>
      </c>
      <c r="EG40" s="68">
        <f>IF($U40=0,0,IF($F40=4,0,IF($F40=3,0,IF(OR(92&gt;$R40,EF40&lt;=$I40),EF40,EF40-MIN(INT(ROUND(IF($F40=1,$C40*$J40,IF(IE40&gt;0,IE40*$K40,EF40*$J40))*IF(92=$R40,$S40,12)/12,6)+$B$4),EF40-$I40)))))</f>
        <v/>
      </c>
      <c r="EH40" s="68">
        <f>IF($U40=0,0,IF($F40=4,0,IF($F40=3,0,IF(OR(93&gt;$R40,EG40&lt;=$I40),EG40,EG40-MIN(INT(ROUND(IF($F40=1,$C40*$J40,IF(IF40&gt;0,IF40*$K40,EG40*$J40))*IF(93=$R40,$S40,12)/12,6)+$B$4),EG40-$I40)))))</f>
        <v/>
      </c>
      <c r="EI40" s="68">
        <f>IF($U40=0,0,IF($F40=4,0,IF($F40=3,0,IF(OR(94&gt;$R40,EH40&lt;=$I40),EH40,EH40-MIN(INT(ROUND(IF($F40=1,$C40*$J40,IF(IG40&gt;0,IG40*$K40,EH40*$J40))*IF(94=$R40,$S40,12)/12,6)+$B$4),EH40-$I40)))))</f>
        <v/>
      </c>
      <c r="EJ40" s="68">
        <f>IF($U40=0,0,IF($F40=4,0,IF($F40=3,0,IF(OR(95&gt;$R40,EI40&lt;=$I40),EI40,EI40-MIN(INT(ROUND(IF($F40=1,$C40*$J40,IF(IH40&gt;0,IH40*$K40,EI40*$J40))*IF(95=$R40,$S40,12)/12,6)+$B$4),EI40-$I40)))))</f>
        <v/>
      </c>
      <c r="EK40" s="68">
        <f>IF($U40=0,0,IF($F40=4,0,IF($F40=3,0,IF(OR(96&gt;$R40,EJ40&lt;=$I40),EJ40,EJ40-MIN(INT(ROUND(IF($F40=1,$C40*$J40,IF(II40&gt;0,II40*$K40,EJ40*$J40))*IF(96=$R40,$S40,12)/12,6)+$B$4),EJ40-$I40)))))</f>
        <v/>
      </c>
      <c r="EL40" s="68">
        <f>IF($U40=0,0,IF($F40=4,0,IF($F40=3,0,IF(OR(97&gt;$R40,EK40&lt;=$I40),EK40,EK40-MIN(INT(ROUND(IF($F40=1,$C40*$J40,IF(IJ40&gt;0,IJ40*$K40,EK40*$J40))*IF(97=$R40,$S40,12)/12,6)+$B$4),EK40-$I40)))))</f>
        <v/>
      </c>
      <c r="EM40" s="68">
        <f>IF($U40=0,0,IF($F40=4,0,IF($F40=3,0,IF(OR(98&gt;$R40,EL40&lt;=$I40),EL40,EL40-MIN(INT(ROUND(IF($F40=1,$C40*$J40,IF(IK40&gt;0,IK40*$K40,EL40*$J40))*IF(98=$R40,$S40,12)/12,6)+$B$4),EL40-$I40)))))</f>
        <v/>
      </c>
      <c r="EN40" s="68">
        <f>IF($U40=0,0,IF($F40=4,0,IF($F40=3,0,IF(OR(99&gt;$R40,EM40&lt;=$I40),EM40,EM40-MIN(INT(ROUND(IF($F40=1,$C40*$J40,IF(IL40&gt;0,IL40*$K40,EM40*$J40))*IF(99=$R40,$S40,12)/12,6)+$B$4),EM40-$I40)))))</f>
        <v/>
      </c>
      <c r="EO40" s="68">
        <f>IF($U40=0,0,IF($F40=4,0,IF($F40=3,0,IF(OR(100&gt;$R40,EN40&lt;=$I40),EN40,EN40-MIN(INT(ROUND(IF($F40=1,$C40*$J40,IF(IM40&gt;0,IM40*$K40,EN40*$J40))*IF(100=$R40,$S40,12)/12,6)+$B$4),EN40-$I40)))))</f>
        <v/>
      </c>
      <c r="EP40" s="68">
        <f>IF($U40=0,0,IF($F40=4,0,IF($F40=3,0,IF(OR(101&gt;$R40,EO40&lt;=$I40),EO40,EO40-MIN(INT(ROUND(IF($F40=1,$C40*$J40,IF(IN40&gt;0,IN40*$K40,EO40*$J40))*IF(101=$R40,$S40,12)/12,6)+$B$4),EO40-$I40)))))</f>
        <v/>
      </c>
      <c r="EQ40" s="68" t="n"/>
      <c r="ER40" s="68">
        <f>IF(OR($U40=0,$F40&lt;&gt;2),0,IF(ROUND(AS40*$J40,6)&lt;ROUND($M40,6),AS40,0))</f>
        <v/>
      </c>
      <c r="ES40" s="68">
        <f>IF(OR($U40=0,$F40&lt;&gt;2),0,IF(ER40&gt;0,ER40,IF(ROUND(AT40*$J40,6)&lt;ROUND($M40,6),AT40,0)))</f>
        <v/>
      </c>
      <c r="ET40" s="68">
        <f>IF(OR($U40=0,$F40&lt;&gt;2),0,IF(ES40&gt;0,ES40,IF(ROUND(AU40*$J40,6)&lt;ROUND($M40,6),AU40,0)))</f>
        <v/>
      </c>
      <c r="EU40" s="68">
        <f>IF(OR($U40=0,$F40&lt;&gt;2),0,IF(ET40&gt;0,ET40,IF(ROUND(AV40*$J40,6)&lt;ROUND($M40,6),AV40,0)))</f>
        <v/>
      </c>
      <c r="EV40" s="68">
        <f>IF(OR($U40=0,$F40&lt;&gt;2),0,IF(EU40&gt;0,EU40,IF(ROUND(AW40*$J40,6)&lt;ROUND($M40,6),AW40,0)))</f>
        <v/>
      </c>
      <c r="EW40" s="68">
        <f>IF(OR($U40=0,$F40&lt;&gt;2),0,IF(EV40&gt;0,EV40,IF(ROUND(AX40*$J40,6)&lt;ROUND($M40,6),AX40,0)))</f>
        <v/>
      </c>
      <c r="EX40" s="68">
        <f>IF(OR($U40=0,$F40&lt;&gt;2),0,IF(EW40&gt;0,EW40,IF(ROUND(AY40*$J40,6)&lt;ROUND($M40,6),AY40,0)))</f>
        <v/>
      </c>
      <c r="EY40" s="68">
        <f>IF(OR($U40=0,$F40&lt;&gt;2),0,IF(EX40&gt;0,EX40,IF(ROUND(AZ40*$J40,6)&lt;ROUND($M40,6),AZ40,0)))</f>
        <v/>
      </c>
      <c r="EZ40" s="68">
        <f>IF(OR($U40=0,$F40&lt;&gt;2),0,IF(EY40&gt;0,EY40,IF(ROUND(BA40*$J40,6)&lt;ROUND($M40,6),BA40,0)))</f>
        <v/>
      </c>
      <c r="FA40" s="68">
        <f>IF(OR($U40=0,$F40&lt;&gt;2),0,IF(EZ40&gt;0,EZ40,IF(ROUND(BB40*$J40,6)&lt;ROUND($M40,6),BB40,0)))</f>
        <v/>
      </c>
      <c r="FB40" s="68">
        <f>IF(OR($U40=0,$F40&lt;&gt;2),0,IF(FA40&gt;0,FA40,IF(ROUND(BC40*$J40,6)&lt;ROUND($M40,6),BC40,0)))</f>
        <v/>
      </c>
      <c r="FC40" s="68">
        <f>IF(OR($U40=0,$F40&lt;&gt;2),0,IF(FB40&gt;0,FB40,IF(ROUND(BD40*$J40,6)&lt;ROUND($M40,6),BD40,0)))</f>
        <v/>
      </c>
      <c r="FD40" s="68">
        <f>IF(OR($U40=0,$F40&lt;&gt;2),0,IF(FC40&gt;0,FC40,IF(ROUND(BE40*$J40,6)&lt;ROUND($M40,6),BE40,0)))</f>
        <v/>
      </c>
      <c r="FE40" s="68">
        <f>IF(OR($U40=0,$F40&lt;&gt;2),0,IF(FD40&gt;0,FD40,IF(ROUND(BF40*$J40,6)&lt;ROUND($M40,6),BF40,0)))</f>
        <v/>
      </c>
      <c r="FF40" s="68">
        <f>IF(OR($U40=0,$F40&lt;&gt;2),0,IF(FE40&gt;0,FE40,IF(ROUND(BG40*$J40,6)&lt;ROUND($M40,6),BG40,0)))</f>
        <v/>
      </c>
      <c r="FG40" s="68">
        <f>IF(OR($U40=0,$F40&lt;&gt;2),0,IF(FF40&gt;0,FF40,IF(ROUND(BH40*$J40,6)&lt;ROUND($M40,6),BH40,0)))</f>
        <v/>
      </c>
      <c r="FH40" s="68">
        <f>IF(OR($U40=0,$F40&lt;&gt;2),0,IF(FG40&gt;0,FG40,IF(ROUND(BI40*$J40,6)&lt;ROUND($M40,6),BI40,0)))</f>
        <v/>
      </c>
      <c r="FI40" s="68">
        <f>IF(OR($U40=0,$F40&lt;&gt;2),0,IF(FH40&gt;0,FH40,IF(ROUND(BJ40*$J40,6)&lt;ROUND($M40,6),BJ40,0)))</f>
        <v/>
      </c>
      <c r="FJ40" s="68">
        <f>IF(OR($U40=0,$F40&lt;&gt;2),0,IF(FI40&gt;0,FI40,IF(ROUND(BK40*$J40,6)&lt;ROUND($M40,6),BK40,0)))</f>
        <v/>
      </c>
      <c r="FK40" s="68">
        <f>IF(OR($U40=0,$F40&lt;&gt;2),0,IF(FJ40&gt;0,FJ40,IF(ROUND(BL40*$J40,6)&lt;ROUND($M40,6),BL40,0)))</f>
        <v/>
      </c>
      <c r="FL40" s="68">
        <f>IF(OR($U40=0,$F40&lt;&gt;2),0,IF(FK40&gt;0,FK40,IF(ROUND(BM40*$J40,6)&lt;ROUND($M40,6),BM40,0)))</f>
        <v/>
      </c>
      <c r="FM40" s="68">
        <f>IF(OR($U40=0,$F40&lt;&gt;2),0,IF(FL40&gt;0,FL40,IF(ROUND(BN40*$J40,6)&lt;ROUND($M40,6),BN40,0)))</f>
        <v/>
      </c>
      <c r="FN40" s="68">
        <f>IF(OR($U40=0,$F40&lt;&gt;2),0,IF(FM40&gt;0,FM40,IF(ROUND(BO40*$J40,6)&lt;ROUND($M40,6),BO40,0)))</f>
        <v/>
      </c>
      <c r="FO40" s="68">
        <f>IF(OR($U40=0,$F40&lt;&gt;2),0,IF(FN40&gt;0,FN40,IF(ROUND(BP40*$J40,6)&lt;ROUND($M40,6),BP40,0)))</f>
        <v/>
      </c>
      <c r="FP40" s="68">
        <f>IF(OR($U40=0,$F40&lt;&gt;2),0,IF(FO40&gt;0,FO40,IF(ROUND(BQ40*$J40,6)&lt;ROUND($M40,6),BQ40,0)))</f>
        <v/>
      </c>
      <c r="FQ40" s="68">
        <f>IF(OR($U40=0,$F40&lt;&gt;2),0,IF(FP40&gt;0,FP40,IF(ROUND(BR40*$J40,6)&lt;ROUND($M40,6),BR40,0)))</f>
        <v/>
      </c>
      <c r="FR40" s="68">
        <f>IF(OR($U40=0,$F40&lt;&gt;2),0,IF(FQ40&gt;0,FQ40,IF(ROUND(BS40*$J40,6)&lt;ROUND($M40,6),BS40,0)))</f>
        <v/>
      </c>
      <c r="FS40" s="68">
        <f>IF(OR($U40=0,$F40&lt;&gt;2),0,IF(FR40&gt;0,FR40,IF(ROUND(BT40*$J40,6)&lt;ROUND($M40,6),BT40,0)))</f>
        <v/>
      </c>
      <c r="FT40" s="68">
        <f>IF(OR($U40=0,$F40&lt;&gt;2),0,IF(FS40&gt;0,FS40,IF(ROUND(BU40*$J40,6)&lt;ROUND($M40,6),BU40,0)))</f>
        <v/>
      </c>
      <c r="FU40" s="68">
        <f>IF(OR($U40=0,$F40&lt;&gt;2),0,IF(FT40&gt;0,FT40,IF(ROUND(BV40*$J40,6)&lt;ROUND($M40,6),BV40,0)))</f>
        <v/>
      </c>
      <c r="FV40" s="68">
        <f>IF(OR($U40=0,$F40&lt;&gt;2),0,IF(FU40&gt;0,FU40,IF(ROUND(BW40*$J40,6)&lt;ROUND($M40,6),BW40,0)))</f>
        <v/>
      </c>
      <c r="FW40" s="68">
        <f>IF(OR($U40=0,$F40&lt;&gt;2),0,IF(FV40&gt;0,FV40,IF(ROUND(BX40*$J40,6)&lt;ROUND($M40,6),BX40,0)))</f>
        <v/>
      </c>
      <c r="FX40" s="68">
        <f>IF(OR($U40=0,$F40&lt;&gt;2),0,IF(FW40&gt;0,FW40,IF(ROUND(BY40*$J40,6)&lt;ROUND($M40,6),BY40,0)))</f>
        <v/>
      </c>
      <c r="FY40" s="68">
        <f>IF(OR($U40=0,$F40&lt;&gt;2),0,IF(FX40&gt;0,FX40,IF(ROUND(BZ40*$J40,6)&lt;ROUND($M40,6),BZ40,0)))</f>
        <v/>
      </c>
      <c r="FZ40" s="68">
        <f>IF(OR($U40=0,$F40&lt;&gt;2),0,IF(FY40&gt;0,FY40,IF(ROUND(CA40*$J40,6)&lt;ROUND($M40,6),CA40,0)))</f>
        <v/>
      </c>
      <c r="GA40" s="68">
        <f>IF(OR($U40=0,$F40&lt;&gt;2),0,IF(FZ40&gt;0,FZ40,IF(ROUND(CB40*$J40,6)&lt;ROUND($M40,6),CB40,0)))</f>
        <v/>
      </c>
      <c r="GB40" s="68">
        <f>IF(OR($U40=0,$F40&lt;&gt;2),0,IF(GA40&gt;0,GA40,IF(ROUND(CC40*$J40,6)&lt;ROUND($M40,6),CC40,0)))</f>
        <v/>
      </c>
      <c r="GC40" s="68">
        <f>IF(OR($U40=0,$F40&lt;&gt;2),0,IF(GB40&gt;0,GB40,IF(ROUND(CD40*$J40,6)&lt;ROUND($M40,6),CD40,0)))</f>
        <v/>
      </c>
      <c r="GD40" s="68">
        <f>IF(OR($U40=0,$F40&lt;&gt;2),0,IF(GC40&gt;0,GC40,IF(ROUND(CE40*$J40,6)&lt;ROUND($M40,6),CE40,0)))</f>
        <v/>
      </c>
      <c r="GE40" s="68">
        <f>IF(OR($U40=0,$F40&lt;&gt;2),0,IF(GD40&gt;0,GD40,IF(ROUND(CF40*$J40,6)&lt;ROUND($M40,6),CF40,0)))</f>
        <v/>
      </c>
      <c r="GF40" s="68">
        <f>IF(OR($U40=0,$F40&lt;&gt;2),0,IF(GE40&gt;0,GE40,IF(ROUND(CG40*$J40,6)&lt;ROUND($M40,6),CG40,0)))</f>
        <v/>
      </c>
      <c r="GG40" s="68">
        <f>IF(OR($U40=0,$F40&lt;&gt;2),0,IF(GF40&gt;0,GF40,IF(ROUND(CH40*$J40,6)&lt;ROUND($M40,6),CH40,0)))</f>
        <v/>
      </c>
      <c r="GH40" s="68">
        <f>IF(OR($U40=0,$F40&lt;&gt;2),0,IF(GG40&gt;0,GG40,IF(ROUND(CI40*$J40,6)&lt;ROUND($M40,6),CI40,0)))</f>
        <v/>
      </c>
      <c r="GI40" s="68">
        <f>IF(OR($U40=0,$F40&lt;&gt;2),0,IF(GH40&gt;0,GH40,IF(ROUND(CJ40*$J40,6)&lt;ROUND($M40,6),CJ40,0)))</f>
        <v/>
      </c>
      <c r="GJ40" s="68">
        <f>IF(OR($U40=0,$F40&lt;&gt;2),0,IF(GI40&gt;0,GI40,IF(ROUND(CK40*$J40,6)&lt;ROUND($M40,6),CK40,0)))</f>
        <v/>
      </c>
      <c r="GK40" s="68">
        <f>IF(OR($U40=0,$F40&lt;&gt;2),0,IF(GJ40&gt;0,GJ40,IF(ROUND(CL40*$J40,6)&lt;ROUND($M40,6),CL40,0)))</f>
        <v/>
      </c>
      <c r="GL40" s="68">
        <f>IF(OR($U40=0,$F40&lt;&gt;2),0,IF(GK40&gt;0,GK40,IF(ROUND(CM40*$J40,6)&lt;ROUND($M40,6),CM40,0)))</f>
        <v/>
      </c>
      <c r="GM40" s="68">
        <f>IF(OR($U40=0,$F40&lt;&gt;2),0,IF(GL40&gt;0,GL40,IF(ROUND(CN40*$J40,6)&lt;ROUND($M40,6),CN40,0)))</f>
        <v/>
      </c>
      <c r="GN40" s="68">
        <f>IF(OR($U40=0,$F40&lt;&gt;2),0,IF(GM40&gt;0,GM40,IF(ROUND(CO40*$J40,6)&lt;ROUND($M40,6),CO40,0)))</f>
        <v/>
      </c>
      <c r="GO40" s="68">
        <f>IF(OR($U40=0,$F40&lt;&gt;2),0,IF(GN40&gt;0,GN40,IF(ROUND(CP40*$J40,6)&lt;ROUND($M40,6),CP40,0)))</f>
        <v/>
      </c>
      <c r="GP40" s="68">
        <f>IF(OR($U40=0,$F40&lt;&gt;2),0,IF(GO40&gt;0,GO40,IF(ROUND(CQ40*$J40,6)&lt;ROUND($M40,6),CQ40,0)))</f>
        <v/>
      </c>
      <c r="GQ40" s="68">
        <f>IF(OR($U40=0,$F40&lt;&gt;2),0,IF(GP40&gt;0,GP40,IF(ROUND(CR40*$J40,6)&lt;ROUND($M40,6),CR40,0)))</f>
        <v/>
      </c>
      <c r="GR40" s="68">
        <f>IF(OR($U40=0,$F40&lt;&gt;2),0,IF(GQ40&gt;0,GQ40,IF(ROUND(CS40*$J40,6)&lt;ROUND($M40,6),CS40,0)))</f>
        <v/>
      </c>
      <c r="GS40" s="68">
        <f>IF(OR($U40=0,$F40&lt;&gt;2),0,IF(GR40&gt;0,GR40,IF(ROUND(CT40*$J40,6)&lt;ROUND($M40,6),CT40,0)))</f>
        <v/>
      </c>
      <c r="GT40" s="68">
        <f>IF(OR($U40=0,$F40&lt;&gt;2),0,IF(GS40&gt;0,GS40,IF(ROUND(CU40*$J40,6)&lt;ROUND($M40,6),CU40,0)))</f>
        <v/>
      </c>
      <c r="GU40" s="68">
        <f>IF(OR($U40=0,$F40&lt;&gt;2),0,IF(GT40&gt;0,GT40,IF(ROUND(CV40*$J40,6)&lt;ROUND($M40,6),CV40,0)))</f>
        <v/>
      </c>
      <c r="GV40" s="68">
        <f>IF(OR($U40=0,$F40&lt;&gt;2),0,IF(GU40&gt;0,GU40,IF(ROUND(CW40*$J40,6)&lt;ROUND($M40,6),CW40,0)))</f>
        <v/>
      </c>
      <c r="GW40" s="68">
        <f>IF(OR($U40=0,$F40&lt;&gt;2),0,IF(GV40&gt;0,GV40,IF(ROUND(CX40*$J40,6)&lt;ROUND($M40,6),CX40,0)))</f>
        <v/>
      </c>
      <c r="GX40" s="68">
        <f>IF(OR($U40=0,$F40&lt;&gt;2),0,IF(GW40&gt;0,GW40,IF(ROUND(CY40*$J40,6)&lt;ROUND($M40,6),CY40,0)))</f>
        <v/>
      </c>
      <c r="GY40" s="68">
        <f>IF(OR($U40=0,$F40&lt;&gt;2),0,IF(GX40&gt;0,GX40,IF(ROUND(CZ40*$J40,6)&lt;ROUND($M40,6),CZ40,0)))</f>
        <v/>
      </c>
      <c r="GZ40" s="68">
        <f>IF(OR($U40=0,$F40&lt;&gt;2),0,IF(GY40&gt;0,GY40,IF(ROUND(DA40*$J40,6)&lt;ROUND($M40,6),DA40,0)))</f>
        <v/>
      </c>
      <c r="HA40" s="68">
        <f>IF(OR($U40=0,$F40&lt;&gt;2),0,IF(GZ40&gt;0,GZ40,IF(ROUND(DB40*$J40,6)&lt;ROUND($M40,6),DB40,0)))</f>
        <v/>
      </c>
      <c r="HB40" s="68">
        <f>IF(OR($U40=0,$F40&lt;&gt;2),0,IF(HA40&gt;0,HA40,IF(ROUND(DC40*$J40,6)&lt;ROUND($M40,6),DC40,0)))</f>
        <v/>
      </c>
      <c r="HC40" s="68">
        <f>IF(OR($U40=0,$F40&lt;&gt;2),0,IF(HB40&gt;0,HB40,IF(ROUND(DD40*$J40,6)&lt;ROUND($M40,6),DD40,0)))</f>
        <v/>
      </c>
      <c r="HD40" s="68">
        <f>IF(OR($U40=0,$F40&lt;&gt;2),0,IF(HC40&gt;0,HC40,IF(ROUND(DE40*$J40,6)&lt;ROUND($M40,6),DE40,0)))</f>
        <v/>
      </c>
      <c r="HE40" s="68">
        <f>IF(OR($U40=0,$F40&lt;&gt;2),0,IF(HD40&gt;0,HD40,IF(ROUND(DF40*$J40,6)&lt;ROUND($M40,6),DF40,0)))</f>
        <v/>
      </c>
      <c r="HF40" s="68">
        <f>IF(OR($U40=0,$F40&lt;&gt;2),0,IF(HE40&gt;0,HE40,IF(ROUND(DG40*$J40,6)&lt;ROUND($M40,6),DG40,0)))</f>
        <v/>
      </c>
      <c r="HG40" s="68">
        <f>IF(OR($U40=0,$F40&lt;&gt;2),0,IF(HF40&gt;0,HF40,IF(ROUND(DH40*$J40,6)&lt;ROUND($M40,6),DH40,0)))</f>
        <v/>
      </c>
      <c r="HH40" s="68">
        <f>IF(OR($U40=0,$F40&lt;&gt;2),0,IF(HG40&gt;0,HG40,IF(ROUND(DI40*$J40,6)&lt;ROUND($M40,6),DI40,0)))</f>
        <v/>
      </c>
      <c r="HI40" s="68">
        <f>IF(OR($U40=0,$F40&lt;&gt;2),0,IF(HH40&gt;0,HH40,IF(ROUND(DJ40*$J40,6)&lt;ROUND($M40,6),DJ40,0)))</f>
        <v/>
      </c>
      <c r="HJ40" s="68">
        <f>IF(OR($U40=0,$F40&lt;&gt;2),0,IF(HI40&gt;0,HI40,IF(ROUND(DK40*$J40,6)&lt;ROUND($M40,6),DK40,0)))</f>
        <v/>
      </c>
      <c r="HK40" s="68">
        <f>IF(OR($U40=0,$F40&lt;&gt;2),0,IF(HJ40&gt;0,HJ40,IF(ROUND(DL40*$J40,6)&lt;ROUND($M40,6),DL40,0)))</f>
        <v/>
      </c>
      <c r="HL40" s="68">
        <f>IF(OR($U40=0,$F40&lt;&gt;2),0,IF(HK40&gt;0,HK40,IF(ROUND(DM40*$J40,6)&lt;ROUND($M40,6),DM40,0)))</f>
        <v/>
      </c>
      <c r="HM40" s="68">
        <f>IF(OR($U40=0,$F40&lt;&gt;2),0,IF(HL40&gt;0,HL40,IF(ROUND(DN40*$J40,6)&lt;ROUND($M40,6),DN40,0)))</f>
        <v/>
      </c>
      <c r="HN40" s="68">
        <f>IF(OR($U40=0,$F40&lt;&gt;2),0,IF(HM40&gt;0,HM40,IF(ROUND(DO40*$J40,6)&lt;ROUND($M40,6),DO40,0)))</f>
        <v/>
      </c>
      <c r="HO40" s="68">
        <f>IF(OR($U40=0,$F40&lt;&gt;2),0,IF(HN40&gt;0,HN40,IF(ROUND(DP40*$J40,6)&lt;ROUND($M40,6),DP40,0)))</f>
        <v/>
      </c>
      <c r="HP40" s="68">
        <f>IF(OR($U40=0,$F40&lt;&gt;2),0,IF(HO40&gt;0,HO40,IF(ROUND(DQ40*$J40,6)&lt;ROUND($M40,6),DQ40,0)))</f>
        <v/>
      </c>
      <c r="HQ40" s="68">
        <f>IF(OR($U40=0,$F40&lt;&gt;2),0,IF(HP40&gt;0,HP40,IF(ROUND(DR40*$J40,6)&lt;ROUND($M40,6),DR40,0)))</f>
        <v/>
      </c>
      <c r="HR40" s="68">
        <f>IF(OR($U40=0,$F40&lt;&gt;2),0,IF(HQ40&gt;0,HQ40,IF(ROUND(DS40*$J40,6)&lt;ROUND($M40,6),DS40,0)))</f>
        <v/>
      </c>
      <c r="HS40" s="68">
        <f>IF(OR($U40=0,$F40&lt;&gt;2),0,IF(HR40&gt;0,HR40,IF(ROUND(DT40*$J40,6)&lt;ROUND($M40,6),DT40,0)))</f>
        <v/>
      </c>
      <c r="HT40" s="68">
        <f>IF(OR($U40=0,$F40&lt;&gt;2),0,IF(HS40&gt;0,HS40,IF(ROUND(DU40*$J40,6)&lt;ROUND($M40,6),DU40,0)))</f>
        <v/>
      </c>
      <c r="HU40" s="68">
        <f>IF(OR($U40=0,$F40&lt;&gt;2),0,IF(HT40&gt;0,HT40,IF(ROUND(DV40*$J40,6)&lt;ROUND($M40,6),DV40,0)))</f>
        <v/>
      </c>
      <c r="HV40" s="68">
        <f>IF(OR($U40=0,$F40&lt;&gt;2),0,IF(HU40&gt;0,HU40,IF(ROUND(DW40*$J40,6)&lt;ROUND($M40,6),DW40,0)))</f>
        <v/>
      </c>
      <c r="HW40" s="68">
        <f>IF(OR($U40=0,$F40&lt;&gt;2),0,IF(HV40&gt;0,HV40,IF(ROUND(DX40*$J40,6)&lt;ROUND($M40,6),DX40,0)))</f>
        <v/>
      </c>
      <c r="HX40" s="68">
        <f>IF(OR($U40=0,$F40&lt;&gt;2),0,IF(HW40&gt;0,HW40,IF(ROUND(DY40*$J40,6)&lt;ROUND($M40,6),DY40,0)))</f>
        <v/>
      </c>
      <c r="HY40" s="68">
        <f>IF(OR($U40=0,$F40&lt;&gt;2),0,IF(HX40&gt;0,HX40,IF(ROUND(DZ40*$J40,6)&lt;ROUND($M40,6),DZ40,0)))</f>
        <v/>
      </c>
      <c r="HZ40" s="68">
        <f>IF(OR($U40=0,$F40&lt;&gt;2),0,IF(HY40&gt;0,HY40,IF(ROUND(EA40*$J40,6)&lt;ROUND($M40,6),EA40,0)))</f>
        <v/>
      </c>
      <c r="IA40" s="68">
        <f>IF(OR($U40=0,$F40&lt;&gt;2),0,IF(HZ40&gt;0,HZ40,IF(ROUND(EB40*$J40,6)&lt;ROUND($M40,6),EB40,0)))</f>
        <v/>
      </c>
      <c r="IB40" s="68">
        <f>IF(OR($U40=0,$F40&lt;&gt;2),0,IF(IA40&gt;0,IA40,IF(ROUND(EC40*$J40,6)&lt;ROUND($M40,6),EC40,0)))</f>
        <v/>
      </c>
      <c r="IC40" s="68">
        <f>IF(OR($U40=0,$F40&lt;&gt;2),0,IF(IB40&gt;0,IB40,IF(ROUND(ED40*$J40,6)&lt;ROUND($M40,6),ED40,0)))</f>
        <v/>
      </c>
      <c r="ID40" s="68">
        <f>IF(OR($U40=0,$F40&lt;&gt;2),0,IF(IC40&gt;0,IC40,IF(ROUND(EE40*$J40,6)&lt;ROUND($M40,6),EE40,0)))</f>
        <v/>
      </c>
      <c r="IE40" s="68">
        <f>IF(OR($U40=0,$F40&lt;&gt;2),0,IF(ID40&gt;0,ID40,IF(ROUND(EF40*$J40,6)&lt;ROUND($M40,6),EF40,0)))</f>
        <v/>
      </c>
      <c r="IF40" s="68">
        <f>IF(OR($U40=0,$F40&lt;&gt;2),0,IF(IE40&gt;0,IE40,IF(ROUND(EG40*$J40,6)&lt;ROUND($M40,6),EG40,0)))</f>
        <v/>
      </c>
      <c r="IG40" s="68">
        <f>IF(OR($U40=0,$F40&lt;&gt;2),0,IF(IF40&gt;0,IF40,IF(ROUND(EH40*$J40,6)&lt;ROUND($M40,6),EH40,0)))</f>
        <v/>
      </c>
      <c r="IH40" s="68">
        <f>IF(OR($U40=0,$F40&lt;&gt;2),0,IF(IG40&gt;0,IG40,IF(ROUND(EI40*$J40,6)&lt;ROUND($M40,6),EI40,0)))</f>
        <v/>
      </c>
      <c r="II40" s="68">
        <f>IF(OR($U40=0,$F40&lt;&gt;2),0,IF(IH40&gt;0,IH40,IF(ROUND(EJ40*$J40,6)&lt;ROUND($M40,6),EJ40,0)))</f>
        <v/>
      </c>
      <c r="IJ40" s="68">
        <f>IF(OR($U40=0,$F40&lt;&gt;2),0,IF(II40&gt;0,II40,IF(ROUND(EK40*$J40,6)&lt;ROUND($M40,6),EK40,0)))</f>
        <v/>
      </c>
      <c r="IK40" s="68">
        <f>IF(OR($U40=0,$F40&lt;&gt;2),0,IF(IJ40&gt;0,IJ40,IF(ROUND(EL40*$J40,6)&lt;ROUND($M40,6),EL40,0)))</f>
        <v/>
      </c>
      <c r="IL40" s="68">
        <f>IF(OR($U40=0,$F40&lt;&gt;2),0,IF(IK40&gt;0,IK40,IF(ROUND(EM40*$J40,6)&lt;ROUND($M40,6),EM40,0)))</f>
        <v/>
      </c>
      <c r="IM40" s="68">
        <f>IF(OR($U40=0,$F40&lt;&gt;2),0,IF(IL40&gt;0,IL40,IF(ROUND(EN40*$J40,6)&lt;ROUND($M40,6),EN40,0)))</f>
        <v/>
      </c>
      <c r="IN40" s="68">
        <f>IF(OR($U40=0,$F40&lt;&gt;2),0,IF(IM40&gt;0,IM40,IF(ROUND(EO40*$J40,6)&lt;ROUND($M40,6),EO40,0)))</f>
        <v/>
      </c>
    </row>
    <row r="41">
      <c r="A41" s="68" t="n">
        <v>36</v>
      </c>
      <c r="B41" s="68">
        <f>IF(OR(TRIM('固定資産台帳'!$B41)&lt;&gt;"",'固定資産台帳'!$E41&lt;&gt;"",'固定資産台帳'!$G41&lt;&gt;"",'固定資産台帳'!$H41&lt;&gt;""),1,0)</f>
        <v/>
      </c>
      <c r="C41" s="68">
        <f>IF(ISNUMBER('固定資産台帳'!$G41),MAX(ROUND('固定資産台帳'!$G41,0),0),0)</f>
        <v/>
      </c>
      <c r="D41" s="84">
        <f>IF(ISNUMBER('固定資産台帳'!$E41),INT('固定資産台帳'!$E41),0)</f>
        <v/>
      </c>
      <c r="E41" s="84">
        <f>IF(ISNUMBER('固定資産台帳'!$F41),INT('固定資産台帳'!$F41),$D41)</f>
        <v/>
      </c>
      <c r="F41" s="68">
        <f>IF('固定資産台帳'!$H41="定額法",1,IF(OR('固定資産台帳'!$H41="定率法",'固定資産台帳'!$H41="定率法（200%）",'固定資産台帳'!$H41="定率法（250%）"),2,IF('固定資産台帳'!$H41="一括償却（3年）",3,IF('固定資産台帳'!$H41="少額特例",4,0))))</f>
        <v/>
      </c>
      <c r="G41" s="68">
        <f>IF('固定資産台帳'!$H41="定率法（250%）",250,IF('固定資産台帳'!$H41="定率法（200%）",200,IF($D41&gt;=DATE(2012,4,1),200,250)))</f>
        <v/>
      </c>
      <c r="H41" s="68">
        <f>IF(ISNUMBER('固定資産台帳'!$I41),IF(AND('固定資産台帳'!$I41&gt;=2,'固定資産台帳'!$I41&lt;=100,'固定資産台帳'!$I41=INT('固定資産台帳'!$I41)),'固定資産台帳'!$I41,0),0)</f>
        <v/>
      </c>
      <c r="I41" s="68">
        <f>IF('固定資産台帳'!$C41="無形固定資産",0,1)</f>
        <v/>
      </c>
      <c r="J41" s="68">
        <f>IF(OR($H41=0,$F41=0,$F41&gt;2),0,IF($F41=1,INDEX('償却率表'!$B$6:$B$104,$H41-1),IF($G41=200,INDEX('償却率表'!$C$6:$C$104,$H41-1),INDEX('償却率表'!$F$6:$F$104,$H41-1))))</f>
        <v/>
      </c>
      <c r="K41" s="68">
        <f>IF(AND($F41=2,$H41&gt;0),IF($G41=200,INDEX('償却率表'!$D$6:$D$104,$H41-1),INDEX('償却率表'!$G$6:$G$104,$H41-1)),0)</f>
        <v/>
      </c>
      <c r="L41" s="68">
        <f>IF(AND($F41=2,$H41&gt;0),IF($G41=200,INDEX('償却率表'!$E$6:$E$104,$H41-1),INDEX('償却率表'!$H$6:$H$104,$H41-1)),0)</f>
        <v/>
      </c>
      <c r="M41" s="68">
        <f>$C41*$L41</f>
        <v/>
      </c>
      <c r="N41" s="68">
        <f>IF($B$1=1,1,IF('固定資産台帳'!$J41="",1,IF(ISNUMBER('固定資産台帳'!$J41),IF(AND('固定資産台帳'!$J41&gt;0,'固定資産台帳'!$J41&lt;=1),'固定資産台帳'!$J41,0),0)))</f>
        <v/>
      </c>
      <c r="O41" s="68">
        <f>IF($E41=0,0,YEAR($E41)-IF(MONTH($E41)&lt;$B$2,1,0))</f>
        <v/>
      </c>
      <c r="P41" s="68">
        <f>IF($E41=0,0,12-MOD(MONTH($E41)-$B$2,12))</f>
        <v/>
      </c>
      <c r="Q41" s="84">
        <f>IF(ISNUMBER('固定資産台帳'!$K41),INT('固定資産台帳'!$K41),0)</f>
        <v/>
      </c>
      <c r="R41" s="68">
        <f>IF(OR($Q41=0,$E41=0),999,YEAR($Q41)-IF(MONTH($Q41)&lt;$B$2,1,0)-$O41)</f>
        <v/>
      </c>
      <c r="S41" s="68">
        <f>IF($R41=999,0,MOD(MONTH($Q41)-$B$2,12)+1-IF($R41=0,12-$P41,0))</f>
        <v/>
      </c>
      <c r="T41" s="68">
        <f>IF($B41=0,0,IF($C41&lt;=0,1,IF($D41=0,2,IF($F41=0,3,IF(AND($F41&lt;=2,$H41=0),4,IF(AND($F41&lt;=2,$D41&lt;DATE(2007,4,1)),5,IF($E41&lt;$D41,6,IF(AND($Q41&gt;0,$Q41&lt;$E41),7,IF($N41=0,8,IF($B$3=0,9,0))))))))))</f>
        <v/>
      </c>
      <c r="U41" s="68">
        <f>IF(AND($B41=1,$T41=0),1,0)</f>
        <v/>
      </c>
      <c r="V41" s="68">
        <f>$B$3-$O41</f>
        <v/>
      </c>
      <c r="W41" s="68">
        <f>IF(AND($U41=1,$V41&gt;=0),1,0)</f>
        <v/>
      </c>
      <c r="X41" s="68">
        <f>IF($W41=0,0,IF($V41=0,$C41,INDEX($AS41:$EP41,MIN($V41,102))))</f>
        <v/>
      </c>
      <c r="Y41" s="68">
        <f>IF($W41=0,0,INDEX($AS41:$EP41,MIN($V41,101)+1))</f>
        <v/>
      </c>
      <c r="Z41" s="68">
        <f>$X41-$Y41</f>
        <v/>
      </c>
      <c r="AA41" s="68">
        <f>IF(AND($W41=1,$F41=2,$V41&gt;=1),INDEX($ER41:$IN41,MIN($V41,101)),0)</f>
        <v/>
      </c>
      <c r="AB41" s="68">
        <f>IF(OR($W41=0,$F41&gt;2,$Z41=0),0,IF($V41=0,IF($R41=0,$S41,$P41),IF($V41=$R41,$S41,12)))</f>
        <v/>
      </c>
      <c r="AC41" s="68">
        <f>IF($W41=0,0,INT(ROUND($Z41*$N41,6)+$B$4))</f>
        <v/>
      </c>
      <c r="AD41" s="68">
        <f>IF(AND($W41=1,$F41&lt;=2,$V41=$R41),1,0)</f>
        <v/>
      </c>
      <c r="AE41" s="68">
        <f>IF(AND($W41=1,$F41&lt;=2,$V41&gt;$R41),1,0)</f>
        <v/>
      </c>
      <c r="AF41" s="68">
        <f>IF(AND($W41=1,$AE41=0,OR($Z41&gt;0,$AD41=1)),1,0)</f>
        <v/>
      </c>
      <c r="AG41" s="68">
        <f>IF($AF41=1,SUM($AF$6:$AF41),0)</f>
        <v/>
      </c>
      <c r="AH41" s="68">
        <f>IF($T41=0,"",CHOOSE($T41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41" s="68">
        <f>IF(AND($F41=2,OR('固定資産台帳'!$C41="建物",'固定資産台帳'!$C41="無形固定資産",AND(OR('固定資産台帳'!$C41="建物附属設備",'固定資産台帳'!$C41="構築物"),$D41&gt;=DATE(2016,4,1)))),"この資産は定額法だけです（定率法は使えません）。","")&amp;IF(AND($F41=3,$C41&gt;=200000),"一括償却は20万円未満の資産だけです。","")&amp;IF(AND($F41=3,$B$1=0,$C41&lt;100000),"10万円未満は一括償却にせず、全額をその年の経費にします。","")&amp;IF(AND($F41=4,$C41&lt;100000),"10万円未満は少額特例ではなく、全額をその年の経費にします。","")&amp;IF(AND($F41=4,$D41&lt;DATE(2026,4,1),$C41&gt;=300000),"2026年3月31日までの取得で少額特例が使えるのは30万円未満です。","")&amp;IF(AND($F41=4,$D41&gt;=DATE(2026,4,1),$C41&gt;=400000),"少額特例は40万円未満の資産だけです。","")&amp;IF(AND($F41=4,OR($D41&lt;DATE(2006,4,1),$D41&gt;DATE(2029,3,31))),"少額特例は2006年4月1日〜2029年3月31日に取得した資産だけです。","")&amp;IF(AND($F41=2,$G41=250,$D41&gt;DATE(2012,12,31)),"250%定率法は2012年12月31日までの取得だけです。","")</f>
        <v/>
      </c>
      <c r="AJ41" s="68">
        <f>IF(AND($F41=2,'固定資産台帳'!$H41="定率法（200%）",$D41&lt;DATE(2012,4,1)),"2012年3月31日までの取得に200%を使うのは、経過措置の届出をした場合です。","")&amp;IF(AND($F41=2,'固定資産台帳'!$H41="定率法（250%）",$D41&gt;=DATE(2012,4,1),$D41&lt;=DATE(2012,12,31)),"2012年4〜12月の取得に250%を使うのは、経過措置を選んだ場合です。","")</f>
        <v/>
      </c>
      <c r="AK41" s="68">
        <f>IF($U41=0,"",IF($V41&lt;0,"表示している年より後に使い始める資産です。",IF($AE41=1,"売却・除却済みです。",IF($AD41=1,"この年に売却・除却。期末の帳簿価額 "&amp;TEXT($Y41,"#,##0")&amp;"円を帳簿から外します。",IF($F41=4,IF($V41=0,"少額特例：この年に全額を経費にします。","少額特例で経費にした資産です。"),IF($F41=3,IF($V41&gt;2,"一括償却は終わっています。","一括償却 "&amp;($V41+1)&amp;"年目（3年のうち）。"),IF($Z41=0,"償却済み（帳簿価額 "&amp;TEXT($Y41,"#,##0")&amp;"円）。",IF($AA41&gt;0,"改定償却率で計算（改定取得価額 "&amp;TEXT($AA41,"#,##0")&amp;"円）。",IF($V41=0,"この年に使い始め（"&amp;$AB41&amp;"か月分）。","")))))))))</f>
        <v/>
      </c>
      <c r="AL41" s="68">
        <f>IF(AND($U41=1,$F41=4,$V41=0),$C41,0)</f>
        <v/>
      </c>
      <c r="AM41" s="68">
        <f>IF($F41=2,INT(ROUND($M41,6)+$B$4),0)</f>
        <v/>
      </c>
      <c r="AN41" s="68">
        <f>IF($W41=0,0,IF($F41=2,IF($AA41&gt;0,$AA41,$X41),$C41))</f>
        <v/>
      </c>
      <c r="AO41" s="68">
        <f>IF($W41=0,"",IF($F41=3,"1/3",IF($F41=4,"―",IF($AA41&gt;0,$K41,$J41))))</f>
        <v/>
      </c>
      <c r="AP41" s="68" t="n"/>
      <c r="AQ41" s="68" t="n"/>
      <c r="AR41" s="68" t="n"/>
      <c r="AS41" s="68">
        <f>IF($U41=0,0,IF($F41=4,0,IF($F41=3,MAX($C41-INT(ROUND($C41/3,6)+$B$4),0),$C41-MIN(INT(ROUND($C41*$J41*IF($R41=0,$S41,$P41)/12,6)+$B$4),MAX($C41-$I41,0)))))</f>
        <v/>
      </c>
      <c r="AT41" s="68">
        <f>IF($U41=0,0,IF($F41=4,0,IF($F41=3,AS41-MIN(INT(ROUND($C41/3,6)+$B$4),AS41),IF(OR(1&gt;$R41,AS41&lt;=$I41),AS41,AS41-MIN(INT(ROUND(IF($F41=1,$C41*$J41,IF(ER41&gt;0,ER41*$K41,AS41*$J41))*IF(1=$R41,$S41,12)/12,6)+$B$4),AS41-$I41)))))</f>
        <v/>
      </c>
      <c r="AU41" s="68">
        <f>IF($U41=0,0,IF($F41=4,0,IF($F41=3,0,IF(OR(2&gt;$R41,AT41&lt;=$I41),AT41,AT41-MIN(INT(ROUND(IF($F41=1,$C41*$J41,IF(ES41&gt;0,ES41*$K41,AT41*$J41))*IF(2=$R41,$S41,12)/12,6)+$B$4),AT41-$I41)))))</f>
        <v/>
      </c>
      <c r="AV41" s="68">
        <f>IF($U41=0,0,IF($F41=4,0,IF($F41=3,0,IF(OR(3&gt;$R41,AU41&lt;=$I41),AU41,AU41-MIN(INT(ROUND(IF($F41=1,$C41*$J41,IF(ET41&gt;0,ET41*$K41,AU41*$J41))*IF(3=$R41,$S41,12)/12,6)+$B$4),AU41-$I41)))))</f>
        <v/>
      </c>
      <c r="AW41" s="68">
        <f>IF($U41=0,0,IF($F41=4,0,IF($F41=3,0,IF(OR(4&gt;$R41,AV41&lt;=$I41),AV41,AV41-MIN(INT(ROUND(IF($F41=1,$C41*$J41,IF(EU41&gt;0,EU41*$K41,AV41*$J41))*IF(4=$R41,$S41,12)/12,6)+$B$4),AV41-$I41)))))</f>
        <v/>
      </c>
      <c r="AX41" s="68">
        <f>IF($U41=0,0,IF($F41=4,0,IF($F41=3,0,IF(OR(5&gt;$R41,AW41&lt;=$I41),AW41,AW41-MIN(INT(ROUND(IF($F41=1,$C41*$J41,IF(EV41&gt;0,EV41*$K41,AW41*$J41))*IF(5=$R41,$S41,12)/12,6)+$B$4),AW41-$I41)))))</f>
        <v/>
      </c>
      <c r="AY41" s="68">
        <f>IF($U41=0,0,IF($F41=4,0,IF($F41=3,0,IF(OR(6&gt;$R41,AX41&lt;=$I41),AX41,AX41-MIN(INT(ROUND(IF($F41=1,$C41*$J41,IF(EW41&gt;0,EW41*$K41,AX41*$J41))*IF(6=$R41,$S41,12)/12,6)+$B$4),AX41-$I41)))))</f>
        <v/>
      </c>
      <c r="AZ41" s="68">
        <f>IF($U41=0,0,IF($F41=4,0,IF($F41=3,0,IF(OR(7&gt;$R41,AY41&lt;=$I41),AY41,AY41-MIN(INT(ROUND(IF($F41=1,$C41*$J41,IF(EX41&gt;0,EX41*$K41,AY41*$J41))*IF(7=$R41,$S41,12)/12,6)+$B$4),AY41-$I41)))))</f>
        <v/>
      </c>
      <c r="BA41" s="68">
        <f>IF($U41=0,0,IF($F41=4,0,IF($F41=3,0,IF(OR(8&gt;$R41,AZ41&lt;=$I41),AZ41,AZ41-MIN(INT(ROUND(IF($F41=1,$C41*$J41,IF(EY41&gt;0,EY41*$K41,AZ41*$J41))*IF(8=$R41,$S41,12)/12,6)+$B$4),AZ41-$I41)))))</f>
        <v/>
      </c>
      <c r="BB41" s="68">
        <f>IF($U41=0,0,IF($F41=4,0,IF($F41=3,0,IF(OR(9&gt;$R41,BA41&lt;=$I41),BA41,BA41-MIN(INT(ROUND(IF($F41=1,$C41*$J41,IF(EZ41&gt;0,EZ41*$K41,BA41*$J41))*IF(9=$R41,$S41,12)/12,6)+$B$4),BA41-$I41)))))</f>
        <v/>
      </c>
      <c r="BC41" s="68">
        <f>IF($U41=0,0,IF($F41=4,0,IF($F41=3,0,IF(OR(10&gt;$R41,BB41&lt;=$I41),BB41,BB41-MIN(INT(ROUND(IF($F41=1,$C41*$J41,IF(FA41&gt;0,FA41*$K41,BB41*$J41))*IF(10=$R41,$S41,12)/12,6)+$B$4),BB41-$I41)))))</f>
        <v/>
      </c>
      <c r="BD41" s="68">
        <f>IF($U41=0,0,IF($F41=4,0,IF($F41=3,0,IF(OR(11&gt;$R41,BC41&lt;=$I41),BC41,BC41-MIN(INT(ROUND(IF($F41=1,$C41*$J41,IF(FB41&gt;0,FB41*$K41,BC41*$J41))*IF(11=$R41,$S41,12)/12,6)+$B$4),BC41-$I41)))))</f>
        <v/>
      </c>
      <c r="BE41" s="68">
        <f>IF($U41=0,0,IF($F41=4,0,IF($F41=3,0,IF(OR(12&gt;$R41,BD41&lt;=$I41),BD41,BD41-MIN(INT(ROUND(IF($F41=1,$C41*$J41,IF(FC41&gt;0,FC41*$K41,BD41*$J41))*IF(12=$R41,$S41,12)/12,6)+$B$4),BD41-$I41)))))</f>
        <v/>
      </c>
      <c r="BF41" s="68">
        <f>IF($U41=0,0,IF($F41=4,0,IF($F41=3,0,IF(OR(13&gt;$R41,BE41&lt;=$I41),BE41,BE41-MIN(INT(ROUND(IF($F41=1,$C41*$J41,IF(FD41&gt;0,FD41*$K41,BE41*$J41))*IF(13=$R41,$S41,12)/12,6)+$B$4),BE41-$I41)))))</f>
        <v/>
      </c>
      <c r="BG41" s="68">
        <f>IF($U41=0,0,IF($F41=4,0,IF($F41=3,0,IF(OR(14&gt;$R41,BF41&lt;=$I41),BF41,BF41-MIN(INT(ROUND(IF($F41=1,$C41*$J41,IF(FE41&gt;0,FE41*$K41,BF41*$J41))*IF(14=$R41,$S41,12)/12,6)+$B$4),BF41-$I41)))))</f>
        <v/>
      </c>
      <c r="BH41" s="68">
        <f>IF($U41=0,0,IF($F41=4,0,IF($F41=3,0,IF(OR(15&gt;$R41,BG41&lt;=$I41),BG41,BG41-MIN(INT(ROUND(IF($F41=1,$C41*$J41,IF(FF41&gt;0,FF41*$K41,BG41*$J41))*IF(15=$R41,$S41,12)/12,6)+$B$4),BG41-$I41)))))</f>
        <v/>
      </c>
      <c r="BI41" s="68">
        <f>IF($U41=0,0,IF($F41=4,0,IF($F41=3,0,IF(OR(16&gt;$R41,BH41&lt;=$I41),BH41,BH41-MIN(INT(ROUND(IF($F41=1,$C41*$J41,IF(FG41&gt;0,FG41*$K41,BH41*$J41))*IF(16=$R41,$S41,12)/12,6)+$B$4),BH41-$I41)))))</f>
        <v/>
      </c>
      <c r="BJ41" s="68">
        <f>IF($U41=0,0,IF($F41=4,0,IF($F41=3,0,IF(OR(17&gt;$R41,BI41&lt;=$I41),BI41,BI41-MIN(INT(ROUND(IF($F41=1,$C41*$J41,IF(FH41&gt;0,FH41*$K41,BI41*$J41))*IF(17=$R41,$S41,12)/12,6)+$B$4),BI41-$I41)))))</f>
        <v/>
      </c>
      <c r="BK41" s="68">
        <f>IF($U41=0,0,IF($F41=4,0,IF($F41=3,0,IF(OR(18&gt;$R41,BJ41&lt;=$I41),BJ41,BJ41-MIN(INT(ROUND(IF($F41=1,$C41*$J41,IF(FI41&gt;0,FI41*$K41,BJ41*$J41))*IF(18=$R41,$S41,12)/12,6)+$B$4),BJ41-$I41)))))</f>
        <v/>
      </c>
      <c r="BL41" s="68">
        <f>IF($U41=0,0,IF($F41=4,0,IF($F41=3,0,IF(OR(19&gt;$R41,BK41&lt;=$I41),BK41,BK41-MIN(INT(ROUND(IF($F41=1,$C41*$J41,IF(FJ41&gt;0,FJ41*$K41,BK41*$J41))*IF(19=$R41,$S41,12)/12,6)+$B$4),BK41-$I41)))))</f>
        <v/>
      </c>
      <c r="BM41" s="68">
        <f>IF($U41=0,0,IF($F41=4,0,IF($F41=3,0,IF(OR(20&gt;$R41,BL41&lt;=$I41),BL41,BL41-MIN(INT(ROUND(IF($F41=1,$C41*$J41,IF(FK41&gt;0,FK41*$K41,BL41*$J41))*IF(20=$R41,$S41,12)/12,6)+$B$4),BL41-$I41)))))</f>
        <v/>
      </c>
      <c r="BN41" s="68">
        <f>IF($U41=0,0,IF($F41=4,0,IF($F41=3,0,IF(OR(21&gt;$R41,BM41&lt;=$I41),BM41,BM41-MIN(INT(ROUND(IF($F41=1,$C41*$J41,IF(FL41&gt;0,FL41*$K41,BM41*$J41))*IF(21=$R41,$S41,12)/12,6)+$B$4),BM41-$I41)))))</f>
        <v/>
      </c>
      <c r="BO41" s="68">
        <f>IF($U41=0,0,IF($F41=4,0,IF($F41=3,0,IF(OR(22&gt;$R41,BN41&lt;=$I41),BN41,BN41-MIN(INT(ROUND(IF($F41=1,$C41*$J41,IF(FM41&gt;0,FM41*$K41,BN41*$J41))*IF(22=$R41,$S41,12)/12,6)+$B$4),BN41-$I41)))))</f>
        <v/>
      </c>
      <c r="BP41" s="68">
        <f>IF($U41=0,0,IF($F41=4,0,IF($F41=3,0,IF(OR(23&gt;$R41,BO41&lt;=$I41),BO41,BO41-MIN(INT(ROUND(IF($F41=1,$C41*$J41,IF(FN41&gt;0,FN41*$K41,BO41*$J41))*IF(23=$R41,$S41,12)/12,6)+$B$4),BO41-$I41)))))</f>
        <v/>
      </c>
      <c r="BQ41" s="68">
        <f>IF($U41=0,0,IF($F41=4,0,IF($F41=3,0,IF(OR(24&gt;$R41,BP41&lt;=$I41),BP41,BP41-MIN(INT(ROUND(IF($F41=1,$C41*$J41,IF(FO41&gt;0,FO41*$K41,BP41*$J41))*IF(24=$R41,$S41,12)/12,6)+$B$4),BP41-$I41)))))</f>
        <v/>
      </c>
      <c r="BR41" s="68">
        <f>IF($U41=0,0,IF($F41=4,0,IF($F41=3,0,IF(OR(25&gt;$R41,BQ41&lt;=$I41),BQ41,BQ41-MIN(INT(ROUND(IF($F41=1,$C41*$J41,IF(FP41&gt;0,FP41*$K41,BQ41*$J41))*IF(25=$R41,$S41,12)/12,6)+$B$4),BQ41-$I41)))))</f>
        <v/>
      </c>
      <c r="BS41" s="68">
        <f>IF($U41=0,0,IF($F41=4,0,IF($F41=3,0,IF(OR(26&gt;$R41,BR41&lt;=$I41),BR41,BR41-MIN(INT(ROUND(IF($F41=1,$C41*$J41,IF(FQ41&gt;0,FQ41*$K41,BR41*$J41))*IF(26=$R41,$S41,12)/12,6)+$B$4),BR41-$I41)))))</f>
        <v/>
      </c>
      <c r="BT41" s="68">
        <f>IF($U41=0,0,IF($F41=4,0,IF($F41=3,0,IF(OR(27&gt;$R41,BS41&lt;=$I41),BS41,BS41-MIN(INT(ROUND(IF($F41=1,$C41*$J41,IF(FR41&gt;0,FR41*$K41,BS41*$J41))*IF(27=$R41,$S41,12)/12,6)+$B$4),BS41-$I41)))))</f>
        <v/>
      </c>
      <c r="BU41" s="68">
        <f>IF($U41=0,0,IF($F41=4,0,IF($F41=3,0,IF(OR(28&gt;$R41,BT41&lt;=$I41),BT41,BT41-MIN(INT(ROUND(IF($F41=1,$C41*$J41,IF(FS41&gt;0,FS41*$K41,BT41*$J41))*IF(28=$R41,$S41,12)/12,6)+$B$4),BT41-$I41)))))</f>
        <v/>
      </c>
      <c r="BV41" s="68">
        <f>IF($U41=0,0,IF($F41=4,0,IF($F41=3,0,IF(OR(29&gt;$R41,BU41&lt;=$I41),BU41,BU41-MIN(INT(ROUND(IF($F41=1,$C41*$J41,IF(FT41&gt;0,FT41*$K41,BU41*$J41))*IF(29=$R41,$S41,12)/12,6)+$B$4),BU41-$I41)))))</f>
        <v/>
      </c>
      <c r="BW41" s="68">
        <f>IF($U41=0,0,IF($F41=4,0,IF($F41=3,0,IF(OR(30&gt;$R41,BV41&lt;=$I41),BV41,BV41-MIN(INT(ROUND(IF($F41=1,$C41*$J41,IF(FU41&gt;0,FU41*$K41,BV41*$J41))*IF(30=$R41,$S41,12)/12,6)+$B$4),BV41-$I41)))))</f>
        <v/>
      </c>
      <c r="BX41" s="68">
        <f>IF($U41=0,0,IF($F41=4,0,IF($F41=3,0,IF(OR(31&gt;$R41,BW41&lt;=$I41),BW41,BW41-MIN(INT(ROUND(IF($F41=1,$C41*$J41,IF(FV41&gt;0,FV41*$K41,BW41*$J41))*IF(31=$R41,$S41,12)/12,6)+$B$4),BW41-$I41)))))</f>
        <v/>
      </c>
      <c r="BY41" s="68">
        <f>IF($U41=0,0,IF($F41=4,0,IF($F41=3,0,IF(OR(32&gt;$R41,BX41&lt;=$I41),BX41,BX41-MIN(INT(ROUND(IF($F41=1,$C41*$J41,IF(FW41&gt;0,FW41*$K41,BX41*$J41))*IF(32=$R41,$S41,12)/12,6)+$B$4),BX41-$I41)))))</f>
        <v/>
      </c>
      <c r="BZ41" s="68">
        <f>IF($U41=0,0,IF($F41=4,0,IF($F41=3,0,IF(OR(33&gt;$R41,BY41&lt;=$I41),BY41,BY41-MIN(INT(ROUND(IF($F41=1,$C41*$J41,IF(FX41&gt;0,FX41*$K41,BY41*$J41))*IF(33=$R41,$S41,12)/12,6)+$B$4),BY41-$I41)))))</f>
        <v/>
      </c>
      <c r="CA41" s="68">
        <f>IF($U41=0,0,IF($F41=4,0,IF($F41=3,0,IF(OR(34&gt;$R41,BZ41&lt;=$I41),BZ41,BZ41-MIN(INT(ROUND(IF($F41=1,$C41*$J41,IF(FY41&gt;0,FY41*$K41,BZ41*$J41))*IF(34=$R41,$S41,12)/12,6)+$B$4),BZ41-$I41)))))</f>
        <v/>
      </c>
      <c r="CB41" s="68">
        <f>IF($U41=0,0,IF($F41=4,0,IF($F41=3,0,IF(OR(35&gt;$R41,CA41&lt;=$I41),CA41,CA41-MIN(INT(ROUND(IF($F41=1,$C41*$J41,IF(FZ41&gt;0,FZ41*$K41,CA41*$J41))*IF(35=$R41,$S41,12)/12,6)+$B$4),CA41-$I41)))))</f>
        <v/>
      </c>
      <c r="CC41" s="68">
        <f>IF($U41=0,0,IF($F41=4,0,IF($F41=3,0,IF(OR(36&gt;$R41,CB41&lt;=$I41),CB41,CB41-MIN(INT(ROUND(IF($F41=1,$C41*$J41,IF(GA41&gt;0,GA41*$K41,CB41*$J41))*IF(36=$R41,$S41,12)/12,6)+$B$4),CB41-$I41)))))</f>
        <v/>
      </c>
      <c r="CD41" s="68">
        <f>IF($U41=0,0,IF($F41=4,0,IF($F41=3,0,IF(OR(37&gt;$R41,CC41&lt;=$I41),CC41,CC41-MIN(INT(ROUND(IF($F41=1,$C41*$J41,IF(GB41&gt;0,GB41*$K41,CC41*$J41))*IF(37=$R41,$S41,12)/12,6)+$B$4),CC41-$I41)))))</f>
        <v/>
      </c>
      <c r="CE41" s="68">
        <f>IF($U41=0,0,IF($F41=4,0,IF($F41=3,0,IF(OR(38&gt;$R41,CD41&lt;=$I41),CD41,CD41-MIN(INT(ROUND(IF($F41=1,$C41*$J41,IF(GC41&gt;0,GC41*$K41,CD41*$J41))*IF(38=$R41,$S41,12)/12,6)+$B$4),CD41-$I41)))))</f>
        <v/>
      </c>
      <c r="CF41" s="68">
        <f>IF($U41=0,0,IF($F41=4,0,IF($F41=3,0,IF(OR(39&gt;$R41,CE41&lt;=$I41),CE41,CE41-MIN(INT(ROUND(IF($F41=1,$C41*$J41,IF(GD41&gt;0,GD41*$K41,CE41*$J41))*IF(39=$R41,$S41,12)/12,6)+$B$4),CE41-$I41)))))</f>
        <v/>
      </c>
      <c r="CG41" s="68">
        <f>IF($U41=0,0,IF($F41=4,0,IF($F41=3,0,IF(OR(40&gt;$R41,CF41&lt;=$I41),CF41,CF41-MIN(INT(ROUND(IF($F41=1,$C41*$J41,IF(GE41&gt;0,GE41*$K41,CF41*$J41))*IF(40=$R41,$S41,12)/12,6)+$B$4),CF41-$I41)))))</f>
        <v/>
      </c>
      <c r="CH41" s="68">
        <f>IF($U41=0,0,IF($F41=4,0,IF($F41=3,0,IF(OR(41&gt;$R41,CG41&lt;=$I41),CG41,CG41-MIN(INT(ROUND(IF($F41=1,$C41*$J41,IF(GF41&gt;0,GF41*$K41,CG41*$J41))*IF(41=$R41,$S41,12)/12,6)+$B$4),CG41-$I41)))))</f>
        <v/>
      </c>
      <c r="CI41" s="68">
        <f>IF($U41=0,0,IF($F41=4,0,IF($F41=3,0,IF(OR(42&gt;$R41,CH41&lt;=$I41),CH41,CH41-MIN(INT(ROUND(IF($F41=1,$C41*$J41,IF(GG41&gt;0,GG41*$K41,CH41*$J41))*IF(42=$R41,$S41,12)/12,6)+$B$4),CH41-$I41)))))</f>
        <v/>
      </c>
      <c r="CJ41" s="68">
        <f>IF($U41=0,0,IF($F41=4,0,IF($F41=3,0,IF(OR(43&gt;$R41,CI41&lt;=$I41),CI41,CI41-MIN(INT(ROUND(IF($F41=1,$C41*$J41,IF(GH41&gt;0,GH41*$K41,CI41*$J41))*IF(43=$R41,$S41,12)/12,6)+$B$4),CI41-$I41)))))</f>
        <v/>
      </c>
      <c r="CK41" s="68">
        <f>IF($U41=0,0,IF($F41=4,0,IF($F41=3,0,IF(OR(44&gt;$R41,CJ41&lt;=$I41),CJ41,CJ41-MIN(INT(ROUND(IF($F41=1,$C41*$J41,IF(GI41&gt;0,GI41*$K41,CJ41*$J41))*IF(44=$R41,$S41,12)/12,6)+$B$4),CJ41-$I41)))))</f>
        <v/>
      </c>
      <c r="CL41" s="68">
        <f>IF($U41=0,0,IF($F41=4,0,IF($F41=3,0,IF(OR(45&gt;$R41,CK41&lt;=$I41),CK41,CK41-MIN(INT(ROUND(IF($F41=1,$C41*$J41,IF(GJ41&gt;0,GJ41*$K41,CK41*$J41))*IF(45=$R41,$S41,12)/12,6)+$B$4),CK41-$I41)))))</f>
        <v/>
      </c>
      <c r="CM41" s="68">
        <f>IF($U41=0,0,IF($F41=4,0,IF($F41=3,0,IF(OR(46&gt;$R41,CL41&lt;=$I41),CL41,CL41-MIN(INT(ROUND(IF($F41=1,$C41*$J41,IF(GK41&gt;0,GK41*$K41,CL41*$J41))*IF(46=$R41,$S41,12)/12,6)+$B$4),CL41-$I41)))))</f>
        <v/>
      </c>
      <c r="CN41" s="68">
        <f>IF($U41=0,0,IF($F41=4,0,IF($F41=3,0,IF(OR(47&gt;$R41,CM41&lt;=$I41),CM41,CM41-MIN(INT(ROUND(IF($F41=1,$C41*$J41,IF(GL41&gt;0,GL41*$K41,CM41*$J41))*IF(47=$R41,$S41,12)/12,6)+$B$4),CM41-$I41)))))</f>
        <v/>
      </c>
      <c r="CO41" s="68">
        <f>IF($U41=0,0,IF($F41=4,0,IF($F41=3,0,IF(OR(48&gt;$R41,CN41&lt;=$I41),CN41,CN41-MIN(INT(ROUND(IF($F41=1,$C41*$J41,IF(GM41&gt;0,GM41*$K41,CN41*$J41))*IF(48=$R41,$S41,12)/12,6)+$B$4),CN41-$I41)))))</f>
        <v/>
      </c>
      <c r="CP41" s="68">
        <f>IF($U41=0,0,IF($F41=4,0,IF($F41=3,0,IF(OR(49&gt;$R41,CO41&lt;=$I41),CO41,CO41-MIN(INT(ROUND(IF($F41=1,$C41*$J41,IF(GN41&gt;0,GN41*$K41,CO41*$J41))*IF(49=$R41,$S41,12)/12,6)+$B$4),CO41-$I41)))))</f>
        <v/>
      </c>
      <c r="CQ41" s="68">
        <f>IF($U41=0,0,IF($F41=4,0,IF($F41=3,0,IF(OR(50&gt;$R41,CP41&lt;=$I41),CP41,CP41-MIN(INT(ROUND(IF($F41=1,$C41*$J41,IF(GO41&gt;0,GO41*$K41,CP41*$J41))*IF(50=$R41,$S41,12)/12,6)+$B$4),CP41-$I41)))))</f>
        <v/>
      </c>
      <c r="CR41" s="68">
        <f>IF($U41=0,0,IF($F41=4,0,IF($F41=3,0,IF(OR(51&gt;$R41,CQ41&lt;=$I41),CQ41,CQ41-MIN(INT(ROUND(IF($F41=1,$C41*$J41,IF(GP41&gt;0,GP41*$K41,CQ41*$J41))*IF(51=$R41,$S41,12)/12,6)+$B$4),CQ41-$I41)))))</f>
        <v/>
      </c>
      <c r="CS41" s="68">
        <f>IF($U41=0,0,IF($F41=4,0,IF($F41=3,0,IF(OR(52&gt;$R41,CR41&lt;=$I41),CR41,CR41-MIN(INT(ROUND(IF($F41=1,$C41*$J41,IF(GQ41&gt;0,GQ41*$K41,CR41*$J41))*IF(52=$R41,$S41,12)/12,6)+$B$4),CR41-$I41)))))</f>
        <v/>
      </c>
      <c r="CT41" s="68">
        <f>IF($U41=0,0,IF($F41=4,0,IF($F41=3,0,IF(OR(53&gt;$R41,CS41&lt;=$I41),CS41,CS41-MIN(INT(ROUND(IF($F41=1,$C41*$J41,IF(GR41&gt;0,GR41*$K41,CS41*$J41))*IF(53=$R41,$S41,12)/12,6)+$B$4),CS41-$I41)))))</f>
        <v/>
      </c>
      <c r="CU41" s="68">
        <f>IF($U41=0,0,IF($F41=4,0,IF($F41=3,0,IF(OR(54&gt;$R41,CT41&lt;=$I41),CT41,CT41-MIN(INT(ROUND(IF($F41=1,$C41*$J41,IF(GS41&gt;0,GS41*$K41,CT41*$J41))*IF(54=$R41,$S41,12)/12,6)+$B$4),CT41-$I41)))))</f>
        <v/>
      </c>
      <c r="CV41" s="68">
        <f>IF($U41=0,0,IF($F41=4,0,IF($F41=3,0,IF(OR(55&gt;$R41,CU41&lt;=$I41),CU41,CU41-MIN(INT(ROUND(IF($F41=1,$C41*$J41,IF(GT41&gt;0,GT41*$K41,CU41*$J41))*IF(55=$R41,$S41,12)/12,6)+$B$4),CU41-$I41)))))</f>
        <v/>
      </c>
      <c r="CW41" s="68">
        <f>IF($U41=0,0,IF($F41=4,0,IF($F41=3,0,IF(OR(56&gt;$R41,CV41&lt;=$I41),CV41,CV41-MIN(INT(ROUND(IF($F41=1,$C41*$J41,IF(GU41&gt;0,GU41*$K41,CV41*$J41))*IF(56=$R41,$S41,12)/12,6)+$B$4),CV41-$I41)))))</f>
        <v/>
      </c>
      <c r="CX41" s="68">
        <f>IF($U41=0,0,IF($F41=4,0,IF($F41=3,0,IF(OR(57&gt;$R41,CW41&lt;=$I41),CW41,CW41-MIN(INT(ROUND(IF($F41=1,$C41*$J41,IF(GV41&gt;0,GV41*$K41,CW41*$J41))*IF(57=$R41,$S41,12)/12,6)+$B$4),CW41-$I41)))))</f>
        <v/>
      </c>
      <c r="CY41" s="68">
        <f>IF($U41=0,0,IF($F41=4,0,IF($F41=3,0,IF(OR(58&gt;$R41,CX41&lt;=$I41),CX41,CX41-MIN(INT(ROUND(IF($F41=1,$C41*$J41,IF(GW41&gt;0,GW41*$K41,CX41*$J41))*IF(58=$R41,$S41,12)/12,6)+$B$4),CX41-$I41)))))</f>
        <v/>
      </c>
      <c r="CZ41" s="68">
        <f>IF($U41=0,0,IF($F41=4,0,IF($F41=3,0,IF(OR(59&gt;$R41,CY41&lt;=$I41),CY41,CY41-MIN(INT(ROUND(IF($F41=1,$C41*$J41,IF(GX41&gt;0,GX41*$K41,CY41*$J41))*IF(59=$R41,$S41,12)/12,6)+$B$4),CY41-$I41)))))</f>
        <v/>
      </c>
      <c r="DA41" s="68">
        <f>IF($U41=0,0,IF($F41=4,0,IF($F41=3,0,IF(OR(60&gt;$R41,CZ41&lt;=$I41),CZ41,CZ41-MIN(INT(ROUND(IF($F41=1,$C41*$J41,IF(GY41&gt;0,GY41*$K41,CZ41*$J41))*IF(60=$R41,$S41,12)/12,6)+$B$4),CZ41-$I41)))))</f>
        <v/>
      </c>
      <c r="DB41" s="68">
        <f>IF($U41=0,0,IF($F41=4,0,IF($F41=3,0,IF(OR(61&gt;$R41,DA41&lt;=$I41),DA41,DA41-MIN(INT(ROUND(IF($F41=1,$C41*$J41,IF(GZ41&gt;0,GZ41*$K41,DA41*$J41))*IF(61=$R41,$S41,12)/12,6)+$B$4),DA41-$I41)))))</f>
        <v/>
      </c>
      <c r="DC41" s="68">
        <f>IF($U41=0,0,IF($F41=4,0,IF($F41=3,0,IF(OR(62&gt;$R41,DB41&lt;=$I41),DB41,DB41-MIN(INT(ROUND(IF($F41=1,$C41*$J41,IF(HA41&gt;0,HA41*$K41,DB41*$J41))*IF(62=$R41,$S41,12)/12,6)+$B$4),DB41-$I41)))))</f>
        <v/>
      </c>
      <c r="DD41" s="68">
        <f>IF($U41=0,0,IF($F41=4,0,IF($F41=3,0,IF(OR(63&gt;$R41,DC41&lt;=$I41),DC41,DC41-MIN(INT(ROUND(IF($F41=1,$C41*$J41,IF(HB41&gt;0,HB41*$K41,DC41*$J41))*IF(63=$R41,$S41,12)/12,6)+$B$4),DC41-$I41)))))</f>
        <v/>
      </c>
      <c r="DE41" s="68">
        <f>IF($U41=0,0,IF($F41=4,0,IF($F41=3,0,IF(OR(64&gt;$R41,DD41&lt;=$I41),DD41,DD41-MIN(INT(ROUND(IF($F41=1,$C41*$J41,IF(HC41&gt;0,HC41*$K41,DD41*$J41))*IF(64=$R41,$S41,12)/12,6)+$B$4),DD41-$I41)))))</f>
        <v/>
      </c>
      <c r="DF41" s="68">
        <f>IF($U41=0,0,IF($F41=4,0,IF($F41=3,0,IF(OR(65&gt;$R41,DE41&lt;=$I41),DE41,DE41-MIN(INT(ROUND(IF($F41=1,$C41*$J41,IF(HD41&gt;0,HD41*$K41,DE41*$J41))*IF(65=$R41,$S41,12)/12,6)+$B$4),DE41-$I41)))))</f>
        <v/>
      </c>
      <c r="DG41" s="68">
        <f>IF($U41=0,0,IF($F41=4,0,IF($F41=3,0,IF(OR(66&gt;$R41,DF41&lt;=$I41),DF41,DF41-MIN(INT(ROUND(IF($F41=1,$C41*$J41,IF(HE41&gt;0,HE41*$K41,DF41*$J41))*IF(66=$R41,$S41,12)/12,6)+$B$4),DF41-$I41)))))</f>
        <v/>
      </c>
      <c r="DH41" s="68">
        <f>IF($U41=0,0,IF($F41=4,0,IF($F41=3,0,IF(OR(67&gt;$R41,DG41&lt;=$I41),DG41,DG41-MIN(INT(ROUND(IF($F41=1,$C41*$J41,IF(HF41&gt;0,HF41*$K41,DG41*$J41))*IF(67=$R41,$S41,12)/12,6)+$B$4),DG41-$I41)))))</f>
        <v/>
      </c>
      <c r="DI41" s="68">
        <f>IF($U41=0,0,IF($F41=4,0,IF($F41=3,0,IF(OR(68&gt;$R41,DH41&lt;=$I41),DH41,DH41-MIN(INT(ROUND(IF($F41=1,$C41*$J41,IF(HG41&gt;0,HG41*$K41,DH41*$J41))*IF(68=$R41,$S41,12)/12,6)+$B$4),DH41-$I41)))))</f>
        <v/>
      </c>
      <c r="DJ41" s="68">
        <f>IF($U41=0,0,IF($F41=4,0,IF($F41=3,0,IF(OR(69&gt;$R41,DI41&lt;=$I41),DI41,DI41-MIN(INT(ROUND(IF($F41=1,$C41*$J41,IF(HH41&gt;0,HH41*$K41,DI41*$J41))*IF(69=$R41,$S41,12)/12,6)+$B$4),DI41-$I41)))))</f>
        <v/>
      </c>
      <c r="DK41" s="68">
        <f>IF($U41=0,0,IF($F41=4,0,IF($F41=3,0,IF(OR(70&gt;$R41,DJ41&lt;=$I41),DJ41,DJ41-MIN(INT(ROUND(IF($F41=1,$C41*$J41,IF(HI41&gt;0,HI41*$K41,DJ41*$J41))*IF(70=$R41,$S41,12)/12,6)+$B$4),DJ41-$I41)))))</f>
        <v/>
      </c>
      <c r="DL41" s="68">
        <f>IF($U41=0,0,IF($F41=4,0,IF($F41=3,0,IF(OR(71&gt;$R41,DK41&lt;=$I41),DK41,DK41-MIN(INT(ROUND(IF($F41=1,$C41*$J41,IF(HJ41&gt;0,HJ41*$K41,DK41*$J41))*IF(71=$R41,$S41,12)/12,6)+$B$4),DK41-$I41)))))</f>
        <v/>
      </c>
      <c r="DM41" s="68">
        <f>IF($U41=0,0,IF($F41=4,0,IF($F41=3,0,IF(OR(72&gt;$R41,DL41&lt;=$I41),DL41,DL41-MIN(INT(ROUND(IF($F41=1,$C41*$J41,IF(HK41&gt;0,HK41*$K41,DL41*$J41))*IF(72=$R41,$S41,12)/12,6)+$B$4),DL41-$I41)))))</f>
        <v/>
      </c>
      <c r="DN41" s="68">
        <f>IF($U41=0,0,IF($F41=4,0,IF($F41=3,0,IF(OR(73&gt;$R41,DM41&lt;=$I41),DM41,DM41-MIN(INT(ROUND(IF($F41=1,$C41*$J41,IF(HL41&gt;0,HL41*$K41,DM41*$J41))*IF(73=$R41,$S41,12)/12,6)+$B$4),DM41-$I41)))))</f>
        <v/>
      </c>
      <c r="DO41" s="68">
        <f>IF($U41=0,0,IF($F41=4,0,IF($F41=3,0,IF(OR(74&gt;$R41,DN41&lt;=$I41),DN41,DN41-MIN(INT(ROUND(IF($F41=1,$C41*$J41,IF(HM41&gt;0,HM41*$K41,DN41*$J41))*IF(74=$R41,$S41,12)/12,6)+$B$4),DN41-$I41)))))</f>
        <v/>
      </c>
      <c r="DP41" s="68">
        <f>IF($U41=0,0,IF($F41=4,0,IF($F41=3,0,IF(OR(75&gt;$R41,DO41&lt;=$I41),DO41,DO41-MIN(INT(ROUND(IF($F41=1,$C41*$J41,IF(HN41&gt;0,HN41*$K41,DO41*$J41))*IF(75=$R41,$S41,12)/12,6)+$B$4),DO41-$I41)))))</f>
        <v/>
      </c>
      <c r="DQ41" s="68">
        <f>IF($U41=0,0,IF($F41=4,0,IF($F41=3,0,IF(OR(76&gt;$R41,DP41&lt;=$I41),DP41,DP41-MIN(INT(ROUND(IF($F41=1,$C41*$J41,IF(HO41&gt;0,HO41*$K41,DP41*$J41))*IF(76=$R41,$S41,12)/12,6)+$B$4),DP41-$I41)))))</f>
        <v/>
      </c>
      <c r="DR41" s="68">
        <f>IF($U41=0,0,IF($F41=4,0,IF($F41=3,0,IF(OR(77&gt;$R41,DQ41&lt;=$I41),DQ41,DQ41-MIN(INT(ROUND(IF($F41=1,$C41*$J41,IF(HP41&gt;0,HP41*$K41,DQ41*$J41))*IF(77=$R41,$S41,12)/12,6)+$B$4),DQ41-$I41)))))</f>
        <v/>
      </c>
      <c r="DS41" s="68">
        <f>IF($U41=0,0,IF($F41=4,0,IF($F41=3,0,IF(OR(78&gt;$R41,DR41&lt;=$I41),DR41,DR41-MIN(INT(ROUND(IF($F41=1,$C41*$J41,IF(HQ41&gt;0,HQ41*$K41,DR41*$J41))*IF(78=$R41,$S41,12)/12,6)+$B$4),DR41-$I41)))))</f>
        <v/>
      </c>
      <c r="DT41" s="68">
        <f>IF($U41=0,0,IF($F41=4,0,IF($F41=3,0,IF(OR(79&gt;$R41,DS41&lt;=$I41),DS41,DS41-MIN(INT(ROUND(IF($F41=1,$C41*$J41,IF(HR41&gt;0,HR41*$K41,DS41*$J41))*IF(79=$R41,$S41,12)/12,6)+$B$4),DS41-$I41)))))</f>
        <v/>
      </c>
      <c r="DU41" s="68">
        <f>IF($U41=0,0,IF($F41=4,0,IF($F41=3,0,IF(OR(80&gt;$R41,DT41&lt;=$I41),DT41,DT41-MIN(INT(ROUND(IF($F41=1,$C41*$J41,IF(HS41&gt;0,HS41*$K41,DT41*$J41))*IF(80=$R41,$S41,12)/12,6)+$B$4),DT41-$I41)))))</f>
        <v/>
      </c>
      <c r="DV41" s="68">
        <f>IF($U41=0,0,IF($F41=4,0,IF($F41=3,0,IF(OR(81&gt;$R41,DU41&lt;=$I41),DU41,DU41-MIN(INT(ROUND(IF($F41=1,$C41*$J41,IF(HT41&gt;0,HT41*$K41,DU41*$J41))*IF(81=$R41,$S41,12)/12,6)+$B$4),DU41-$I41)))))</f>
        <v/>
      </c>
      <c r="DW41" s="68">
        <f>IF($U41=0,0,IF($F41=4,0,IF($F41=3,0,IF(OR(82&gt;$R41,DV41&lt;=$I41),DV41,DV41-MIN(INT(ROUND(IF($F41=1,$C41*$J41,IF(HU41&gt;0,HU41*$K41,DV41*$J41))*IF(82=$R41,$S41,12)/12,6)+$B$4),DV41-$I41)))))</f>
        <v/>
      </c>
      <c r="DX41" s="68">
        <f>IF($U41=0,0,IF($F41=4,0,IF($F41=3,0,IF(OR(83&gt;$R41,DW41&lt;=$I41),DW41,DW41-MIN(INT(ROUND(IF($F41=1,$C41*$J41,IF(HV41&gt;0,HV41*$K41,DW41*$J41))*IF(83=$R41,$S41,12)/12,6)+$B$4),DW41-$I41)))))</f>
        <v/>
      </c>
      <c r="DY41" s="68">
        <f>IF($U41=0,0,IF($F41=4,0,IF($F41=3,0,IF(OR(84&gt;$R41,DX41&lt;=$I41),DX41,DX41-MIN(INT(ROUND(IF($F41=1,$C41*$J41,IF(HW41&gt;0,HW41*$K41,DX41*$J41))*IF(84=$R41,$S41,12)/12,6)+$B$4),DX41-$I41)))))</f>
        <v/>
      </c>
      <c r="DZ41" s="68">
        <f>IF($U41=0,0,IF($F41=4,0,IF($F41=3,0,IF(OR(85&gt;$R41,DY41&lt;=$I41),DY41,DY41-MIN(INT(ROUND(IF($F41=1,$C41*$J41,IF(HX41&gt;0,HX41*$K41,DY41*$J41))*IF(85=$R41,$S41,12)/12,6)+$B$4),DY41-$I41)))))</f>
        <v/>
      </c>
      <c r="EA41" s="68">
        <f>IF($U41=0,0,IF($F41=4,0,IF($F41=3,0,IF(OR(86&gt;$R41,DZ41&lt;=$I41),DZ41,DZ41-MIN(INT(ROUND(IF($F41=1,$C41*$J41,IF(HY41&gt;0,HY41*$K41,DZ41*$J41))*IF(86=$R41,$S41,12)/12,6)+$B$4),DZ41-$I41)))))</f>
        <v/>
      </c>
      <c r="EB41" s="68">
        <f>IF($U41=0,0,IF($F41=4,0,IF($F41=3,0,IF(OR(87&gt;$R41,EA41&lt;=$I41),EA41,EA41-MIN(INT(ROUND(IF($F41=1,$C41*$J41,IF(HZ41&gt;0,HZ41*$K41,EA41*$J41))*IF(87=$R41,$S41,12)/12,6)+$B$4),EA41-$I41)))))</f>
        <v/>
      </c>
      <c r="EC41" s="68">
        <f>IF($U41=0,0,IF($F41=4,0,IF($F41=3,0,IF(OR(88&gt;$R41,EB41&lt;=$I41),EB41,EB41-MIN(INT(ROUND(IF($F41=1,$C41*$J41,IF(IA41&gt;0,IA41*$K41,EB41*$J41))*IF(88=$R41,$S41,12)/12,6)+$B$4),EB41-$I41)))))</f>
        <v/>
      </c>
      <c r="ED41" s="68">
        <f>IF($U41=0,0,IF($F41=4,0,IF($F41=3,0,IF(OR(89&gt;$R41,EC41&lt;=$I41),EC41,EC41-MIN(INT(ROUND(IF($F41=1,$C41*$J41,IF(IB41&gt;0,IB41*$K41,EC41*$J41))*IF(89=$R41,$S41,12)/12,6)+$B$4),EC41-$I41)))))</f>
        <v/>
      </c>
      <c r="EE41" s="68">
        <f>IF($U41=0,0,IF($F41=4,0,IF($F41=3,0,IF(OR(90&gt;$R41,ED41&lt;=$I41),ED41,ED41-MIN(INT(ROUND(IF($F41=1,$C41*$J41,IF(IC41&gt;0,IC41*$K41,ED41*$J41))*IF(90=$R41,$S41,12)/12,6)+$B$4),ED41-$I41)))))</f>
        <v/>
      </c>
      <c r="EF41" s="68">
        <f>IF($U41=0,0,IF($F41=4,0,IF($F41=3,0,IF(OR(91&gt;$R41,EE41&lt;=$I41),EE41,EE41-MIN(INT(ROUND(IF($F41=1,$C41*$J41,IF(ID41&gt;0,ID41*$K41,EE41*$J41))*IF(91=$R41,$S41,12)/12,6)+$B$4),EE41-$I41)))))</f>
        <v/>
      </c>
      <c r="EG41" s="68">
        <f>IF($U41=0,0,IF($F41=4,0,IF($F41=3,0,IF(OR(92&gt;$R41,EF41&lt;=$I41),EF41,EF41-MIN(INT(ROUND(IF($F41=1,$C41*$J41,IF(IE41&gt;0,IE41*$K41,EF41*$J41))*IF(92=$R41,$S41,12)/12,6)+$B$4),EF41-$I41)))))</f>
        <v/>
      </c>
      <c r="EH41" s="68">
        <f>IF($U41=0,0,IF($F41=4,0,IF($F41=3,0,IF(OR(93&gt;$R41,EG41&lt;=$I41),EG41,EG41-MIN(INT(ROUND(IF($F41=1,$C41*$J41,IF(IF41&gt;0,IF41*$K41,EG41*$J41))*IF(93=$R41,$S41,12)/12,6)+$B$4),EG41-$I41)))))</f>
        <v/>
      </c>
      <c r="EI41" s="68">
        <f>IF($U41=0,0,IF($F41=4,0,IF($F41=3,0,IF(OR(94&gt;$R41,EH41&lt;=$I41),EH41,EH41-MIN(INT(ROUND(IF($F41=1,$C41*$J41,IF(IG41&gt;0,IG41*$K41,EH41*$J41))*IF(94=$R41,$S41,12)/12,6)+$B$4),EH41-$I41)))))</f>
        <v/>
      </c>
      <c r="EJ41" s="68">
        <f>IF($U41=0,0,IF($F41=4,0,IF($F41=3,0,IF(OR(95&gt;$R41,EI41&lt;=$I41),EI41,EI41-MIN(INT(ROUND(IF($F41=1,$C41*$J41,IF(IH41&gt;0,IH41*$K41,EI41*$J41))*IF(95=$R41,$S41,12)/12,6)+$B$4),EI41-$I41)))))</f>
        <v/>
      </c>
      <c r="EK41" s="68">
        <f>IF($U41=0,0,IF($F41=4,0,IF($F41=3,0,IF(OR(96&gt;$R41,EJ41&lt;=$I41),EJ41,EJ41-MIN(INT(ROUND(IF($F41=1,$C41*$J41,IF(II41&gt;0,II41*$K41,EJ41*$J41))*IF(96=$R41,$S41,12)/12,6)+$B$4),EJ41-$I41)))))</f>
        <v/>
      </c>
      <c r="EL41" s="68">
        <f>IF($U41=0,0,IF($F41=4,0,IF($F41=3,0,IF(OR(97&gt;$R41,EK41&lt;=$I41),EK41,EK41-MIN(INT(ROUND(IF($F41=1,$C41*$J41,IF(IJ41&gt;0,IJ41*$K41,EK41*$J41))*IF(97=$R41,$S41,12)/12,6)+$B$4),EK41-$I41)))))</f>
        <v/>
      </c>
      <c r="EM41" s="68">
        <f>IF($U41=0,0,IF($F41=4,0,IF($F41=3,0,IF(OR(98&gt;$R41,EL41&lt;=$I41),EL41,EL41-MIN(INT(ROUND(IF($F41=1,$C41*$J41,IF(IK41&gt;0,IK41*$K41,EL41*$J41))*IF(98=$R41,$S41,12)/12,6)+$B$4),EL41-$I41)))))</f>
        <v/>
      </c>
      <c r="EN41" s="68">
        <f>IF($U41=0,0,IF($F41=4,0,IF($F41=3,0,IF(OR(99&gt;$R41,EM41&lt;=$I41),EM41,EM41-MIN(INT(ROUND(IF($F41=1,$C41*$J41,IF(IL41&gt;0,IL41*$K41,EM41*$J41))*IF(99=$R41,$S41,12)/12,6)+$B$4),EM41-$I41)))))</f>
        <v/>
      </c>
      <c r="EO41" s="68">
        <f>IF($U41=0,0,IF($F41=4,0,IF($F41=3,0,IF(OR(100&gt;$R41,EN41&lt;=$I41),EN41,EN41-MIN(INT(ROUND(IF($F41=1,$C41*$J41,IF(IM41&gt;0,IM41*$K41,EN41*$J41))*IF(100=$R41,$S41,12)/12,6)+$B$4),EN41-$I41)))))</f>
        <v/>
      </c>
      <c r="EP41" s="68">
        <f>IF($U41=0,0,IF($F41=4,0,IF($F41=3,0,IF(OR(101&gt;$R41,EO41&lt;=$I41),EO41,EO41-MIN(INT(ROUND(IF($F41=1,$C41*$J41,IF(IN41&gt;0,IN41*$K41,EO41*$J41))*IF(101=$R41,$S41,12)/12,6)+$B$4),EO41-$I41)))))</f>
        <v/>
      </c>
      <c r="EQ41" s="68" t="n"/>
      <c r="ER41" s="68">
        <f>IF(OR($U41=0,$F41&lt;&gt;2),0,IF(ROUND(AS41*$J41,6)&lt;ROUND($M41,6),AS41,0))</f>
        <v/>
      </c>
      <c r="ES41" s="68">
        <f>IF(OR($U41=0,$F41&lt;&gt;2),0,IF(ER41&gt;0,ER41,IF(ROUND(AT41*$J41,6)&lt;ROUND($M41,6),AT41,0)))</f>
        <v/>
      </c>
      <c r="ET41" s="68">
        <f>IF(OR($U41=0,$F41&lt;&gt;2),0,IF(ES41&gt;0,ES41,IF(ROUND(AU41*$J41,6)&lt;ROUND($M41,6),AU41,0)))</f>
        <v/>
      </c>
      <c r="EU41" s="68">
        <f>IF(OR($U41=0,$F41&lt;&gt;2),0,IF(ET41&gt;0,ET41,IF(ROUND(AV41*$J41,6)&lt;ROUND($M41,6),AV41,0)))</f>
        <v/>
      </c>
      <c r="EV41" s="68">
        <f>IF(OR($U41=0,$F41&lt;&gt;2),0,IF(EU41&gt;0,EU41,IF(ROUND(AW41*$J41,6)&lt;ROUND($M41,6),AW41,0)))</f>
        <v/>
      </c>
      <c r="EW41" s="68">
        <f>IF(OR($U41=0,$F41&lt;&gt;2),0,IF(EV41&gt;0,EV41,IF(ROUND(AX41*$J41,6)&lt;ROUND($M41,6),AX41,0)))</f>
        <v/>
      </c>
      <c r="EX41" s="68">
        <f>IF(OR($U41=0,$F41&lt;&gt;2),0,IF(EW41&gt;0,EW41,IF(ROUND(AY41*$J41,6)&lt;ROUND($M41,6),AY41,0)))</f>
        <v/>
      </c>
      <c r="EY41" s="68">
        <f>IF(OR($U41=0,$F41&lt;&gt;2),0,IF(EX41&gt;0,EX41,IF(ROUND(AZ41*$J41,6)&lt;ROUND($M41,6),AZ41,0)))</f>
        <v/>
      </c>
      <c r="EZ41" s="68">
        <f>IF(OR($U41=0,$F41&lt;&gt;2),0,IF(EY41&gt;0,EY41,IF(ROUND(BA41*$J41,6)&lt;ROUND($M41,6),BA41,0)))</f>
        <v/>
      </c>
      <c r="FA41" s="68">
        <f>IF(OR($U41=0,$F41&lt;&gt;2),0,IF(EZ41&gt;0,EZ41,IF(ROUND(BB41*$J41,6)&lt;ROUND($M41,6),BB41,0)))</f>
        <v/>
      </c>
      <c r="FB41" s="68">
        <f>IF(OR($U41=0,$F41&lt;&gt;2),0,IF(FA41&gt;0,FA41,IF(ROUND(BC41*$J41,6)&lt;ROUND($M41,6),BC41,0)))</f>
        <v/>
      </c>
      <c r="FC41" s="68">
        <f>IF(OR($U41=0,$F41&lt;&gt;2),0,IF(FB41&gt;0,FB41,IF(ROUND(BD41*$J41,6)&lt;ROUND($M41,6),BD41,0)))</f>
        <v/>
      </c>
      <c r="FD41" s="68">
        <f>IF(OR($U41=0,$F41&lt;&gt;2),0,IF(FC41&gt;0,FC41,IF(ROUND(BE41*$J41,6)&lt;ROUND($M41,6),BE41,0)))</f>
        <v/>
      </c>
      <c r="FE41" s="68">
        <f>IF(OR($U41=0,$F41&lt;&gt;2),0,IF(FD41&gt;0,FD41,IF(ROUND(BF41*$J41,6)&lt;ROUND($M41,6),BF41,0)))</f>
        <v/>
      </c>
      <c r="FF41" s="68">
        <f>IF(OR($U41=0,$F41&lt;&gt;2),0,IF(FE41&gt;0,FE41,IF(ROUND(BG41*$J41,6)&lt;ROUND($M41,6),BG41,0)))</f>
        <v/>
      </c>
      <c r="FG41" s="68">
        <f>IF(OR($U41=0,$F41&lt;&gt;2),0,IF(FF41&gt;0,FF41,IF(ROUND(BH41*$J41,6)&lt;ROUND($M41,6),BH41,0)))</f>
        <v/>
      </c>
      <c r="FH41" s="68">
        <f>IF(OR($U41=0,$F41&lt;&gt;2),0,IF(FG41&gt;0,FG41,IF(ROUND(BI41*$J41,6)&lt;ROUND($M41,6),BI41,0)))</f>
        <v/>
      </c>
      <c r="FI41" s="68">
        <f>IF(OR($U41=0,$F41&lt;&gt;2),0,IF(FH41&gt;0,FH41,IF(ROUND(BJ41*$J41,6)&lt;ROUND($M41,6),BJ41,0)))</f>
        <v/>
      </c>
      <c r="FJ41" s="68">
        <f>IF(OR($U41=0,$F41&lt;&gt;2),0,IF(FI41&gt;0,FI41,IF(ROUND(BK41*$J41,6)&lt;ROUND($M41,6),BK41,0)))</f>
        <v/>
      </c>
      <c r="FK41" s="68">
        <f>IF(OR($U41=0,$F41&lt;&gt;2),0,IF(FJ41&gt;0,FJ41,IF(ROUND(BL41*$J41,6)&lt;ROUND($M41,6),BL41,0)))</f>
        <v/>
      </c>
      <c r="FL41" s="68">
        <f>IF(OR($U41=0,$F41&lt;&gt;2),0,IF(FK41&gt;0,FK41,IF(ROUND(BM41*$J41,6)&lt;ROUND($M41,6),BM41,0)))</f>
        <v/>
      </c>
      <c r="FM41" s="68">
        <f>IF(OR($U41=0,$F41&lt;&gt;2),0,IF(FL41&gt;0,FL41,IF(ROUND(BN41*$J41,6)&lt;ROUND($M41,6),BN41,0)))</f>
        <v/>
      </c>
      <c r="FN41" s="68">
        <f>IF(OR($U41=0,$F41&lt;&gt;2),0,IF(FM41&gt;0,FM41,IF(ROUND(BO41*$J41,6)&lt;ROUND($M41,6),BO41,0)))</f>
        <v/>
      </c>
      <c r="FO41" s="68">
        <f>IF(OR($U41=0,$F41&lt;&gt;2),0,IF(FN41&gt;0,FN41,IF(ROUND(BP41*$J41,6)&lt;ROUND($M41,6),BP41,0)))</f>
        <v/>
      </c>
      <c r="FP41" s="68">
        <f>IF(OR($U41=0,$F41&lt;&gt;2),0,IF(FO41&gt;0,FO41,IF(ROUND(BQ41*$J41,6)&lt;ROUND($M41,6),BQ41,0)))</f>
        <v/>
      </c>
      <c r="FQ41" s="68">
        <f>IF(OR($U41=0,$F41&lt;&gt;2),0,IF(FP41&gt;0,FP41,IF(ROUND(BR41*$J41,6)&lt;ROUND($M41,6),BR41,0)))</f>
        <v/>
      </c>
      <c r="FR41" s="68">
        <f>IF(OR($U41=0,$F41&lt;&gt;2),0,IF(FQ41&gt;0,FQ41,IF(ROUND(BS41*$J41,6)&lt;ROUND($M41,6),BS41,0)))</f>
        <v/>
      </c>
      <c r="FS41" s="68">
        <f>IF(OR($U41=0,$F41&lt;&gt;2),0,IF(FR41&gt;0,FR41,IF(ROUND(BT41*$J41,6)&lt;ROUND($M41,6),BT41,0)))</f>
        <v/>
      </c>
      <c r="FT41" s="68">
        <f>IF(OR($U41=0,$F41&lt;&gt;2),0,IF(FS41&gt;0,FS41,IF(ROUND(BU41*$J41,6)&lt;ROUND($M41,6),BU41,0)))</f>
        <v/>
      </c>
      <c r="FU41" s="68">
        <f>IF(OR($U41=0,$F41&lt;&gt;2),0,IF(FT41&gt;0,FT41,IF(ROUND(BV41*$J41,6)&lt;ROUND($M41,6),BV41,0)))</f>
        <v/>
      </c>
      <c r="FV41" s="68">
        <f>IF(OR($U41=0,$F41&lt;&gt;2),0,IF(FU41&gt;0,FU41,IF(ROUND(BW41*$J41,6)&lt;ROUND($M41,6),BW41,0)))</f>
        <v/>
      </c>
      <c r="FW41" s="68">
        <f>IF(OR($U41=0,$F41&lt;&gt;2),0,IF(FV41&gt;0,FV41,IF(ROUND(BX41*$J41,6)&lt;ROUND($M41,6),BX41,0)))</f>
        <v/>
      </c>
      <c r="FX41" s="68">
        <f>IF(OR($U41=0,$F41&lt;&gt;2),0,IF(FW41&gt;0,FW41,IF(ROUND(BY41*$J41,6)&lt;ROUND($M41,6),BY41,0)))</f>
        <v/>
      </c>
      <c r="FY41" s="68">
        <f>IF(OR($U41=0,$F41&lt;&gt;2),0,IF(FX41&gt;0,FX41,IF(ROUND(BZ41*$J41,6)&lt;ROUND($M41,6),BZ41,0)))</f>
        <v/>
      </c>
      <c r="FZ41" s="68">
        <f>IF(OR($U41=0,$F41&lt;&gt;2),0,IF(FY41&gt;0,FY41,IF(ROUND(CA41*$J41,6)&lt;ROUND($M41,6),CA41,0)))</f>
        <v/>
      </c>
      <c r="GA41" s="68">
        <f>IF(OR($U41=0,$F41&lt;&gt;2),0,IF(FZ41&gt;0,FZ41,IF(ROUND(CB41*$J41,6)&lt;ROUND($M41,6),CB41,0)))</f>
        <v/>
      </c>
      <c r="GB41" s="68">
        <f>IF(OR($U41=0,$F41&lt;&gt;2),0,IF(GA41&gt;0,GA41,IF(ROUND(CC41*$J41,6)&lt;ROUND($M41,6),CC41,0)))</f>
        <v/>
      </c>
      <c r="GC41" s="68">
        <f>IF(OR($U41=0,$F41&lt;&gt;2),0,IF(GB41&gt;0,GB41,IF(ROUND(CD41*$J41,6)&lt;ROUND($M41,6),CD41,0)))</f>
        <v/>
      </c>
      <c r="GD41" s="68">
        <f>IF(OR($U41=0,$F41&lt;&gt;2),0,IF(GC41&gt;0,GC41,IF(ROUND(CE41*$J41,6)&lt;ROUND($M41,6),CE41,0)))</f>
        <v/>
      </c>
      <c r="GE41" s="68">
        <f>IF(OR($U41=0,$F41&lt;&gt;2),0,IF(GD41&gt;0,GD41,IF(ROUND(CF41*$J41,6)&lt;ROUND($M41,6),CF41,0)))</f>
        <v/>
      </c>
      <c r="GF41" s="68">
        <f>IF(OR($U41=0,$F41&lt;&gt;2),0,IF(GE41&gt;0,GE41,IF(ROUND(CG41*$J41,6)&lt;ROUND($M41,6),CG41,0)))</f>
        <v/>
      </c>
      <c r="GG41" s="68">
        <f>IF(OR($U41=0,$F41&lt;&gt;2),0,IF(GF41&gt;0,GF41,IF(ROUND(CH41*$J41,6)&lt;ROUND($M41,6),CH41,0)))</f>
        <v/>
      </c>
      <c r="GH41" s="68">
        <f>IF(OR($U41=0,$F41&lt;&gt;2),0,IF(GG41&gt;0,GG41,IF(ROUND(CI41*$J41,6)&lt;ROUND($M41,6),CI41,0)))</f>
        <v/>
      </c>
      <c r="GI41" s="68">
        <f>IF(OR($U41=0,$F41&lt;&gt;2),0,IF(GH41&gt;0,GH41,IF(ROUND(CJ41*$J41,6)&lt;ROUND($M41,6),CJ41,0)))</f>
        <v/>
      </c>
      <c r="GJ41" s="68">
        <f>IF(OR($U41=0,$F41&lt;&gt;2),0,IF(GI41&gt;0,GI41,IF(ROUND(CK41*$J41,6)&lt;ROUND($M41,6),CK41,0)))</f>
        <v/>
      </c>
      <c r="GK41" s="68">
        <f>IF(OR($U41=0,$F41&lt;&gt;2),0,IF(GJ41&gt;0,GJ41,IF(ROUND(CL41*$J41,6)&lt;ROUND($M41,6),CL41,0)))</f>
        <v/>
      </c>
      <c r="GL41" s="68">
        <f>IF(OR($U41=0,$F41&lt;&gt;2),0,IF(GK41&gt;0,GK41,IF(ROUND(CM41*$J41,6)&lt;ROUND($M41,6),CM41,0)))</f>
        <v/>
      </c>
      <c r="GM41" s="68">
        <f>IF(OR($U41=0,$F41&lt;&gt;2),0,IF(GL41&gt;0,GL41,IF(ROUND(CN41*$J41,6)&lt;ROUND($M41,6),CN41,0)))</f>
        <v/>
      </c>
      <c r="GN41" s="68">
        <f>IF(OR($U41=0,$F41&lt;&gt;2),0,IF(GM41&gt;0,GM41,IF(ROUND(CO41*$J41,6)&lt;ROUND($M41,6),CO41,0)))</f>
        <v/>
      </c>
      <c r="GO41" s="68">
        <f>IF(OR($U41=0,$F41&lt;&gt;2),0,IF(GN41&gt;0,GN41,IF(ROUND(CP41*$J41,6)&lt;ROUND($M41,6),CP41,0)))</f>
        <v/>
      </c>
      <c r="GP41" s="68">
        <f>IF(OR($U41=0,$F41&lt;&gt;2),0,IF(GO41&gt;0,GO41,IF(ROUND(CQ41*$J41,6)&lt;ROUND($M41,6),CQ41,0)))</f>
        <v/>
      </c>
      <c r="GQ41" s="68">
        <f>IF(OR($U41=0,$F41&lt;&gt;2),0,IF(GP41&gt;0,GP41,IF(ROUND(CR41*$J41,6)&lt;ROUND($M41,6),CR41,0)))</f>
        <v/>
      </c>
      <c r="GR41" s="68">
        <f>IF(OR($U41=0,$F41&lt;&gt;2),0,IF(GQ41&gt;0,GQ41,IF(ROUND(CS41*$J41,6)&lt;ROUND($M41,6),CS41,0)))</f>
        <v/>
      </c>
      <c r="GS41" s="68">
        <f>IF(OR($U41=0,$F41&lt;&gt;2),0,IF(GR41&gt;0,GR41,IF(ROUND(CT41*$J41,6)&lt;ROUND($M41,6),CT41,0)))</f>
        <v/>
      </c>
      <c r="GT41" s="68">
        <f>IF(OR($U41=0,$F41&lt;&gt;2),0,IF(GS41&gt;0,GS41,IF(ROUND(CU41*$J41,6)&lt;ROUND($M41,6),CU41,0)))</f>
        <v/>
      </c>
      <c r="GU41" s="68">
        <f>IF(OR($U41=0,$F41&lt;&gt;2),0,IF(GT41&gt;0,GT41,IF(ROUND(CV41*$J41,6)&lt;ROUND($M41,6),CV41,0)))</f>
        <v/>
      </c>
      <c r="GV41" s="68">
        <f>IF(OR($U41=0,$F41&lt;&gt;2),0,IF(GU41&gt;0,GU41,IF(ROUND(CW41*$J41,6)&lt;ROUND($M41,6),CW41,0)))</f>
        <v/>
      </c>
      <c r="GW41" s="68">
        <f>IF(OR($U41=0,$F41&lt;&gt;2),0,IF(GV41&gt;0,GV41,IF(ROUND(CX41*$J41,6)&lt;ROUND($M41,6),CX41,0)))</f>
        <v/>
      </c>
      <c r="GX41" s="68">
        <f>IF(OR($U41=0,$F41&lt;&gt;2),0,IF(GW41&gt;0,GW41,IF(ROUND(CY41*$J41,6)&lt;ROUND($M41,6),CY41,0)))</f>
        <v/>
      </c>
      <c r="GY41" s="68">
        <f>IF(OR($U41=0,$F41&lt;&gt;2),0,IF(GX41&gt;0,GX41,IF(ROUND(CZ41*$J41,6)&lt;ROUND($M41,6),CZ41,0)))</f>
        <v/>
      </c>
      <c r="GZ41" s="68">
        <f>IF(OR($U41=0,$F41&lt;&gt;2),0,IF(GY41&gt;0,GY41,IF(ROUND(DA41*$J41,6)&lt;ROUND($M41,6),DA41,0)))</f>
        <v/>
      </c>
      <c r="HA41" s="68">
        <f>IF(OR($U41=0,$F41&lt;&gt;2),0,IF(GZ41&gt;0,GZ41,IF(ROUND(DB41*$J41,6)&lt;ROUND($M41,6),DB41,0)))</f>
        <v/>
      </c>
      <c r="HB41" s="68">
        <f>IF(OR($U41=0,$F41&lt;&gt;2),0,IF(HA41&gt;0,HA41,IF(ROUND(DC41*$J41,6)&lt;ROUND($M41,6),DC41,0)))</f>
        <v/>
      </c>
      <c r="HC41" s="68">
        <f>IF(OR($U41=0,$F41&lt;&gt;2),0,IF(HB41&gt;0,HB41,IF(ROUND(DD41*$J41,6)&lt;ROUND($M41,6),DD41,0)))</f>
        <v/>
      </c>
      <c r="HD41" s="68">
        <f>IF(OR($U41=0,$F41&lt;&gt;2),0,IF(HC41&gt;0,HC41,IF(ROUND(DE41*$J41,6)&lt;ROUND($M41,6),DE41,0)))</f>
        <v/>
      </c>
      <c r="HE41" s="68">
        <f>IF(OR($U41=0,$F41&lt;&gt;2),0,IF(HD41&gt;0,HD41,IF(ROUND(DF41*$J41,6)&lt;ROUND($M41,6),DF41,0)))</f>
        <v/>
      </c>
      <c r="HF41" s="68">
        <f>IF(OR($U41=0,$F41&lt;&gt;2),0,IF(HE41&gt;0,HE41,IF(ROUND(DG41*$J41,6)&lt;ROUND($M41,6),DG41,0)))</f>
        <v/>
      </c>
      <c r="HG41" s="68">
        <f>IF(OR($U41=0,$F41&lt;&gt;2),0,IF(HF41&gt;0,HF41,IF(ROUND(DH41*$J41,6)&lt;ROUND($M41,6),DH41,0)))</f>
        <v/>
      </c>
      <c r="HH41" s="68">
        <f>IF(OR($U41=0,$F41&lt;&gt;2),0,IF(HG41&gt;0,HG41,IF(ROUND(DI41*$J41,6)&lt;ROUND($M41,6),DI41,0)))</f>
        <v/>
      </c>
      <c r="HI41" s="68">
        <f>IF(OR($U41=0,$F41&lt;&gt;2),0,IF(HH41&gt;0,HH41,IF(ROUND(DJ41*$J41,6)&lt;ROUND($M41,6),DJ41,0)))</f>
        <v/>
      </c>
      <c r="HJ41" s="68">
        <f>IF(OR($U41=0,$F41&lt;&gt;2),0,IF(HI41&gt;0,HI41,IF(ROUND(DK41*$J41,6)&lt;ROUND($M41,6),DK41,0)))</f>
        <v/>
      </c>
      <c r="HK41" s="68">
        <f>IF(OR($U41=0,$F41&lt;&gt;2),0,IF(HJ41&gt;0,HJ41,IF(ROUND(DL41*$J41,6)&lt;ROUND($M41,6),DL41,0)))</f>
        <v/>
      </c>
      <c r="HL41" s="68">
        <f>IF(OR($U41=0,$F41&lt;&gt;2),0,IF(HK41&gt;0,HK41,IF(ROUND(DM41*$J41,6)&lt;ROUND($M41,6),DM41,0)))</f>
        <v/>
      </c>
      <c r="HM41" s="68">
        <f>IF(OR($U41=0,$F41&lt;&gt;2),0,IF(HL41&gt;0,HL41,IF(ROUND(DN41*$J41,6)&lt;ROUND($M41,6),DN41,0)))</f>
        <v/>
      </c>
      <c r="HN41" s="68">
        <f>IF(OR($U41=0,$F41&lt;&gt;2),0,IF(HM41&gt;0,HM41,IF(ROUND(DO41*$J41,6)&lt;ROUND($M41,6),DO41,0)))</f>
        <v/>
      </c>
      <c r="HO41" s="68">
        <f>IF(OR($U41=0,$F41&lt;&gt;2),0,IF(HN41&gt;0,HN41,IF(ROUND(DP41*$J41,6)&lt;ROUND($M41,6),DP41,0)))</f>
        <v/>
      </c>
      <c r="HP41" s="68">
        <f>IF(OR($U41=0,$F41&lt;&gt;2),0,IF(HO41&gt;0,HO41,IF(ROUND(DQ41*$J41,6)&lt;ROUND($M41,6),DQ41,0)))</f>
        <v/>
      </c>
      <c r="HQ41" s="68">
        <f>IF(OR($U41=0,$F41&lt;&gt;2),0,IF(HP41&gt;0,HP41,IF(ROUND(DR41*$J41,6)&lt;ROUND($M41,6),DR41,0)))</f>
        <v/>
      </c>
      <c r="HR41" s="68">
        <f>IF(OR($U41=0,$F41&lt;&gt;2),0,IF(HQ41&gt;0,HQ41,IF(ROUND(DS41*$J41,6)&lt;ROUND($M41,6),DS41,0)))</f>
        <v/>
      </c>
      <c r="HS41" s="68">
        <f>IF(OR($U41=0,$F41&lt;&gt;2),0,IF(HR41&gt;0,HR41,IF(ROUND(DT41*$J41,6)&lt;ROUND($M41,6),DT41,0)))</f>
        <v/>
      </c>
      <c r="HT41" s="68">
        <f>IF(OR($U41=0,$F41&lt;&gt;2),0,IF(HS41&gt;0,HS41,IF(ROUND(DU41*$J41,6)&lt;ROUND($M41,6),DU41,0)))</f>
        <v/>
      </c>
      <c r="HU41" s="68">
        <f>IF(OR($U41=0,$F41&lt;&gt;2),0,IF(HT41&gt;0,HT41,IF(ROUND(DV41*$J41,6)&lt;ROUND($M41,6),DV41,0)))</f>
        <v/>
      </c>
      <c r="HV41" s="68">
        <f>IF(OR($U41=0,$F41&lt;&gt;2),0,IF(HU41&gt;0,HU41,IF(ROUND(DW41*$J41,6)&lt;ROUND($M41,6),DW41,0)))</f>
        <v/>
      </c>
      <c r="HW41" s="68">
        <f>IF(OR($U41=0,$F41&lt;&gt;2),0,IF(HV41&gt;0,HV41,IF(ROUND(DX41*$J41,6)&lt;ROUND($M41,6),DX41,0)))</f>
        <v/>
      </c>
      <c r="HX41" s="68">
        <f>IF(OR($U41=0,$F41&lt;&gt;2),0,IF(HW41&gt;0,HW41,IF(ROUND(DY41*$J41,6)&lt;ROUND($M41,6),DY41,0)))</f>
        <v/>
      </c>
      <c r="HY41" s="68">
        <f>IF(OR($U41=0,$F41&lt;&gt;2),0,IF(HX41&gt;0,HX41,IF(ROUND(DZ41*$J41,6)&lt;ROUND($M41,6),DZ41,0)))</f>
        <v/>
      </c>
      <c r="HZ41" s="68">
        <f>IF(OR($U41=0,$F41&lt;&gt;2),0,IF(HY41&gt;0,HY41,IF(ROUND(EA41*$J41,6)&lt;ROUND($M41,6),EA41,0)))</f>
        <v/>
      </c>
      <c r="IA41" s="68">
        <f>IF(OR($U41=0,$F41&lt;&gt;2),0,IF(HZ41&gt;0,HZ41,IF(ROUND(EB41*$J41,6)&lt;ROUND($M41,6),EB41,0)))</f>
        <v/>
      </c>
      <c r="IB41" s="68">
        <f>IF(OR($U41=0,$F41&lt;&gt;2),0,IF(IA41&gt;0,IA41,IF(ROUND(EC41*$J41,6)&lt;ROUND($M41,6),EC41,0)))</f>
        <v/>
      </c>
      <c r="IC41" s="68">
        <f>IF(OR($U41=0,$F41&lt;&gt;2),0,IF(IB41&gt;0,IB41,IF(ROUND(ED41*$J41,6)&lt;ROUND($M41,6),ED41,0)))</f>
        <v/>
      </c>
      <c r="ID41" s="68">
        <f>IF(OR($U41=0,$F41&lt;&gt;2),0,IF(IC41&gt;0,IC41,IF(ROUND(EE41*$J41,6)&lt;ROUND($M41,6),EE41,0)))</f>
        <v/>
      </c>
      <c r="IE41" s="68">
        <f>IF(OR($U41=0,$F41&lt;&gt;2),0,IF(ID41&gt;0,ID41,IF(ROUND(EF41*$J41,6)&lt;ROUND($M41,6),EF41,0)))</f>
        <v/>
      </c>
      <c r="IF41" s="68">
        <f>IF(OR($U41=0,$F41&lt;&gt;2),0,IF(IE41&gt;0,IE41,IF(ROUND(EG41*$J41,6)&lt;ROUND($M41,6),EG41,0)))</f>
        <v/>
      </c>
      <c r="IG41" s="68">
        <f>IF(OR($U41=0,$F41&lt;&gt;2),0,IF(IF41&gt;0,IF41,IF(ROUND(EH41*$J41,6)&lt;ROUND($M41,6),EH41,0)))</f>
        <v/>
      </c>
      <c r="IH41" s="68">
        <f>IF(OR($U41=0,$F41&lt;&gt;2),0,IF(IG41&gt;0,IG41,IF(ROUND(EI41*$J41,6)&lt;ROUND($M41,6),EI41,0)))</f>
        <v/>
      </c>
      <c r="II41" s="68">
        <f>IF(OR($U41=0,$F41&lt;&gt;2),0,IF(IH41&gt;0,IH41,IF(ROUND(EJ41*$J41,6)&lt;ROUND($M41,6),EJ41,0)))</f>
        <v/>
      </c>
      <c r="IJ41" s="68">
        <f>IF(OR($U41=0,$F41&lt;&gt;2),0,IF(II41&gt;0,II41,IF(ROUND(EK41*$J41,6)&lt;ROUND($M41,6),EK41,0)))</f>
        <v/>
      </c>
      <c r="IK41" s="68">
        <f>IF(OR($U41=0,$F41&lt;&gt;2),0,IF(IJ41&gt;0,IJ41,IF(ROUND(EL41*$J41,6)&lt;ROUND($M41,6),EL41,0)))</f>
        <v/>
      </c>
      <c r="IL41" s="68">
        <f>IF(OR($U41=0,$F41&lt;&gt;2),0,IF(IK41&gt;0,IK41,IF(ROUND(EM41*$J41,6)&lt;ROUND($M41,6),EM41,0)))</f>
        <v/>
      </c>
      <c r="IM41" s="68">
        <f>IF(OR($U41=0,$F41&lt;&gt;2),0,IF(IL41&gt;0,IL41,IF(ROUND(EN41*$J41,6)&lt;ROUND($M41,6),EN41,0)))</f>
        <v/>
      </c>
      <c r="IN41" s="68">
        <f>IF(OR($U41=0,$F41&lt;&gt;2),0,IF(IM41&gt;0,IM41,IF(ROUND(EO41*$J41,6)&lt;ROUND($M41,6),EO41,0)))</f>
        <v/>
      </c>
    </row>
    <row r="42">
      <c r="A42" s="68" t="n">
        <v>37</v>
      </c>
      <c r="B42" s="68">
        <f>IF(OR(TRIM('固定資産台帳'!$B42)&lt;&gt;"",'固定資産台帳'!$E42&lt;&gt;"",'固定資産台帳'!$G42&lt;&gt;"",'固定資産台帳'!$H42&lt;&gt;""),1,0)</f>
        <v/>
      </c>
      <c r="C42" s="68">
        <f>IF(ISNUMBER('固定資産台帳'!$G42),MAX(ROUND('固定資産台帳'!$G42,0),0),0)</f>
        <v/>
      </c>
      <c r="D42" s="84">
        <f>IF(ISNUMBER('固定資産台帳'!$E42),INT('固定資産台帳'!$E42),0)</f>
        <v/>
      </c>
      <c r="E42" s="84">
        <f>IF(ISNUMBER('固定資産台帳'!$F42),INT('固定資産台帳'!$F42),$D42)</f>
        <v/>
      </c>
      <c r="F42" s="68">
        <f>IF('固定資産台帳'!$H42="定額法",1,IF(OR('固定資産台帳'!$H42="定率法",'固定資産台帳'!$H42="定率法（200%）",'固定資産台帳'!$H42="定率法（250%）"),2,IF('固定資産台帳'!$H42="一括償却（3年）",3,IF('固定資産台帳'!$H42="少額特例",4,0))))</f>
        <v/>
      </c>
      <c r="G42" s="68">
        <f>IF('固定資産台帳'!$H42="定率法（250%）",250,IF('固定資産台帳'!$H42="定率法（200%）",200,IF($D42&gt;=DATE(2012,4,1),200,250)))</f>
        <v/>
      </c>
      <c r="H42" s="68">
        <f>IF(ISNUMBER('固定資産台帳'!$I42),IF(AND('固定資産台帳'!$I42&gt;=2,'固定資産台帳'!$I42&lt;=100,'固定資産台帳'!$I42=INT('固定資産台帳'!$I42)),'固定資産台帳'!$I42,0),0)</f>
        <v/>
      </c>
      <c r="I42" s="68">
        <f>IF('固定資産台帳'!$C42="無形固定資産",0,1)</f>
        <v/>
      </c>
      <c r="J42" s="68">
        <f>IF(OR($H42=0,$F42=0,$F42&gt;2),0,IF($F42=1,INDEX('償却率表'!$B$6:$B$104,$H42-1),IF($G42=200,INDEX('償却率表'!$C$6:$C$104,$H42-1),INDEX('償却率表'!$F$6:$F$104,$H42-1))))</f>
        <v/>
      </c>
      <c r="K42" s="68">
        <f>IF(AND($F42=2,$H42&gt;0),IF($G42=200,INDEX('償却率表'!$D$6:$D$104,$H42-1),INDEX('償却率表'!$G$6:$G$104,$H42-1)),0)</f>
        <v/>
      </c>
      <c r="L42" s="68">
        <f>IF(AND($F42=2,$H42&gt;0),IF($G42=200,INDEX('償却率表'!$E$6:$E$104,$H42-1),INDEX('償却率表'!$H$6:$H$104,$H42-1)),0)</f>
        <v/>
      </c>
      <c r="M42" s="68">
        <f>$C42*$L42</f>
        <v/>
      </c>
      <c r="N42" s="68">
        <f>IF($B$1=1,1,IF('固定資産台帳'!$J42="",1,IF(ISNUMBER('固定資産台帳'!$J42),IF(AND('固定資産台帳'!$J42&gt;0,'固定資産台帳'!$J42&lt;=1),'固定資産台帳'!$J42,0),0)))</f>
        <v/>
      </c>
      <c r="O42" s="68">
        <f>IF($E42=0,0,YEAR($E42)-IF(MONTH($E42)&lt;$B$2,1,0))</f>
        <v/>
      </c>
      <c r="P42" s="68">
        <f>IF($E42=0,0,12-MOD(MONTH($E42)-$B$2,12))</f>
        <v/>
      </c>
      <c r="Q42" s="84">
        <f>IF(ISNUMBER('固定資産台帳'!$K42),INT('固定資産台帳'!$K42),0)</f>
        <v/>
      </c>
      <c r="R42" s="68">
        <f>IF(OR($Q42=0,$E42=0),999,YEAR($Q42)-IF(MONTH($Q42)&lt;$B$2,1,0)-$O42)</f>
        <v/>
      </c>
      <c r="S42" s="68">
        <f>IF($R42=999,0,MOD(MONTH($Q42)-$B$2,12)+1-IF($R42=0,12-$P42,0))</f>
        <v/>
      </c>
      <c r="T42" s="68">
        <f>IF($B42=0,0,IF($C42&lt;=0,1,IF($D42=0,2,IF($F42=0,3,IF(AND($F42&lt;=2,$H42=0),4,IF(AND($F42&lt;=2,$D42&lt;DATE(2007,4,1)),5,IF($E42&lt;$D42,6,IF(AND($Q42&gt;0,$Q42&lt;$E42),7,IF($N42=0,8,IF($B$3=0,9,0))))))))))</f>
        <v/>
      </c>
      <c r="U42" s="68">
        <f>IF(AND($B42=1,$T42=0),1,0)</f>
        <v/>
      </c>
      <c r="V42" s="68">
        <f>$B$3-$O42</f>
        <v/>
      </c>
      <c r="W42" s="68">
        <f>IF(AND($U42=1,$V42&gt;=0),1,0)</f>
        <v/>
      </c>
      <c r="X42" s="68">
        <f>IF($W42=0,0,IF($V42=0,$C42,INDEX($AS42:$EP42,MIN($V42,102))))</f>
        <v/>
      </c>
      <c r="Y42" s="68">
        <f>IF($W42=0,0,INDEX($AS42:$EP42,MIN($V42,101)+1))</f>
        <v/>
      </c>
      <c r="Z42" s="68">
        <f>$X42-$Y42</f>
        <v/>
      </c>
      <c r="AA42" s="68">
        <f>IF(AND($W42=1,$F42=2,$V42&gt;=1),INDEX($ER42:$IN42,MIN($V42,101)),0)</f>
        <v/>
      </c>
      <c r="AB42" s="68">
        <f>IF(OR($W42=0,$F42&gt;2,$Z42=0),0,IF($V42=0,IF($R42=0,$S42,$P42),IF($V42=$R42,$S42,12)))</f>
        <v/>
      </c>
      <c r="AC42" s="68">
        <f>IF($W42=0,0,INT(ROUND($Z42*$N42,6)+$B$4))</f>
        <v/>
      </c>
      <c r="AD42" s="68">
        <f>IF(AND($W42=1,$F42&lt;=2,$V42=$R42),1,0)</f>
        <v/>
      </c>
      <c r="AE42" s="68">
        <f>IF(AND($W42=1,$F42&lt;=2,$V42&gt;$R42),1,0)</f>
        <v/>
      </c>
      <c r="AF42" s="68">
        <f>IF(AND($W42=1,$AE42=0,OR($Z42&gt;0,$AD42=1)),1,0)</f>
        <v/>
      </c>
      <c r="AG42" s="68">
        <f>IF($AF42=1,SUM($AF$6:$AF42),0)</f>
        <v/>
      </c>
      <c r="AH42" s="68">
        <f>IF($T42=0,"",CHOOSE($T42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42" s="68">
        <f>IF(AND($F42=2,OR('固定資産台帳'!$C42="建物",'固定資産台帳'!$C42="無形固定資産",AND(OR('固定資産台帳'!$C42="建物附属設備",'固定資産台帳'!$C42="構築物"),$D42&gt;=DATE(2016,4,1)))),"この資産は定額法だけです（定率法は使えません）。","")&amp;IF(AND($F42=3,$C42&gt;=200000),"一括償却は20万円未満の資産だけです。","")&amp;IF(AND($F42=3,$B$1=0,$C42&lt;100000),"10万円未満は一括償却にせず、全額をその年の経費にします。","")&amp;IF(AND($F42=4,$C42&lt;100000),"10万円未満は少額特例ではなく、全額をその年の経費にします。","")&amp;IF(AND($F42=4,$D42&lt;DATE(2026,4,1),$C42&gt;=300000),"2026年3月31日までの取得で少額特例が使えるのは30万円未満です。","")&amp;IF(AND($F42=4,$D42&gt;=DATE(2026,4,1),$C42&gt;=400000),"少額特例は40万円未満の資産だけです。","")&amp;IF(AND($F42=4,OR($D42&lt;DATE(2006,4,1),$D42&gt;DATE(2029,3,31))),"少額特例は2006年4月1日〜2029年3月31日に取得した資産だけです。","")&amp;IF(AND($F42=2,$G42=250,$D42&gt;DATE(2012,12,31)),"250%定率法は2012年12月31日までの取得だけです。","")</f>
        <v/>
      </c>
      <c r="AJ42" s="68">
        <f>IF(AND($F42=2,'固定資産台帳'!$H42="定率法（200%）",$D42&lt;DATE(2012,4,1)),"2012年3月31日までの取得に200%を使うのは、経過措置の届出をした場合です。","")&amp;IF(AND($F42=2,'固定資産台帳'!$H42="定率法（250%）",$D42&gt;=DATE(2012,4,1),$D42&lt;=DATE(2012,12,31)),"2012年4〜12月の取得に250%を使うのは、経過措置を選んだ場合です。","")</f>
        <v/>
      </c>
      <c r="AK42" s="68">
        <f>IF($U42=0,"",IF($V42&lt;0,"表示している年より後に使い始める資産です。",IF($AE42=1,"売却・除却済みです。",IF($AD42=1,"この年に売却・除却。期末の帳簿価額 "&amp;TEXT($Y42,"#,##0")&amp;"円を帳簿から外します。",IF($F42=4,IF($V42=0,"少額特例：この年に全額を経費にします。","少額特例で経費にした資産です。"),IF($F42=3,IF($V42&gt;2,"一括償却は終わっています。","一括償却 "&amp;($V42+1)&amp;"年目（3年のうち）。"),IF($Z42=0,"償却済み（帳簿価額 "&amp;TEXT($Y42,"#,##0")&amp;"円）。",IF($AA42&gt;0,"改定償却率で計算（改定取得価額 "&amp;TEXT($AA42,"#,##0")&amp;"円）。",IF($V42=0,"この年に使い始め（"&amp;$AB42&amp;"か月分）。","")))))))))</f>
        <v/>
      </c>
      <c r="AL42" s="68">
        <f>IF(AND($U42=1,$F42=4,$V42=0),$C42,0)</f>
        <v/>
      </c>
      <c r="AM42" s="68">
        <f>IF($F42=2,INT(ROUND($M42,6)+$B$4),0)</f>
        <v/>
      </c>
      <c r="AN42" s="68">
        <f>IF($W42=0,0,IF($F42=2,IF($AA42&gt;0,$AA42,$X42),$C42))</f>
        <v/>
      </c>
      <c r="AO42" s="68">
        <f>IF($W42=0,"",IF($F42=3,"1/3",IF($F42=4,"―",IF($AA42&gt;0,$K42,$J42))))</f>
        <v/>
      </c>
      <c r="AP42" s="68" t="n"/>
      <c r="AQ42" s="68" t="n"/>
      <c r="AR42" s="68" t="n"/>
      <c r="AS42" s="68">
        <f>IF($U42=0,0,IF($F42=4,0,IF($F42=3,MAX($C42-INT(ROUND($C42/3,6)+$B$4),0),$C42-MIN(INT(ROUND($C42*$J42*IF($R42=0,$S42,$P42)/12,6)+$B$4),MAX($C42-$I42,0)))))</f>
        <v/>
      </c>
      <c r="AT42" s="68">
        <f>IF($U42=0,0,IF($F42=4,0,IF($F42=3,AS42-MIN(INT(ROUND($C42/3,6)+$B$4),AS42),IF(OR(1&gt;$R42,AS42&lt;=$I42),AS42,AS42-MIN(INT(ROUND(IF($F42=1,$C42*$J42,IF(ER42&gt;0,ER42*$K42,AS42*$J42))*IF(1=$R42,$S42,12)/12,6)+$B$4),AS42-$I42)))))</f>
        <v/>
      </c>
      <c r="AU42" s="68">
        <f>IF($U42=0,0,IF($F42=4,0,IF($F42=3,0,IF(OR(2&gt;$R42,AT42&lt;=$I42),AT42,AT42-MIN(INT(ROUND(IF($F42=1,$C42*$J42,IF(ES42&gt;0,ES42*$K42,AT42*$J42))*IF(2=$R42,$S42,12)/12,6)+$B$4),AT42-$I42)))))</f>
        <v/>
      </c>
      <c r="AV42" s="68">
        <f>IF($U42=0,0,IF($F42=4,0,IF($F42=3,0,IF(OR(3&gt;$R42,AU42&lt;=$I42),AU42,AU42-MIN(INT(ROUND(IF($F42=1,$C42*$J42,IF(ET42&gt;0,ET42*$K42,AU42*$J42))*IF(3=$R42,$S42,12)/12,6)+$B$4),AU42-$I42)))))</f>
        <v/>
      </c>
      <c r="AW42" s="68">
        <f>IF($U42=0,0,IF($F42=4,0,IF($F42=3,0,IF(OR(4&gt;$R42,AV42&lt;=$I42),AV42,AV42-MIN(INT(ROUND(IF($F42=1,$C42*$J42,IF(EU42&gt;0,EU42*$K42,AV42*$J42))*IF(4=$R42,$S42,12)/12,6)+$B$4),AV42-$I42)))))</f>
        <v/>
      </c>
      <c r="AX42" s="68">
        <f>IF($U42=0,0,IF($F42=4,0,IF($F42=3,0,IF(OR(5&gt;$R42,AW42&lt;=$I42),AW42,AW42-MIN(INT(ROUND(IF($F42=1,$C42*$J42,IF(EV42&gt;0,EV42*$K42,AW42*$J42))*IF(5=$R42,$S42,12)/12,6)+$B$4),AW42-$I42)))))</f>
        <v/>
      </c>
      <c r="AY42" s="68">
        <f>IF($U42=0,0,IF($F42=4,0,IF($F42=3,0,IF(OR(6&gt;$R42,AX42&lt;=$I42),AX42,AX42-MIN(INT(ROUND(IF($F42=1,$C42*$J42,IF(EW42&gt;0,EW42*$K42,AX42*$J42))*IF(6=$R42,$S42,12)/12,6)+$B$4),AX42-$I42)))))</f>
        <v/>
      </c>
      <c r="AZ42" s="68">
        <f>IF($U42=0,0,IF($F42=4,0,IF($F42=3,0,IF(OR(7&gt;$R42,AY42&lt;=$I42),AY42,AY42-MIN(INT(ROUND(IF($F42=1,$C42*$J42,IF(EX42&gt;0,EX42*$K42,AY42*$J42))*IF(7=$R42,$S42,12)/12,6)+$B$4),AY42-$I42)))))</f>
        <v/>
      </c>
      <c r="BA42" s="68">
        <f>IF($U42=0,0,IF($F42=4,0,IF($F42=3,0,IF(OR(8&gt;$R42,AZ42&lt;=$I42),AZ42,AZ42-MIN(INT(ROUND(IF($F42=1,$C42*$J42,IF(EY42&gt;0,EY42*$K42,AZ42*$J42))*IF(8=$R42,$S42,12)/12,6)+$B$4),AZ42-$I42)))))</f>
        <v/>
      </c>
      <c r="BB42" s="68">
        <f>IF($U42=0,0,IF($F42=4,0,IF($F42=3,0,IF(OR(9&gt;$R42,BA42&lt;=$I42),BA42,BA42-MIN(INT(ROUND(IF($F42=1,$C42*$J42,IF(EZ42&gt;0,EZ42*$K42,BA42*$J42))*IF(9=$R42,$S42,12)/12,6)+$B$4),BA42-$I42)))))</f>
        <v/>
      </c>
      <c r="BC42" s="68">
        <f>IF($U42=0,0,IF($F42=4,0,IF($F42=3,0,IF(OR(10&gt;$R42,BB42&lt;=$I42),BB42,BB42-MIN(INT(ROUND(IF($F42=1,$C42*$J42,IF(FA42&gt;0,FA42*$K42,BB42*$J42))*IF(10=$R42,$S42,12)/12,6)+$B$4),BB42-$I42)))))</f>
        <v/>
      </c>
      <c r="BD42" s="68">
        <f>IF($U42=0,0,IF($F42=4,0,IF($F42=3,0,IF(OR(11&gt;$R42,BC42&lt;=$I42),BC42,BC42-MIN(INT(ROUND(IF($F42=1,$C42*$J42,IF(FB42&gt;0,FB42*$K42,BC42*$J42))*IF(11=$R42,$S42,12)/12,6)+$B$4),BC42-$I42)))))</f>
        <v/>
      </c>
      <c r="BE42" s="68">
        <f>IF($U42=0,0,IF($F42=4,0,IF($F42=3,0,IF(OR(12&gt;$R42,BD42&lt;=$I42),BD42,BD42-MIN(INT(ROUND(IF($F42=1,$C42*$J42,IF(FC42&gt;0,FC42*$K42,BD42*$J42))*IF(12=$R42,$S42,12)/12,6)+$B$4),BD42-$I42)))))</f>
        <v/>
      </c>
      <c r="BF42" s="68">
        <f>IF($U42=0,0,IF($F42=4,0,IF($F42=3,0,IF(OR(13&gt;$R42,BE42&lt;=$I42),BE42,BE42-MIN(INT(ROUND(IF($F42=1,$C42*$J42,IF(FD42&gt;0,FD42*$K42,BE42*$J42))*IF(13=$R42,$S42,12)/12,6)+$B$4),BE42-$I42)))))</f>
        <v/>
      </c>
      <c r="BG42" s="68">
        <f>IF($U42=0,0,IF($F42=4,0,IF($F42=3,0,IF(OR(14&gt;$R42,BF42&lt;=$I42),BF42,BF42-MIN(INT(ROUND(IF($F42=1,$C42*$J42,IF(FE42&gt;0,FE42*$K42,BF42*$J42))*IF(14=$R42,$S42,12)/12,6)+$B$4),BF42-$I42)))))</f>
        <v/>
      </c>
      <c r="BH42" s="68">
        <f>IF($U42=0,0,IF($F42=4,0,IF($F42=3,0,IF(OR(15&gt;$R42,BG42&lt;=$I42),BG42,BG42-MIN(INT(ROUND(IF($F42=1,$C42*$J42,IF(FF42&gt;0,FF42*$K42,BG42*$J42))*IF(15=$R42,$S42,12)/12,6)+$B$4),BG42-$I42)))))</f>
        <v/>
      </c>
      <c r="BI42" s="68">
        <f>IF($U42=0,0,IF($F42=4,0,IF($F42=3,0,IF(OR(16&gt;$R42,BH42&lt;=$I42),BH42,BH42-MIN(INT(ROUND(IF($F42=1,$C42*$J42,IF(FG42&gt;0,FG42*$K42,BH42*$J42))*IF(16=$R42,$S42,12)/12,6)+$B$4),BH42-$I42)))))</f>
        <v/>
      </c>
      <c r="BJ42" s="68">
        <f>IF($U42=0,0,IF($F42=4,0,IF($F42=3,0,IF(OR(17&gt;$R42,BI42&lt;=$I42),BI42,BI42-MIN(INT(ROUND(IF($F42=1,$C42*$J42,IF(FH42&gt;0,FH42*$K42,BI42*$J42))*IF(17=$R42,$S42,12)/12,6)+$B$4),BI42-$I42)))))</f>
        <v/>
      </c>
      <c r="BK42" s="68">
        <f>IF($U42=0,0,IF($F42=4,0,IF($F42=3,0,IF(OR(18&gt;$R42,BJ42&lt;=$I42),BJ42,BJ42-MIN(INT(ROUND(IF($F42=1,$C42*$J42,IF(FI42&gt;0,FI42*$K42,BJ42*$J42))*IF(18=$R42,$S42,12)/12,6)+$B$4),BJ42-$I42)))))</f>
        <v/>
      </c>
      <c r="BL42" s="68">
        <f>IF($U42=0,0,IF($F42=4,0,IF($F42=3,0,IF(OR(19&gt;$R42,BK42&lt;=$I42),BK42,BK42-MIN(INT(ROUND(IF($F42=1,$C42*$J42,IF(FJ42&gt;0,FJ42*$K42,BK42*$J42))*IF(19=$R42,$S42,12)/12,6)+$B$4),BK42-$I42)))))</f>
        <v/>
      </c>
      <c r="BM42" s="68">
        <f>IF($U42=0,0,IF($F42=4,0,IF($F42=3,0,IF(OR(20&gt;$R42,BL42&lt;=$I42),BL42,BL42-MIN(INT(ROUND(IF($F42=1,$C42*$J42,IF(FK42&gt;0,FK42*$K42,BL42*$J42))*IF(20=$R42,$S42,12)/12,6)+$B$4),BL42-$I42)))))</f>
        <v/>
      </c>
      <c r="BN42" s="68">
        <f>IF($U42=0,0,IF($F42=4,0,IF($F42=3,0,IF(OR(21&gt;$R42,BM42&lt;=$I42),BM42,BM42-MIN(INT(ROUND(IF($F42=1,$C42*$J42,IF(FL42&gt;0,FL42*$K42,BM42*$J42))*IF(21=$R42,$S42,12)/12,6)+$B$4),BM42-$I42)))))</f>
        <v/>
      </c>
      <c r="BO42" s="68">
        <f>IF($U42=0,0,IF($F42=4,0,IF($F42=3,0,IF(OR(22&gt;$R42,BN42&lt;=$I42),BN42,BN42-MIN(INT(ROUND(IF($F42=1,$C42*$J42,IF(FM42&gt;0,FM42*$K42,BN42*$J42))*IF(22=$R42,$S42,12)/12,6)+$B$4),BN42-$I42)))))</f>
        <v/>
      </c>
      <c r="BP42" s="68">
        <f>IF($U42=0,0,IF($F42=4,0,IF($F42=3,0,IF(OR(23&gt;$R42,BO42&lt;=$I42),BO42,BO42-MIN(INT(ROUND(IF($F42=1,$C42*$J42,IF(FN42&gt;0,FN42*$K42,BO42*$J42))*IF(23=$R42,$S42,12)/12,6)+$B$4),BO42-$I42)))))</f>
        <v/>
      </c>
      <c r="BQ42" s="68">
        <f>IF($U42=0,0,IF($F42=4,0,IF($F42=3,0,IF(OR(24&gt;$R42,BP42&lt;=$I42),BP42,BP42-MIN(INT(ROUND(IF($F42=1,$C42*$J42,IF(FO42&gt;0,FO42*$K42,BP42*$J42))*IF(24=$R42,$S42,12)/12,6)+$B$4),BP42-$I42)))))</f>
        <v/>
      </c>
      <c r="BR42" s="68">
        <f>IF($U42=0,0,IF($F42=4,0,IF($F42=3,0,IF(OR(25&gt;$R42,BQ42&lt;=$I42),BQ42,BQ42-MIN(INT(ROUND(IF($F42=1,$C42*$J42,IF(FP42&gt;0,FP42*$K42,BQ42*$J42))*IF(25=$R42,$S42,12)/12,6)+$B$4),BQ42-$I42)))))</f>
        <v/>
      </c>
      <c r="BS42" s="68">
        <f>IF($U42=0,0,IF($F42=4,0,IF($F42=3,0,IF(OR(26&gt;$R42,BR42&lt;=$I42),BR42,BR42-MIN(INT(ROUND(IF($F42=1,$C42*$J42,IF(FQ42&gt;0,FQ42*$K42,BR42*$J42))*IF(26=$R42,$S42,12)/12,6)+$B$4),BR42-$I42)))))</f>
        <v/>
      </c>
      <c r="BT42" s="68">
        <f>IF($U42=0,0,IF($F42=4,0,IF($F42=3,0,IF(OR(27&gt;$R42,BS42&lt;=$I42),BS42,BS42-MIN(INT(ROUND(IF($F42=1,$C42*$J42,IF(FR42&gt;0,FR42*$K42,BS42*$J42))*IF(27=$R42,$S42,12)/12,6)+$B$4),BS42-$I42)))))</f>
        <v/>
      </c>
      <c r="BU42" s="68">
        <f>IF($U42=0,0,IF($F42=4,0,IF($F42=3,0,IF(OR(28&gt;$R42,BT42&lt;=$I42),BT42,BT42-MIN(INT(ROUND(IF($F42=1,$C42*$J42,IF(FS42&gt;0,FS42*$K42,BT42*$J42))*IF(28=$R42,$S42,12)/12,6)+$B$4),BT42-$I42)))))</f>
        <v/>
      </c>
      <c r="BV42" s="68">
        <f>IF($U42=0,0,IF($F42=4,0,IF($F42=3,0,IF(OR(29&gt;$R42,BU42&lt;=$I42),BU42,BU42-MIN(INT(ROUND(IF($F42=1,$C42*$J42,IF(FT42&gt;0,FT42*$K42,BU42*$J42))*IF(29=$R42,$S42,12)/12,6)+$B$4),BU42-$I42)))))</f>
        <v/>
      </c>
      <c r="BW42" s="68">
        <f>IF($U42=0,0,IF($F42=4,0,IF($F42=3,0,IF(OR(30&gt;$R42,BV42&lt;=$I42),BV42,BV42-MIN(INT(ROUND(IF($F42=1,$C42*$J42,IF(FU42&gt;0,FU42*$K42,BV42*$J42))*IF(30=$R42,$S42,12)/12,6)+$B$4),BV42-$I42)))))</f>
        <v/>
      </c>
      <c r="BX42" s="68">
        <f>IF($U42=0,0,IF($F42=4,0,IF($F42=3,0,IF(OR(31&gt;$R42,BW42&lt;=$I42),BW42,BW42-MIN(INT(ROUND(IF($F42=1,$C42*$J42,IF(FV42&gt;0,FV42*$K42,BW42*$J42))*IF(31=$R42,$S42,12)/12,6)+$B$4),BW42-$I42)))))</f>
        <v/>
      </c>
      <c r="BY42" s="68">
        <f>IF($U42=0,0,IF($F42=4,0,IF($F42=3,0,IF(OR(32&gt;$R42,BX42&lt;=$I42),BX42,BX42-MIN(INT(ROUND(IF($F42=1,$C42*$J42,IF(FW42&gt;0,FW42*$K42,BX42*$J42))*IF(32=$R42,$S42,12)/12,6)+$B$4),BX42-$I42)))))</f>
        <v/>
      </c>
      <c r="BZ42" s="68">
        <f>IF($U42=0,0,IF($F42=4,0,IF($F42=3,0,IF(OR(33&gt;$R42,BY42&lt;=$I42),BY42,BY42-MIN(INT(ROUND(IF($F42=1,$C42*$J42,IF(FX42&gt;0,FX42*$K42,BY42*$J42))*IF(33=$R42,$S42,12)/12,6)+$B$4),BY42-$I42)))))</f>
        <v/>
      </c>
      <c r="CA42" s="68">
        <f>IF($U42=0,0,IF($F42=4,0,IF($F42=3,0,IF(OR(34&gt;$R42,BZ42&lt;=$I42),BZ42,BZ42-MIN(INT(ROUND(IF($F42=1,$C42*$J42,IF(FY42&gt;0,FY42*$K42,BZ42*$J42))*IF(34=$R42,$S42,12)/12,6)+$B$4),BZ42-$I42)))))</f>
        <v/>
      </c>
      <c r="CB42" s="68">
        <f>IF($U42=0,0,IF($F42=4,0,IF($F42=3,0,IF(OR(35&gt;$R42,CA42&lt;=$I42),CA42,CA42-MIN(INT(ROUND(IF($F42=1,$C42*$J42,IF(FZ42&gt;0,FZ42*$K42,CA42*$J42))*IF(35=$R42,$S42,12)/12,6)+$B$4),CA42-$I42)))))</f>
        <v/>
      </c>
      <c r="CC42" s="68">
        <f>IF($U42=0,0,IF($F42=4,0,IF($F42=3,0,IF(OR(36&gt;$R42,CB42&lt;=$I42),CB42,CB42-MIN(INT(ROUND(IF($F42=1,$C42*$J42,IF(GA42&gt;0,GA42*$K42,CB42*$J42))*IF(36=$R42,$S42,12)/12,6)+$B$4),CB42-$I42)))))</f>
        <v/>
      </c>
      <c r="CD42" s="68">
        <f>IF($U42=0,0,IF($F42=4,0,IF($F42=3,0,IF(OR(37&gt;$R42,CC42&lt;=$I42),CC42,CC42-MIN(INT(ROUND(IF($F42=1,$C42*$J42,IF(GB42&gt;0,GB42*$K42,CC42*$J42))*IF(37=$R42,$S42,12)/12,6)+$B$4),CC42-$I42)))))</f>
        <v/>
      </c>
      <c r="CE42" s="68">
        <f>IF($U42=0,0,IF($F42=4,0,IF($F42=3,0,IF(OR(38&gt;$R42,CD42&lt;=$I42),CD42,CD42-MIN(INT(ROUND(IF($F42=1,$C42*$J42,IF(GC42&gt;0,GC42*$K42,CD42*$J42))*IF(38=$R42,$S42,12)/12,6)+$B$4),CD42-$I42)))))</f>
        <v/>
      </c>
      <c r="CF42" s="68">
        <f>IF($U42=0,0,IF($F42=4,0,IF($F42=3,0,IF(OR(39&gt;$R42,CE42&lt;=$I42),CE42,CE42-MIN(INT(ROUND(IF($F42=1,$C42*$J42,IF(GD42&gt;0,GD42*$K42,CE42*$J42))*IF(39=$R42,$S42,12)/12,6)+$B$4),CE42-$I42)))))</f>
        <v/>
      </c>
      <c r="CG42" s="68">
        <f>IF($U42=0,0,IF($F42=4,0,IF($F42=3,0,IF(OR(40&gt;$R42,CF42&lt;=$I42),CF42,CF42-MIN(INT(ROUND(IF($F42=1,$C42*$J42,IF(GE42&gt;0,GE42*$K42,CF42*$J42))*IF(40=$R42,$S42,12)/12,6)+$B$4),CF42-$I42)))))</f>
        <v/>
      </c>
      <c r="CH42" s="68">
        <f>IF($U42=0,0,IF($F42=4,0,IF($F42=3,0,IF(OR(41&gt;$R42,CG42&lt;=$I42),CG42,CG42-MIN(INT(ROUND(IF($F42=1,$C42*$J42,IF(GF42&gt;0,GF42*$K42,CG42*$J42))*IF(41=$R42,$S42,12)/12,6)+$B$4),CG42-$I42)))))</f>
        <v/>
      </c>
      <c r="CI42" s="68">
        <f>IF($U42=0,0,IF($F42=4,0,IF($F42=3,0,IF(OR(42&gt;$R42,CH42&lt;=$I42),CH42,CH42-MIN(INT(ROUND(IF($F42=1,$C42*$J42,IF(GG42&gt;0,GG42*$K42,CH42*$J42))*IF(42=$R42,$S42,12)/12,6)+$B$4),CH42-$I42)))))</f>
        <v/>
      </c>
      <c r="CJ42" s="68">
        <f>IF($U42=0,0,IF($F42=4,0,IF($F42=3,0,IF(OR(43&gt;$R42,CI42&lt;=$I42),CI42,CI42-MIN(INT(ROUND(IF($F42=1,$C42*$J42,IF(GH42&gt;0,GH42*$K42,CI42*$J42))*IF(43=$R42,$S42,12)/12,6)+$B$4),CI42-$I42)))))</f>
        <v/>
      </c>
      <c r="CK42" s="68">
        <f>IF($U42=0,0,IF($F42=4,0,IF($F42=3,0,IF(OR(44&gt;$R42,CJ42&lt;=$I42),CJ42,CJ42-MIN(INT(ROUND(IF($F42=1,$C42*$J42,IF(GI42&gt;0,GI42*$K42,CJ42*$J42))*IF(44=$R42,$S42,12)/12,6)+$B$4),CJ42-$I42)))))</f>
        <v/>
      </c>
      <c r="CL42" s="68">
        <f>IF($U42=0,0,IF($F42=4,0,IF($F42=3,0,IF(OR(45&gt;$R42,CK42&lt;=$I42),CK42,CK42-MIN(INT(ROUND(IF($F42=1,$C42*$J42,IF(GJ42&gt;0,GJ42*$K42,CK42*$J42))*IF(45=$R42,$S42,12)/12,6)+$B$4),CK42-$I42)))))</f>
        <v/>
      </c>
      <c r="CM42" s="68">
        <f>IF($U42=0,0,IF($F42=4,0,IF($F42=3,0,IF(OR(46&gt;$R42,CL42&lt;=$I42),CL42,CL42-MIN(INT(ROUND(IF($F42=1,$C42*$J42,IF(GK42&gt;0,GK42*$K42,CL42*$J42))*IF(46=$R42,$S42,12)/12,6)+$B$4),CL42-$I42)))))</f>
        <v/>
      </c>
      <c r="CN42" s="68">
        <f>IF($U42=0,0,IF($F42=4,0,IF($F42=3,0,IF(OR(47&gt;$R42,CM42&lt;=$I42),CM42,CM42-MIN(INT(ROUND(IF($F42=1,$C42*$J42,IF(GL42&gt;0,GL42*$K42,CM42*$J42))*IF(47=$R42,$S42,12)/12,6)+$B$4),CM42-$I42)))))</f>
        <v/>
      </c>
      <c r="CO42" s="68">
        <f>IF($U42=0,0,IF($F42=4,0,IF($F42=3,0,IF(OR(48&gt;$R42,CN42&lt;=$I42),CN42,CN42-MIN(INT(ROUND(IF($F42=1,$C42*$J42,IF(GM42&gt;0,GM42*$K42,CN42*$J42))*IF(48=$R42,$S42,12)/12,6)+$B$4),CN42-$I42)))))</f>
        <v/>
      </c>
      <c r="CP42" s="68">
        <f>IF($U42=0,0,IF($F42=4,0,IF($F42=3,0,IF(OR(49&gt;$R42,CO42&lt;=$I42),CO42,CO42-MIN(INT(ROUND(IF($F42=1,$C42*$J42,IF(GN42&gt;0,GN42*$K42,CO42*$J42))*IF(49=$R42,$S42,12)/12,6)+$B$4),CO42-$I42)))))</f>
        <v/>
      </c>
      <c r="CQ42" s="68">
        <f>IF($U42=0,0,IF($F42=4,0,IF($F42=3,0,IF(OR(50&gt;$R42,CP42&lt;=$I42),CP42,CP42-MIN(INT(ROUND(IF($F42=1,$C42*$J42,IF(GO42&gt;0,GO42*$K42,CP42*$J42))*IF(50=$R42,$S42,12)/12,6)+$B$4),CP42-$I42)))))</f>
        <v/>
      </c>
      <c r="CR42" s="68">
        <f>IF($U42=0,0,IF($F42=4,0,IF($F42=3,0,IF(OR(51&gt;$R42,CQ42&lt;=$I42),CQ42,CQ42-MIN(INT(ROUND(IF($F42=1,$C42*$J42,IF(GP42&gt;0,GP42*$K42,CQ42*$J42))*IF(51=$R42,$S42,12)/12,6)+$B$4),CQ42-$I42)))))</f>
        <v/>
      </c>
      <c r="CS42" s="68">
        <f>IF($U42=0,0,IF($F42=4,0,IF($F42=3,0,IF(OR(52&gt;$R42,CR42&lt;=$I42),CR42,CR42-MIN(INT(ROUND(IF($F42=1,$C42*$J42,IF(GQ42&gt;0,GQ42*$K42,CR42*$J42))*IF(52=$R42,$S42,12)/12,6)+$B$4),CR42-$I42)))))</f>
        <v/>
      </c>
      <c r="CT42" s="68">
        <f>IF($U42=0,0,IF($F42=4,0,IF($F42=3,0,IF(OR(53&gt;$R42,CS42&lt;=$I42),CS42,CS42-MIN(INT(ROUND(IF($F42=1,$C42*$J42,IF(GR42&gt;0,GR42*$K42,CS42*$J42))*IF(53=$R42,$S42,12)/12,6)+$B$4),CS42-$I42)))))</f>
        <v/>
      </c>
      <c r="CU42" s="68">
        <f>IF($U42=0,0,IF($F42=4,0,IF($F42=3,0,IF(OR(54&gt;$R42,CT42&lt;=$I42),CT42,CT42-MIN(INT(ROUND(IF($F42=1,$C42*$J42,IF(GS42&gt;0,GS42*$K42,CT42*$J42))*IF(54=$R42,$S42,12)/12,6)+$B$4),CT42-$I42)))))</f>
        <v/>
      </c>
      <c r="CV42" s="68">
        <f>IF($U42=0,0,IF($F42=4,0,IF($F42=3,0,IF(OR(55&gt;$R42,CU42&lt;=$I42),CU42,CU42-MIN(INT(ROUND(IF($F42=1,$C42*$J42,IF(GT42&gt;0,GT42*$K42,CU42*$J42))*IF(55=$R42,$S42,12)/12,6)+$B$4),CU42-$I42)))))</f>
        <v/>
      </c>
      <c r="CW42" s="68">
        <f>IF($U42=0,0,IF($F42=4,0,IF($F42=3,0,IF(OR(56&gt;$R42,CV42&lt;=$I42),CV42,CV42-MIN(INT(ROUND(IF($F42=1,$C42*$J42,IF(GU42&gt;0,GU42*$K42,CV42*$J42))*IF(56=$R42,$S42,12)/12,6)+$B$4),CV42-$I42)))))</f>
        <v/>
      </c>
      <c r="CX42" s="68">
        <f>IF($U42=0,0,IF($F42=4,0,IF($F42=3,0,IF(OR(57&gt;$R42,CW42&lt;=$I42),CW42,CW42-MIN(INT(ROUND(IF($F42=1,$C42*$J42,IF(GV42&gt;0,GV42*$K42,CW42*$J42))*IF(57=$R42,$S42,12)/12,6)+$B$4),CW42-$I42)))))</f>
        <v/>
      </c>
      <c r="CY42" s="68">
        <f>IF($U42=0,0,IF($F42=4,0,IF($F42=3,0,IF(OR(58&gt;$R42,CX42&lt;=$I42),CX42,CX42-MIN(INT(ROUND(IF($F42=1,$C42*$J42,IF(GW42&gt;0,GW42*$K42,CX42*$J42))*IF(58=$R42,$S42,12)/12,6)+$B$4),CX42-$I42)))))</f>
        <v/>
      </c>
      <c r="CZ42" s="68">
        <f>IF($U42=0,0,IF($F42=4,0,IF($F42=3,0,IF(OR(59&gt;$R42,CY42&lt;=$I42),CY42,CY42-MIN(INT(ROUND(IF($F42=1,$C42*$J42,IF(GX42&gt;0,GX42*$K42,CY42*$J42))*IF(59=$R42,$S42,12)/12,6)+$B$4),CY42-$I42)))))</f>
        <v/>
      </c>
      <c r="DA42" s="68">
        <f>IF($U42=0,0,IF($F42=4,0,IF($F42=3,0,IF(OR(60&gt;$R42,CZ42&lt;=$I42),CZ42,CZ42-MIN(INT(ROUND(IF($F42=1,$C42*$J42,IF(GY42&gt;0,GY42*$K42,CZ42*$J42))*IF(60=$R42,$S42,12)/12,6)+$B$4),CZ42-$I42)))))</f>
        <v/>
      </c>
      <c r="DB42" s="68">
        <f>IF($U42=0,0,IF($F42=4,0,IF($F42=3,0,IF(OR(61&gt;$R42,DA42&lt;=$I42),DA42,DA42-MIN(INT(ROUND(IF($F42=1,$C42*$J42,IF(GZ42&gt;0,GZ42*$K42,DA42*$J42))*IF(61=$R42,$S42,12)/12,6)+$B$4),DA42-$I42)))))</f>
        <v/>
      </c>
      <c r="DC42" s="68">
        <f>IF($U42=0,0,IF($F42=4,0,IF($F42=3,0,IF(OR(62&gt;$R42,DB42&lt;=$I42),DB42,DB42-MIN(INT(ROUND(IF($F42=1,$C42*$J42,IF(HA42&gt;0,HA42*$K42,DB42*$J42))*IF(62=$R42,$S42,12)/12,6)+$B$4),DB42-$I42)))))</f>
        <v/>
      </c>
      <c r="DD42" s="68">
        <f>IF($U42=0,0,IF($F42=4,0,IF($F42=3,0,IF(OR(63&gt;$R42,DC42&lt;=$I42),DC42,DC42-MIN(INT(ROUND(IF($F42=1,$C42*$J42,IF(HB42&gt;0,HB42*$K42,DC42*$J42))*IF(63=$R42,$S42,12)/12,6)+$B$4),DC42-$I42)))))</f>
        <v/>
      </c>
      <c r="DE42" s="68">
        <f>IF($U42=0,0,IF($F42=4,0,IF($F42=3,0,IF(OR(64&gt;$R42,DD42&lt;=$I42),DD42,DD42-MIN(INT(ROUND(IF($F42=1,$C42*$J42,IF(HC42&gt;0,HC42*$K42,DD42*$J42))*IF(64=$R42,$S42,12)/12,6)+$B$4),DD42-$I42)))))</f>
        <v/>
      </c>
      <c r="DF42" s="68">
        <f>IF($U42=0,0,IF($F42=4,0,IF($F42=3,0,IF(OR(65&gt;$R42,DE42&lt;=$I42),DE42,DE42-MIN(INT(ROUND(IF($F42=1,$C42*$J42,IF(HD42&gt;0,HD42*$K42,DE42*$J42))*IF(65=$R42,$S42,12)/12,6)+$B$4),DE42-$I42)))))</f>
        <v/>
      </c>
      <c r="DG42" s="68">
        <f>IF($U42=0,0,IF($F42=4,0,IF($F42=3,0,IF(OR(66&gt;$R42,DF42&lt;=$I42),DF42,DF42-MIN(INT(ROUND(IF($F42=1,$C42*$J42,IF(HE42&gt;0,HE42*$K42,DF42*$J42))*IF(66=$R42,$S42,12)/12,6)+$B$4),DF42-$I42)))))</f>
        <v/>
      </c>
      <c r="DH42" s="68">
        <f>IF($U42=0,0,IF($F42=4,0,IF($F42=3,0,IF(OR(67&gt;$R42,DG42&lt;=$I42),DG42,DG42-MIN(INT(ROUND(IF($F42=1,$C42*$J42,IF(HF42&gt;0,HF42*$K42,DG42*$J42))*IF(67=$R42,$S42,12)/12,6)+$B$4),DG42-$I42)))))</f>
        <v/>
      </c>
      <c r="DI42" s="68">
        <f>IF($U42=0,0,IF($F42=4,0,IF($F42=3,0,IF(OR(68&gt;$R42,DH42&lt;=$I42),DH42,DH42-MIN(INT(ROUND(IF($F42=1,$C42*$J42,IF(HG42&gt;0,HG42*$K42,DH42*$J42))*IF(68=$R42,$S42,12)/12,6)+$B$4),DH42-$I42)))))</f>
        <v/>
      </c>
      <c r="DJ42" s="68">
        <f>IF($U42=0,0,IF($F42=4,0,IF($F42=3,0,IF(OR(69&gt;$R42,DI42&lt;=$I42),DI42,DI42-MIN(INT(ROUND(IF($F42=1,$C42*$J42,IF(HH42&gt;0,HH42*$K42,DI42*$J42))*IF(69=$R42,$S42,12)/12,6)+$B$4),DI42-$I42)))))</f>
        <v/>
      </c>
      <c r="DK42" s="68">
        <f>IF($U42=0,0,IF($F42=4,0,IF($F42=3,0,IF(OR(70&gt;$R42,DJ42&lt;=$I42),DJ42,DJ42-MIN(INT(ROUND(IF($F42=1,$C42*$J42,IF(HI42&gt;0,HI42*$K42,DJ42*$J42))*IF(70=$R42,$S42,12)/12,6)+$B$4),DJ42-$I42)))))</f>
        <v/>
      </c>
      <c r="DL42" s="68">
        <f>IF($U42=0,0,IF($F42=4,0,IF($F42=3,0,IF(OR(71&gt;$R42,DK42&lt;=$I42),DK42,DK42-MIN(INT(ROUND(IF($F42=1,$C42*$J42,IF(HJ42&gt;0,HJ42*$K42,DK42*$J42))*IF(71=$R42,$S42,12)/12,6)+$B$4),DK42-$I42)))))</f>
        <v/>
      </c>
      <c r="DM42" s="68">
        <f>IF($U42=0,0,IF($F42=4,0,IF($F42=3,0,IF(OR(72&gt;$R42,DL42&lt;=$I42),DL42,DL42-MIN(INT(ROUND(IF($F42=1,$C42*$J42,IF(HK42&gt;0,HK42*$K42,DL42*$J42))*IF(72=$R42,$S42,12)/12,6)+$B$4),DL42-$I42)))))</f>
        <v/>
      </c>
      <c r="DN42" s="68">
        <f>IF($U42=0,0,IF($F42=4,0,IF($F42=3,0,IF(OR(73&gt;$R42,DM42&lt;=$I42),DM42,DM42-MIN(INT(ROUND(IF($F42=1,$C42*$J42,IF(HL42&gt;0,HL42*$K42,DM42*$J42))*IF(73=$R42,$S42,12)/12,6)+$B$4),DM42-$I42)))))</f>
        <v/>
      </c>
      <c r="DO42" s="68">
        <f>IF($U42=0,0,IF($F42=4,0,IF($F42=3,0,IF(OR(74&gt;$R42,DN42&lt;=$I42),DN42,DN42-MIN(INT(ROUND(IF($F42=1,$C42*$J42,IF(HM42&gt;0,HM42*$K42,DN42*$J42))*IF(74=$R42,$S42,12)/12,6)+$B$4),DN42-$I42)))))</f>
        <v/>
      </c>
      <c r="DP42" s="68">
        <f>IF($U42=0,0,IF($F42=4,0,IF($F42=3,0,IF(OR(75&gt;$R42,DO42&lt;=$I42),DO42,DO42-MIN(INT(ROUND(IF($F42=1,$C42*$J42,IF(HN42&gt;0,HN42*$K42,DO42*$J42))*IF(75=$R42,$S42,12)/12,6)+$B$4),DO42-$I42)))))</f>
        <v/>
      </c>
      <c r="DQ42" s="68">
        <f>IF($U42=0,0,IF($F42=4,0,IF($F42=3,0,IF(OR(76&gt;$R42,DP42&lt;=$I42),DP42,DP42-MIN(INT(ROUND(IF($F42=1,$C42*$J42,IF(HO42&gt;0,HO42*$K42,DP42*$J42))*IF(76=$R42,$S42,12)/12,6)+$B$4),DP42-$I42)))))</f>
        <v/>
      </c>
      <c r="DR42" s="68">
        <f>IF($U42=0,0,IF($F42=4,0,IF($F42=3,0,IF(OR(77&gt;$R42,DQ42&lt;=$I42),DQ42,DQ42-MIN(INT(ROUND(IF($F42=1,$C42*$J42,IF(HP42&gt;0,HP42*$K42,DQ42*$J42))*IF(77=$R42,$S42,12)/12,6)+$B$4),DQ42-$I42)))))</f>
        <v/>
      </c>
      <c r="DS42" s="68">
        <f>IF($U42=0,0,IF($F42=4,0,IF($F42=3,0,IF(OR(78&gt;$R42,DR42&lt;=$I42),DR42,DR42-MIN(INT(ROUND(IF($F42=1,$C42*$J42,IF(HQ42&gt;0,HQ42*$K42,DR42*$J42))*IF(78=$R42,$S42,12)/12,6)+$B$4),DR42-$I42)))))</f>
        <v/>
      </c>
      <c r="DT42" s="68">
        <f>IF($U42=0,0,IF($F42=4,0,IF($F42=3,0,IF(OR(79&gt;$R42,DS42&lt;=$I42),DS42,DS42-MIN(INT(ROUND(IF($F42=1,$C42*$J42,IF(HR42&gt;0,HR42*$K42,DS42*$J42))*IF(79=$R42,$S42,12)/12,6)+$B$4),DS42-$I42)))))</f>
        <v/>
      </c>
      <c r="DU42" s="68">
        <f>IF($U42=0,0,IF($F42=4,0,IF($F42=3,0,IF(OR(80&gt;$R42,DT42&lt;=$I42),DT42,DT42-MIN(INT(ROUND(IF($F42=1,$C42*$J42,IF(HS42&gt;0,HS42*$K42,DT42*$J42))*IF(80=$R42,$S42,12)/12,6)+$B$4),DT42-$I42)))))</f>
        <v/>
      </c>
      <c r="DV42" s="68">
        <f>IF($U42=0,0,IF($F42=4,0,IF($F42=3,0,IF(OR(81&gt;$R42,DU42&lt;=$I42),DU42,DU42-MIN(INT(ROUND(IF($F42=1,$C42*$J42,IF(HT42&gt;0,HT42*$K42,DU42*$J42))*IF(81=$R42,$S42,12)/12,6)+$B$4),DU42-$I42)))))</f>
        <v/>
      </c>
      <c r="DW42" s="68">
        <f>IF($U42=0,0,IF($F42=4,0,IF($F42=3,0,IF(OR(82&gt;$R42,DV42&lt;=$I42),DV42,DV42-MIN(INT(ROUND(IF($F42=1,$C42*$J42,IF(HU42&gt;0,HU42*$K42,DV42*$J42))*IF(82=$R42,$S42,12)/12,6)+$B$4),DV42-$I42)))))</f>
        <v/>
      </c>
      <c r="DX42" s="68">
        <f>IF($U42=0,0,IF($F42=4,0,IF($F42=3,0,IF(OR(83&gt;$R42,DW42&lt;=$I42),DW42,DW42-MIN(INT(ROUND(IF($F42=1,$C42*$J42,IF(HV42&gt;0,HV42*$K42,DW42*$J42))*IF(83=$R42,$S42,12)/12,6)+$B$4),DW42-$I42)))))</f>
        <v/>
      </c>
      <c r="DY42" s="68">
        <f>IF($U42=0,0,IF($F42=4,0,IF($F42=3,0,IF(OR(84&gt;$R42,DX42&lt;=$I42),DX42,DX42-MIN(INT(ROUND(IF($F42=1,$C42*$J42,IF(HW42&gt;0,HW42*$K42,DX42*$J42))*IF(84=$R42,$S42,12)/12,6)+$B$4),DX42-$I42)))))</f>
        <v/>
      </c>
      <c r="DZ42" s="68">
        <f>IF($U42=0,0,IF($F42=4,0,IF($F42=3,0,IF(OR(85&gt;$R42,DY42&lt;=$I42),DY42,DY42-MIN(INT(ROUND(IF($F42=1,$C42*$J42,IF(HX42&gt;0,HX42*$K42,DY42*$J42))*IF(85=$R42,$S42,12)/12,6)+$B$4),DY42-$I42)))))</f>
        <v/>
      </c>
      <c r="EA42" s="68">
        <f>IF($U42=0,0,IF($F42=4,0,IF($F42=3,0,IF(OR(86&gt;$R42,DZ42&lt;=$I42),DZ42,DZ42-MIN(INT(ROUND(IF($F42=1,$C42*$J42,IF(HY42&gt;0,HY42*$K42,DZ42*$J42))*IF(86=$R42,$S42,12)/12,6)+$B$4),DZ42-$I42)))))</f>
        <v/>
      </c>
      <c r="EB42" s="68">
        <f>IF($U42=0,0,IF($F42=4,0,IF($F42=3,0,IF(OR(87&gt;$R42,EA42&lt;=$I42),EA42,EA42-MIN(INT(ROUND(IF($F42=1,$C42*$J42,IF(HZ42&gt;0,HZ42*$K42,EA42*$J42))*IF(87=$R42,$S42,12)/12,6)+$B$4),EA42-$I42)))))</f>
        <v/>
      </c>
      <c r="EC42" s="68">
        <f>IF($U42=0,0,IF($F42=4,0,IF($F42=3,0,IF(OR(88&gt;$R42,EB42&lt;=$I42),EB42,EB42-MIN(INT(ROUND(IF($F42=1,$C42*$J42,IF(IA42&gt;0,IA42*$K42,EB42*$J42))*IF(88=$R42,$S42,12)/12,6)+$B$4),EB42-$I42)))))</f>
        <v/>
      </c>
      <c r="ED42" s="68">
        <f>IF($U42=0,0,IF($F42=4,0,IF($F42=3,0,IF(OR(89&gt;$R42,EC42&lt;=$I42),EC42,EC42-MIN(INT(ROUND(IF($F42=1,$C42*$J42,IF(IB42&gt;0,IB42*$K42,EC42*$J42))*IF(89=$R42,$S42,12)/12,6)+$B$4),EC42-$I42)))))</f>
        <v/>
      </c>
      <c r="EE42" s="68">
        <f>IF($U42=0,0,IF($F42=4,0,IF($F42=3,0,IF(OR(90&gt;$R42,ED42&lt;=$I42),ED42,ED42-MIN(INT(ROUND(IF($F42=1,$C42*$J42,IF(IC42&gt;0,IC42*$K42,ED42*$J42))*IF(90=$R42,$S42,12)/12,6)+$B$4),ED42-$I42)))))</f>
        <v/>
      </c>
      <c r="EF42" s="68">
        <f>IF($U42=0,0,IF($F42=4,0,IF($F42=3,0,IF(OR(91&gt;$R42,EE42&lt;=$I42),EE42,EE42-MIN(INT(ROUND(IF($F42=1,$C42*$J42,IF(ID42&gt;0,ID42*$K42,EE42*$J42))*IF(91=$R42,$S42,12)/12,6)+$B$4),EE42-$I42)))))</f>
        <v/>
      </c>
      <c r="EG42" s="68">
        <f>IF($U42=0,0,IF($F42=4,0,IF($F42=3,0,IF(OR(92&gt;$R42,EF42&lt;=$I42),EF42,EF42-MIN(INT(ROUND(IF($F42=1,$C42*$J42,IF(IE42&gt;0,IE42*$K42,EF42*$J42))*IF(92=$R42,$S42,12)/12,6)+$B$4),EF42-$I42)))))</f>
        <v/>
      </c>
      <c r="EH42" s="68">
        <f>IF($U42=0,0,IF($F42=4,0,IF($F42=3,0,IF(OR(93&gt;$R42,EG42&lt;=$I42),EG42,EG42-MIN(INT(ROUND(IF($F42=1,$C42*$J42,IF(IF42&gt;0,IF42*$K42,EG42*$J42))*IF(93=$R42,$S42,12)/12,6)+$B$4),EG42-$I42)))))</f>
        <v/>
      </c>
      <c r="EI42" s="68">
        <f>IF($U42=0,0,IF($F42=4,0,IF($F42=3,0,IF(OR(94&gt;$R42,EH42&lt;=$I42),EH42,EH42-MIN(INT(ROUND(IF($F42=1,$C42*$J42,IF(IG42&gt;0,IG42*$K42,EH42*$J42))*IF(94=$R42,$S42,12)/12,6)+$B$4),EH42-$I42)))))</f>
        <v/>
      </c>
      <c r="EJ42" s="68">
        <f>IF($U42=0,0,IF($F42=4,0,IF($F42=3,0,IF(OR(95&gt;$R42,EI42&lt;=$I42),EI42,EI42-MIN(INT(ROUND(IF($F42=1,$C42*$J42,IF(IH42&gt;0,IH42*$K42,EI42*$J42))*IF(95=$R42,$S42,12)/12,6)+$B$4),EI42-$I42)))))</f>
        <v/>
      </c>
      <c r="EK42" s="68">
        <f>IF($U42=0,0,IF($F42=4,0,IF($F42=3,0,IF(OR(96&gt;$R42,EJ42&lt;=$I42),EJ42,EJ42-MIN(INT(ROUND(IF($F42=1,$C42*$J42,IF(II42&gt;0,II42*$K42,EJ42*$J42))*IF(96=$R42,$S42,12)/12,6)+$B$4),EJ42-$I42)))))</f>
        <v/>
      </c>
      <c r="EL42" s="68">
        <f>IF($U42=0,0,IF($F42=4,0,IF($F42=3,0,IF(OR(97&gt;$R42,EK42&lt;=$I42),EK42,EK42-MIN(INT(ROUND(IF($F42=1,$C42*$J42,IF(IJ42&gt;0,IJ42*$K42,EK42*$J42))*IF(97=$R42,$S42,12)/12,6)+$B$4),EK42-$I42)))))</f>
        <v/>
      </c>
      <c r="EM42" s="68">
        <f>IF($U42=0,0,IF($F42=4,0,IF($F42=3,0,IF(OR(98&gt;$R42,EL42&lt;=$I42),EL42,EL42-MIN(INT(ROUND(IF($F42=1,$C42*$J42,IF(IK42&gt;0,IK42*$K42,EL42*$J42))*IF(98=$R42,$S42,12)/12,6)+$B$4),EL42-$I42)))))</f>
        <v/>
      </c>
      <c r="EN42" s="68">
        <f>IF($U42=0,0,IF($F42=4,0,IF($F42=3,0,IF(OR(99&gt;$R42,EM42&lt;=$I42),EM42,EM42-MIN(INT(ROUND(IF($F42=1,$C42*$J42,IF(IL42&gt;0,IL42*$K42,EM42*$J42))*IF(99=$R42,$S42,12)/12,6)+$B$4),EM42-$I42)))))</f>
        <v/>
      </c>
      <c r="EO42" s="68">
        <f>IF($U42=0,0,IF($F42=4,0,IF($F42=3,0,IF(OR(100&gt;$R42,EN42&lt;=$I42),EN42,EN42-MIN(INT(ROUND(IF($F42=1,$C42*$J42,IF(IM42&gt;0,IM42*$K42,EN42*$J42))*IF(100=$R42,$S42,12)/12,6)+$B$4),EN42-$I42)))))</f>
        <v/>
      </c>
      <c r="EP42" s="68">
        <f>IF($U42=0,0,IF($F42=4,0,IF($F42=3,0,IF(OR(101&gt;$R42,EO42&lt;=$I42),EO42,EO42-MIN(INT(ROUND(IF($F42=1,$C42*$J42,IF(IN42&gt;0,IN42*$K42,EO42*$J42))*IF(101=$R42,$S42,12)/12,6)+$B$4),EO42-$I42)))))</f>
        <v/>
      </c>
      <c r="EQ42" s="68" t="n"/>
      <c r="ER42" s="68">
        <f>IF(OR($U42=0,$F42&lt;&gt;2),0,IF(ROUND(AS42*$J42,6)&lt;ROUND($M42,6),AS42,0))</f>
        <v/>
      </c>
      <c r="ES42" s="68">
        <f>IF(OR($U42=0,$F42&lt;&gt;2),0,IF(ER42&gt;0,ER42,IF(ROUND(AT42*$J42,6)&lt;ROUND($M42,6),AT42,0)))</f>
        <v/>
      </c>
      <c r="ET42" s="68">
        <f>IF(OR($U42=0,$F42&lt;&gt;2),0,IF(ES42&gt;0,ES42,IF(ROUND(AU42*$J42,6)&lt;ROUND($M42,6),AU42,0)))</f>
        <v/>
      </c>
      <c r="EU42" s="68">
        <f>IF(OR($U42=0,$F42&lt;&gt;2),0,IF(ET42&gt;0,ET42,IF(ROUND(AV42*$J42,6)&lt;ROUND($M42,6),AV42,0)))</f>
        <v/>
      </c>
      <c r="EV42" s="68">
        <f>IF(OR($U42=0,$F42&lt;&gt;2),0,IF(EU42&gt;0,EU42,IF(ROUND(AW42*$J42,6)&lt;ROUND($M42,6),AW42,0)))</f>
        <v/>
      </c>
      <c r="EW42" s="68">
        <f>IF(OR($U42=0,$F42&lt;&gt;2),0,IF(EV42&gt;0,EV42,IF(ROUND(AX42*$J42,6)&lt;ROUND($M42,6),AX42,0)))</f>
        <v/>
      </c>
      <c r="EX42" s="68">
        <f>IF(OR($U42=0,$F42&lt;&gt;2),0,IF(EW42&gt;0,EW42,IF(ROUND(AY42*$J42,6)&lt;ROUND($M42,6),AY42,0)))</f>
        <v/>
      </c>
      <c r="EY42" s="68">
        <f>IF(OR($U42=0,$F42&lt;&gt;2),0,IF(EX42&gt;0,EX42,IF(ROUND(AZ42*$J42,6)&lt;ROUND($M42,6),AZ42,0)))</f>
        <v/>
      </c>
      <c r="EZ42" s="68">
        <f>IF(OR($U42=0,$F42&lt;&gt;2),0,IF(EY42&gt;0,EY42,IF(ROUND(BA42*$J42,6)&lt;ROUND($M42,6),BA42,0)))</f>
        <v/>
      </c>
      <c r="FA42" s="68">
        <f>IF(OR($U42=0,$F42&lt;&gt;2),0,IF(EZ42&gt;0,EZ42,IF(ROUND(BB42*$J42,6)&lt;ROUND($M42,6),BB42,0)))</f>
        <v/>
      </c>
      <c r="FB42" s="68">
        <f>IF(OR($U42=0,$F42&lt;&gt;2),0,IF(FA42&gt;0,FA42,IF(ROUND(BC42*$J42,6)&lt;ROUND($M42,6),BC42,0)))</f>
        <v/>
      </c>
      <c r="FC42" s="68">
        <f>IF(OR($U42=0,$F42&lt;&gt;2),0,IF(FB42&gt;0,FB42,IF(ROUND(BD42*$J42,6)&lt;ROUND($M42,6),BD42,0)))</f>
        <v/>
      </c>
      <c r="FD42" s="68">
        <f>IF(OR($U42=0,$F42&lt;&gt;2),0,IF(FC42&gt;0,FC42,IF(ROUND(BE42*$J42,6)&lt;ROUND($M42,6),BE42,0)))</f>
        <v/>
      </c>
      <c r="FE42" s="68">
        <f>IF(OR($U42=0,$F42&lt;&gt;2),0,IF(FD42&gt;0,FD42,IF(ROUND(BF42*$J42,6)&lt;ROUND($M42,6),BF42,0)))</f>
        <v/>
      </c>
      <c r="FF42" s="68">
        <f>IF(OR($U42=0,$F42&lt;&gt;2),0,IF(FE42&gt;0,FE42,IF(ROUND(BG42*$J42,6)&lt;ROUND($M42,6),BG42,0)))</f>
        <v/>
      </c>
      <c r="FG42" s="68">
        <f>IF(OR($U42=0,$F42&lt;&gt;2),0,IF(FF42&gt;0,FF42,IF(ROUND(BH42*$J42,6)&lt;ROUND($M42,6),BH42,0)))</f>
        <v/>
      </c>
      <c r="FH42" s="68">
        <f>IF(OR($U42=0,$F42&lt;&gt;2),0,IF(FG42&gt;0,FG42,IF(ROUND(BI42*$J42,6)&lt;ROUND($M42,6),BI42,0)))</f>
        <v/>
      </c>
      <c r="FI42" s="68">
        <f>IF(OR($U42=0,$F42&lt;&gt;2),0,IF(FH42&gt;0,FH42,IF(ROUND(BJ42*$J42,6)&lt;ROUND($M42,6),BJ42,0)))</f>
        <v/>
      </c>
      <c r="FJ42" s="68">
        <f>IF(OR($U42=0,$F42&lt;&gt;2),0,IF(FI42&gt;0,FI42,IF(ROUND(BK42*$J42,6)&lt;ROUND($M42,6),BK42,0)))</f>
        <v/>
      </c>
      <c r="FK42" s="68">
        <f>IF(OR($U42=0,$F42&lt;&gt;2),0,IF(FJ42&gt;0,FJ42,IF(ROUND(BL42*$J42,6)&lt;ROUND($M42,6),BL42,0)))</f>
        <v/>
      </c>
      <c r="FL42" s="68">
        <f>IF(OR($U42=0,$F42&lt;&gt;2),0,IF(FK42&gt;0,FK42,IF(ROUND(BM42*$J42,6)&lt;ROUND($M42,6),BM42,0)))</f>
        <v/>
      </c>
      <c r="FM42" s="68">
        <f>IF(OR($U42=0,$F42&lt;&gt;2),0,IF(FL42&gt;0,FL42,IF(ROUND(BN42*$J42,6)&lt;ROUND($M42,6),BN42,0)))</f>
        <v/>
      </c>
      <c r="FN42" s="68">
        <f>IF(OR($U42=0,$F42&lt;&gt;2),0,IF(FM42&gt;0,FM42,IF(ROUND(BO42*$J42,6)&lt;ROUND($M42,6),BO42,0)))</f>
        <v/>
      </c>
      <c r="FO42" s="68">
        <f>IF(OR($U42=0,$F42&lt;&gt;2),0,IF(FN42&gt;0,FN42,IF(ROUND(BP42*$J42,6)&lt;ROUND($M42,6),BP42,0)))</f>
        <v/>
      </c>
      <c r="FP42" s="68">
        <f>IF(OR($U42=0,$F42&lt;&gt;2),0,IF(FO42&gt;0,FO42,IF(ROUND(BQ42*$J42,6)&lt;ROUND($M42,6),BQ42,0)))</f>
        <v/>
      </c>
      <c r="FQ42" s="68">
        <f>IF(OR($U42=0,$F42&lt;&gt;2),0,IF(FP42&gt;0,FP42,IF(ROUND(BR42*$J42,6)&lt;ROUND($M42,6),BR42,0)))</f>
        <v/>
      </c>
      <c r="FR42" s="68">
        <f>IF(OR($U42=0,$F42&lt;&gt;2),0,IF(FQ42&gt;0,FQ42,IF(ROUND(BS42*$J42,6)&lt;ROUND($M42,6),BS42,0)))</f>
        <v/>
      </c>
      <c r="FS42" s="68">
        <f>IF(OR($U42=0,$F42&lt;&gt;2),0,IF(FR42&gt;0,FR42,IF(ROUND(BT42*$J42,6)&lt;ROUND($M42,6),BT42,0)))</f>
        <v/>
      </c>
      <c r="FT42" s="68">
        <f>IF(OR($U42=0,$F42&lt;&gt;2),0,IF(FS42&gt;0,FS42,IF(ROUND(BU42*$J42,6)&lt;ROUND($M42,6),BU42,0)))</f>
        <v/>
      </c>
      <c r="FU42" s="68">
        <f>IF(OR($U42=0,$F42&lt;&gt;2),0,IF(FT42&gt;0,FT42,IF(ROUND(BV42*$J42,6)&lt;ROUND($M42,6),BV42,0)))</f>
        <v/>
      </c>
      <c r="FV42" s="68">
        <f>IF(OR($U42=0,$F42&lt;&gt;2),0,IF(FU42&gt;0,FU42,IF(ROUND(BW42*$J42,6)&lt;ROUND($M42,6),BW42,0)))</f>
        <v/>
      </c>
      <c r="FW42" s="68">
        <f>IF(OR($U42=0,$F42&lt;&gt;2),0,IF(FV42&gt;0,FV42,IF(ROUND(BX42*$J42,6)&lt;ROUND($M42,6),BX42,0)))</f>
        <v/>
      </c>
      <c r="FX42" s="68">
        <f>IF(OR($U42=0,$F42&lt;&gt;2),0,IF(FW42&gt;0,FW42,IF(ROUND(BY42*$J42,6)&lt;ROUND($M42,6),BY42,0)))</f>
        <v/>
      </c>
      <c r="FY42" s="68">
        <f>IF(OR($U42=0,$F42&lt;&gt;2),0,IF(FX42&gt;0,FX42,IF(ROUND(BZ42*$J42,6)&lt;ROUND($M42,6),BZ42,0)))</f>
        <v/>
      </c>
      <c r="FZ42" s="68">
        <f>IF(OR($U42=0,$F42&lt;&gt;2),0,IF(FY42&gt;0,FY42,IF(ROUND(CA42*$J42,6)&lt;ROUND($M42,6),CA42,0)))</f>
        <v/>
      </c>
      <c r="GA42" s="68">
        <f>IF(OR($U42=0,$F42&lt;&gt;2),0,IF(FZ42&gt;0,FZ42,IF(ROUND(CB42*$J42,6)&lt;ROUND($M42,6),CB42,0)))</f>
        <v/>
      </c>
      <c r="GB42" s="68">
        <f>IF(OR($U42=0,$F42&lt;&gt;2),0,IF(GA42&gt;0,GA42,IF(ROUND(CC42*$J42,6)&lt;ROUND($M42,6),CC42,0)))</f>
        <v/>
      </c>
      <c r="GC42" s="68">
        <f>IF(OR($U42=0,$F42&lt;&gt;2),0,IF(GB42&gt;0,GB42,IF(ROUND(CD42*$J42,6)&lt;ROUND($M42,6),CD42,0)))</f>
        <v/>
      </c>
      <c r="GD42" s="68">
        <f>IF(OR($U42=0,$F42&lt;&gt;2),0,IF(GC42&gt;0,GC42,IF(ROUND(CE42*$J42,6)&lt;ROUND($M42,6),CE42,0)))</f>
        <v/>
      </c>
      <c r="GE42" s="68">
        <f>IF(OR($U42=0,$F42&lt;&gt;2),0,IF(GD42&gt;0,GD42,IF(ROUND(CF42*$J42,6)&lt;ROUND($M42,6),CF42,0)))</f>
        <v/>
      </c>
      <c r="GF42" s="68">
        <f>IF(OR($U42=0,$F42&lt;&gt;2),0,IF(GE42&gt;0,GE42,IF(ROUND(CG42*$J42,6)&lt;ROUND($M42,6),CG42,0)))</f>
        <v/>
      </c>
      <c r="GG42" s="68">
        <f>IF(OR($U42=0,$F42&lt;&gt;2),0,IF(GF42&gt;0,GF42,IF(ROUND(CH42*$J42,6)&lt;ROUND($M42,6),CH42,0)))</f>
        <v/>
      </c>
      <c r="GH42" s="68">
        <f>IF(OR($U42=0,$F42&lt;&gt;2),0,IF(GG42&gt;0,GG42,IF(ROUND(CI42*$J42,6)&lt;ROUND($M42,6),CI42,0)))</f>
        <v/>
      </c>
      <c r="GI42" s="68">
        <f>IF(OR($U42=0,$F42&lt;&gt;2),0,IF(GH42&gt;0,GH42,IF(ROUND(CJ42*$J42,6)&lt;ROUND($M42,6),CJ42,0)))</f>
        <v/>
      </c>
      <c r="GJ42" s="68">
        <f>IF(OR($U42=0,$F42&lt;&gt;2),0,IF(GI42&gt;0,GI42,IF(ROUND(CK42*$J42,6)&lt;ROUND($M42,6),CK42,0)))</f>
        <v/>
      </c>
      <c r="GK42" s="68">
        <f>IF(OR($U42=0,$F42&lt;&gt;2),0,IF(GJ42&gt;0,GJ42,IF(ROUND(CL42*$J42,6)&lt;ROUND($M42,6),CL42,0)))</f>
        <v/>
      </c>
      <c r="GL42" s="68">
        <f>IF(OR($U42=0,$F42&lt;&gt;2),0,IF(GK42&gt;0,GK42,IF(ROUND(CM42*$J42,6)&lt;ROUND($M42,6),CM42,0)))</f>
        <v/>
      </c>
      <c r="GM42" s="68">
        <f>IF(OR($U42=0,$F42&lt;&gt;2),0,IF(GL42&gt;0,GL42,IF(ROUND(CN42*$J42,6)&lt;ROUND($M42,6),CN42,0)))</f>
        <v/>
      </c>
      <c r="GN42" s="68">
        <f>IF(OR($U42=0,$F42&lt;&gt;2),0,IF(GM42&gt;0,GM42,IF(ROUND(CO42*$J42,6)&lt;ROUND($M42,6),CO42,0)))</f>
        <v/>
      </c>
      <c r="GO42" s="68">
        <f>IF(OR($U42=0,$F42&lt;&gt;2),0,IF(GN42&gt;0,GN42,IF(ROUND(CP42*$J42,6)&lt;ROUND($M42,6),CP42,0)))</f>
        <v/>
      </c>
      <c r="GP42" s="68">
        <f>IF(OR($U42=0,$F42&lt;&gt;2),0,IF(GO42&gt;0,GO42,IF(ROUND(CQ42*$J42,6)&lt;ROUND($M42,6),CQ42,0)))</f>
        <v/>
      </c>
      <c r="GQ42" s="68">
        <f>IF(OR($U42=0,$F42&lt;&gt;2),0,IF(GP42&gt;0,GP42,IF(ROUND(CR42*$J42,6)&lt;ROUND($M42,6),CR42,0)))</f>
        <v/>
      </c>
      <c r="GR42" s="68">
        <f>IF(OR($U42=0,$F42&lt;&gt;2),0,IF(GQ42&gt;0,GQ42,IF(ROUND(CS42*$J42,6)&lt;ROUND($M42,6),CS42,0)))</f>
        <v/>
      </c>
      <c r="GS42" s="68">
        <f>IF(OR($U42=0,$F42&lt;&gt;2),0,IF(GR42&gt;0,GR42,IF(ROUND(CT42*$J42,6)&lt;ROUND($M42,6),CT42,0)))</f>
        <v/>
      </c>
      <c r="GT42" s="68">
        <f>IF(OR($U42=0,$F42&lt;&gt;2),0,IF(GS42&gt;0,GS42,IF(ROUND(CU42*$J42,6)&lt;ROUND($M42,6),CU42,0)))</f>
        <v/>
      </c>
      <c r="GU42" s="68">
        <f>IF(OR($U42=0,$F42&lt;&gt;2),0,IF(GT42&gt;0,GT42,IF(ROUND(CV42*$J42,6)&lt;ROUND($M42,6),CV42,0)))</f>
        <v/>
      </c>
      <c r="GV42" s="68">
        <f>IF(OR($U42=0,$F42&lt;&gt;2),0,IF(GU42&gt;0,GU42,IF(ROUND(CW42*$J42,6)&lt;ROUND($M42,6),CW42,0)))</f>
        <v/>
      </c>
      <c r="GW42" s="68">
        <f>IF(OR($U42=0,$F42&lt;&gt;2),0,IF(GV42&gt;0,GV42,IF(ROUND(CX42*$J42,6)&lt;ROUND($M42,6),CX42,0)))</f>
        <v/>
      </c>
      <c r="GX42" s="68">
        <f>IF(OR($U42=0,$F42&lt;&gt;2),0,IF(GW42&gt;0,GW42,IF(ROUND(CY42*$J42,6)&lt;ROUND($M42,6),CY42,0)))</f>
        <v/>
      </c>
      <c r="GY42" s="68">
        <f>IF(OR($U42=0,$F42&lt;&gt;2),0,IF(GX42&gt;0,GX42,IF(ROUND(CZ42*$J42,6)&lt;ROUND($M42,6),CZ42,0)))</f>
        <v/>
      </c>
      <c r="GZ42" s="68">
        <f>IF(OR($U42=0,$F42&lt;&gt;2),0,IF(GY42&gt;0,GY42,IF(ROUND(DA42*$J42,6)&lt;ROUND($M42,6),DA42,0)))</f>
        <v/>
      </c>
      <c r="HA42" s="68">
        <f>IF(OR($U42=0,$F42&lt;&gt;2),0,IF(GZ42&gt;0,GZ42,IF(ROUND(DB42*$J42,6)&lt;ROUND($M42,6),DB42,0)))</f>
        <v/>
      </c>
      <c r="HB42" s="68">
        <f>IF(OR($U42=0,$F42&lt;&gt;2),0,IF(HA42&gt;0,HA42,IF(ROUND(DC42*$J42,6)&lt;ROUND($M42,6),DC42,0)))</f>
        <v/>
      </c>
      <c r="HC42" s="68">
        <f>IF(OR($U42=0,$F42&lt;&gt;2),0,IF(HB42&gt;0,HB42,IF(ROUND(DD42*$J42,6)&lt;ROUND($M42,6),DD42,0)))</f>
        <v/>
      </c>
      <c r="HD42" s="68">
        <f>IF(OR($U42=0,$F42&lt;&gt;2),0,IF(HC42&gt;0,HC42,IF(ROUND(DE42*$J42,6)&lt;ROUND($M42,6),DE42,0)))</f>
        <v/>
      </c>
      <c r="HE42" s="68">
        <f>IF(OR($U42=0,$F42&lt;&gt;2),0,IF(HD42&gt;0,HD42,IF(ROUND(DF42*$J42,6)&lt;ROUND($M42,6),DF42,0)))</f>
        <v/>
      </c>
      <c r="HF42" s="68">
        <f>IF(OR($U42=0,$F42&lt;&gt;2),0,IF(HE42&gt;0,HE42,IF(ROUND(DG42*$J42,6)&lt;ROUND($M42,6),DG42,0)))</f>
        <v/>
      </c>
      <c r="HG42" s="68">
        <f>IF(OR($U42=0,$F42&lt;&gt;2),0,IF(HF42&gt;0,HF42,IF(ROUND(DH42*$J42,6)&lt;ROUND($M42,6),DH42,0)))</f>
        <v/>
      </c>
      <c r="HH42" s="68">
        <f>IF(OR($U42=0,$F42&lt;&gt;2),0,IF(HG42&gt;0,HG42,IF(ROUND(DI42*$J42,6)&lt;ROUND($M42,6),DI42,0)))</f>
        <v/>
      </c>
      <c r="HI42" s="68">
        <f>IF(OR($U42=0,$F42&lt;&gt;2),0,IF(HH42&gt;0,HH42,IF(ROUND(DJ42*$J42,6)&lt;ROUND($M42,6),DJ42,0)))</f>
        <v/>
      </c>
      <c r="HJ42" s="68">
        <f>IF(OR($U42=0,$F42&lt;&gt;2),0,IF(HI42&gt;0,HI42,IF(ROUND(DK42*$J42,6)&lt;ROUND($M42,6),DK42,0)))</f>
        <v/>
      </c>
      <c r="HK42" s="68">
        <f>IF(OR($U42=0,$F42&lt;&gt;2),0,IF(HJ42&gt;0,HJ42,IF(ROUND(DL42*$J42,6)&lt;ROUND($M42,6),DL42,0)))</f>
        <v/>
      </c>
      <c r="HL42" s="68">
        <f>IF(OR($U42=0,$F42&lt;&gt;2),0,IF(HK42&gt;0,HK42,IF(ROUND(DM42*$J42,6)&lt;ROUND($M42,6),DM42,0)))</f>
        <v/>
      </c>
      <c r="HM42" s="68">
        <f>IF(OR($U42=0,$F42&lt;&gt;2),0,IF(HL42&gt;0,HL42,IF(ROUND(DN42*$J42,6)&lt;ROUND($M42,6),DN42,0)))</f>
        <v/>
      </c>
      <c r="HN42" s="68">
        <f>IF(OR($U42=0,$F42&lt;&gt;2),0,IF(HM42&gt;0,HM42,IF(ROUND(DO42*$J42,6)&lt;ROUND($M42,6),DO42,0)))</f>
        <v/>
      </c>
      <c r="HO42" s="68">
        <f>IF(OR($U42=0,$F42&lt;&gt;2),0,IF(HN42&gt;0,HN42,IF(ROUND(DP42*$J42,6)&lt;ROUND($M42,6),DP42,0)))</f>
        <v/>
      </c>
      <c r="HP42" s="68">
        <f>IF(OR($U42=0,$F42&lt;&gt;2),0,IF(HO42&gt;0,HO42,IF(ROUND(DQ42*$J42,6)&lt;ROUND($M42,6),DQ42,0)))</f>
        <v/>
      </c>
      <c r="HQ42" s="68">
        <f>IF(OR($U42=0,$F42&lt;&gt;2),0,IF(HP42&gt;0,HP42,IF(ROUND(DR42*$J42,6)&lt;ROUND($M42,6),DR42,0)))</f>
        <v/>
      </c>
      <c r="HR42" s="68">
        <f>IF(OR($U42=0,$F42&lt;&gt;2),0,IF(HQ42&gt;0,HQ42,IF(ROUND(DS42*$J42,6)&lt;ROUND($M42,6),DS42,0)))</f>
        <v/>
      </c>
      <c r="HS42" s="68">
        <f>IF(OR($U42=0,$F42&lt;&gt;2),0,IF(HR42&gt;0,HR42,IF(ROUND(DT42*$J42,6)&lt;ROUND($M42,6),DT42,0)))</f>
        <v/>
      </c>
      <c r="HT42" s="68">
        <f>IF(OR($U42=0,$F42&lt;&gt;2),0,IF(HS42&gt;0,HS42,IF(ROUND(DU42*$J42,6)&lt;ROUND($M42,6),DU42,0)))</f>
        <v/>
      </c>
      <c r="HU42" s="68">
        <f>IF(OR($U42=0,$F42&lt;&gt;2),0,IF(HT42&gt;0,HT42,IF(ROUND(DV42*$J42,6)&lt;ROUND($M42,6),DV42,0)))</f>
        <v/>
      </c>
      <c r="HV42" s="68">
        <f>IF(OR($U42=0,$F42&lt;&gt;2),0,IF(HU42&gt;0,HU42,IF(ROUND(DW42*$J42,6)&lt;ROUND($M42,6),DW42,0)))</f>
        <v/>
      </c>
      <c r="HW42" s="68">
        <f>IF(OR($U42=0,$F42&lt;&gt;2),0,IF(HV42&gt;0,HV42,IF(ROUND(DX42*$J42,6)&lt;ROUND($M42,6),DX42,0)))</f>
        <v/>
      </c>
      <c r="HX42" s="68">
        <f>IF(OR($U42=0,$F42&lt;&gt;2),0,IF(HW42&gt;0,HW42,IF(ROUND(DY42*$J42,6)&lt;ROUND($M42,6),DY42,0)))</f>
        <v/>
      </c>
      <c r="HY42" s="68">
        <f>IF(OR($U42=0,$F42&lt;&gt;2),0,IF(HX42&gt;0,HX42,IF(ROUND(DZ42*$J42,6)&lt;ROUND($M42,6),DZ42,0)))</f>
        <v/>
      </c>
      <c r="HZ42" s="68">
        <f>IF(OR($U42=0,$F42&lt;&gt;2),0,IF(HY42&gt;0,HY42,IF(ROUND(EA42*$J42,6)&lt;ROUND($M42,6),EA42,0)))</f>
        <v/>
      </c>
      <c r="IA42" s="68">
        <f>IF(OR($U42=0,$F42&lt;&gt;2),0,IF(HZ42&gt;0,HZ42,IF(ROUND(EB42*$J42,6)&lt;ROUND($M42,6),EB42,0)))</f>
        <v/>
      </c>
      <c r="IB42" s="68">
        <f>IF(OR($U42=0,$F42&lt;&gt;2),0,IF(IA42&gt;0,IA42,IF(ROUND(EC42*$J42,6)&lt;ROUND($M42,6),EC42,0)))</f>
        <v/>
      </c>
      <c r="IC42" s="68">
        <f>IF(OR($U42=0,$F42&lt;&gt;2),0,IF(IB42&gt;0,IB42,IF(ROUND(ED42*$J42,6)&lt;ROUND($M42,6),ED42,0)))</f>
        <v/>
      </c>
      <c r="ID42" s="68">
        <f>IF(OR($U42=0,$F42&lt;&gt;2),0,IF(IC42&gt;0,IC42,IF(ROUND(EE42*$J42,6)&lt;ROUND($M42,6),EE42,0)))</f>
        <v/>
      </c>
      <c r="IE42" s="68">
        <f>IF(OR($U42=0,$F42&lt;&gt;2),0,IF(ID42&gt;0,ID42,IF(ROUND(EF42*$J42,6)&lt;ROUND($M42,6),EF42,0)))</f>
        <v/>
      </c>
      <c r="IF42" s="68">
        <f>IF(OR($U42=0,$F42&lt;&gt;2),0,IF(IE42&gt;0,IE42,IF(ROUND(EG42*$J42,6)&lt;ROUND($M42,6),EG42,0)))</f>
        <v/>
      </c>
      <c r="IG42" s="68">
        <f>IF(OR($U42=0,$F42&lt;&gt;2),0,IF(IF42&gt;0,IF42,IF(ROUND(EH42*$J42,6)&lt;ROUND($M42,6),EH42,0)))</f>
        <v/>
      </c>
      <c r="IH42" s="68">
        <f>IF(OR($U42=0,$F42&lt;&gt;2),0,IF(IG42&gt;0,IG42,IF(ROUND(EI42*$J42,6)&lt;ROUND($M42,6),EI42,0)))</f>
        <v/>
      </c>
      <c r="II42" s="68">
        <f>IF(OR($U42=0,$F42&lt;&gt;2),0,IF(IH42&gt;0,IH42,IF(ROUND(EJ42*$J42,6)&lt;ROUND($M42,6),EJ42,0)))</f>
        <v/>
      </c>
      <c r="IJ42" s="68">
        <f>IF(OR($U42=0,$F42&lt;&gt;2),0,IF(II42&gt;0,II42,IF(ROUND(EK42*$J42,6)&lt;ROUND($M42,6),EK42,0)))</f>
        <v/>
      </c>
      <c r="IK42" s="68">
        <f>IF(OR($U42=0,$F42&lt;&gt;2),0,IF(IJ42&gt;0,IJ42,IF(ROUND(EL42*$J42,6)&lt;ROUND($M42,6),EL42,0)))</f>
        <v/>
      </c>
      <c r="IL42" s="68">
        <f>IF(OR($U42=0,$F42&lt;&gt;2),0,IF(IK42&gt;0,IK42,IF(ROUND(EM42*$J42,6)&lt;ROUND($M42,6),EM42,0)))</f>
        <v/>
      </c>
      <c r="IM42" s="68">
        <f>IF(OR($U42=0,$F42&lt;&gt;2),0,IF(IL42&gt;0,IL42,IF(ROUND(EN42*$J42,6)&lt;ROUND($M42,6),EN42,0)))</f>
        <v/>
      </c>
      <c r="IN42" s="68">
        <f>IF(OR($U42=0,$F42&lt;&gt;2),0,IF(IM42&gt;0,IM42,IF(ROUND(EO42*$J42,6)&lt;ROUND($M42,6),EO42,0)))</f>
        <v/>
      </c>
    </row>
    <row r="43">
      <c r="A43" s="68" t="n">
        <v>38</v>
      </c>
      <c r="B43" s="68">
        <f>IF(OR(TRIM('固定資産台帳'!$B43)&lt;&gt;"",'固定資産台帳'!$E43&lt;&gt;"",'固定資産台帳'!$G43&lt;&gt;"",'固定資産台帳'!$H43&lt;&gt;""),1,0)</f>
        <v/>
      </c>
      <c r="C43" s="68">
        <f>IF(ISNUMBER('固定資産台帳'!$G43),MAX(ROUND('固定資産台帳'!$G43,0),0),0)</f>
        <v/>
      </c>
      <c r="D43" s="84">
        <f>IF(ISNUMBER('固定資産台帳'!$E43),INT('固定資産台帳'!$E43),0)</f>
        <v/>
      </c>
      <c r="E43" s="84">
        <f>IF(ISNUMBER('固定資産台帳'!$F43),INT('固定資産台帳'!$F43),$D43)</f>
        <v/>
      </c>
      <c r="F43" s="68">
        <f>IF('固定資産台帳'!$H43="定額法",1,IF(OR('固定資産台帳'!$H43="定率法",'固定資産台帳'!$H43="定率法（200%）",'固定資産台帳'!$H43="定率法（250%）"),2,IF('固定資産台帳'!$H43="一括償却（3年）",3,IF('固定資産台帳'!$H43="少額特例",4,0))))</f>
        <v/>
      </c>
      <c r="G43" s="68">
        <f>IF('固定資産台帳'!$H43="定率法（250%）",250,IF('固定資産台帳'!$H43="定率法（200%）",200,IF($D43&gt;=DATE(2012,4,1),200,250)))</f>
        <v/>
      </c>
      <c r="H43" s="68">
        <f>IF(ISNUMBER('固定資産台帳'!$I43),IF(AND('固定資産台帳'!$I43&gt;=2,'固定資産台帳'!$I43&lt;=100,'固定資産台帳'!$I43=INT('固定資産台帳'!$I43)),'固定資産台帳'!$I43,0),0)</f>
        <v/>
      </c>
      <c r="I43" s="68">
        <f>IF('固定資産台帳'!$C43="無形固定資産",0,1)</f>
        <v/>
      </c>
      <c r="J43" s="68">
        <f>IF(OR($H43=0,$F43=0,$F43&gt;2),0,IF($F43=1,INDEX('償却率表'!$B$6:$B$104,$H43-1),IF($G43=200,INDEX('償却率表'!$C$6:$C$104,$H43-1),INDEX('償却率表'!$F$6:$F$104,$H43-1))))</f>
        <v/>
      </c>
      <c r="K43" s="68">
        <f>IF(AND($F43=2,$H43&gt;0),IF($G43=200,INDEX('償却率表'!$D$6:$D$104,$H43-1),INDEX('償却率表'!$G$6:$G$104,$H43-1)),0)</f>
        <v/>
      </c>
      <c r="L43" s="68">
        <f>IF(AND($F43=2,$H43&gt;0),IF($G43=200,INDEX('償却率表'!$E$6:$E$104,$H43-1),INDEX('償却率表'!$H$6:$H$104,$H43-1)),0)</f>
        <v/>
      </c>
      <c r="M43" s="68">
        <f>$C43*$L43</f>
        <v/>
      </c>
      <c r="N43" s="68">
        <f>IF($B$1=1,1,IF('固定資産台帳'!$J43="",1,IF(ISNUMBER('固定資産台帳'!$J43),IF(AND('固定資産台帳'!$J43&gt;0,'固定資産台帳'!$J43&lt;=1),'固定資産台帳'!$J43,0),0)))</f>
        <v/>
      </c>
      <c r="O43" s="68">
        <f>IF($E43=0,0,YEAR($E43)-IF(MONTH($E43)&lt;$B$2,1,0))</f>
        <v/>
      </c>
      <c r="P43" s="68">
        <f>IF($E43=0,0,12-MOD(MONTH($E43)-$B$2,12))</f>
        <v/>
      </c>
      <c r="Q43" s="84">
        <f>IF(ISNUMBER('固定資産台帳'!$K43),INT('固定資産台帳'!$K43),0)</f>
        <v/>
      </c>
      <c r="R43" s="68">
        <f>IF(OR($Q43=0,$E43=0),999,YEAR($Q43)-IF(MONTH($Q43)&lt;$B$2,1,0)-$O43)</f>
        <v/>
      </c>
      <c r="S43" s="68">
        <f>IF($R43=999,0,MOD(MONTH($Q43)-$B$2,12)+1-IF($R43=0,12-$P43,0))</f>
        <v/>
      </c>
      <c r="T43" s="68">
        <f>IF($B43=0,0,IF($C43&lt;=0,1,IF($D43=0,2,IF($F43=0,3,IF(AND($F43&lt;=2,$H43=0),4,IF(AND($F43&lt;=2,$D43&lt;DATE(2007,4,1)),5,IF($E43&lt;$D43,6,IF(AND($Q43&gt;0,$Q43&lt;$E43),7,IF($N43=0,8,IF($B$3=0,9,0))))))))))</f>
        <v/>
      </c>
      <c r="U43" s="68">
        <f>IF(AND($B43=1,$T43=0),1,0)</f>
        <v/>
      </c>
      <c r="V43" s="68">
        <f>$B$3-$O43</f>
        <v/>
      </c>
      <c r="W43" s="68">
        <f>IF(AND($U43=1,$V43&gt;=0),1,0)</f>
        <v/>
      </c>
      <c r="X43" s="68">
        <f>IF($W43=0,0,IF($V43=0,$C43,INDEX($AS43:$EP43,MIN($V43,102))))</f>
        <v/>
      </c>
      <c r="Y43" s="68">
        <f>IF($W43=0,0,INDEX($AS43:$EP43,MIN($V43,101)+1))</f>
        <v/>
      </c>
      <c r="Z43" s="68">
        <f>$X43-$Y43</f>
        <v/>
      </c>
      <c r="AA43" s="68">
        <f>IF(AND($W43=1,$F43=2,$V43&gt;=1),INDEX($ER43:$IN43,MIN($V43,101)),0)</f>
        <v/>
      </c>
      <c r="AB43" s="68">
        <f>IF(OR($W43=0,$F43&gt;2,$Z43=0),0,IF($V43=0,IF($R43=0,$S43,$P43),IF($V43=$R43,$S43,12)))</f>
        <v/>
      </c>
      <c r="AC43" s="68">
        <f>IF($W43=0,0,INT(ROUND($Z43*$N43,6)+$B$4))</f>
        <v/>
      </c>
      <c r="AD43" s="68">
        <f>IF(AND($W43=1,$F43&lt;=2,$V43=$R43),1,0)</f>
        <v/>
      </c>
      <c r="AE43" s="68">
        <f>IF(AND($W43=1,$F43&lt;=2,$V43&gt;$R43),1,0)</f>
        <v/>
      </c>
      <c r="AF43" s="68">
        <f>IF(AND($W43=1,$AE43=0,OR($Z43&gt;0,$AD43=1)),1,0)</f>
        <v/>
      </c>
      <c r="AG43" s="68">
        <f>IF($AF43=1,SUM($AF$6:$AF43),0)</f>
        <v/>
      </c>
      <c r="AH43" s="68">
        <f>IF($T43=0,"",CHOOSE($T43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43" s="68">
        <f>IF(AND($F43=2,OR('固定資産台帳'!$C43="建物",'固定資産台帳'!$C43="無形固定資産",AND(OR('固定資産台帳'!$C43="建物附属設備",'固定資産台帳'!$C43="構築物"),$D43&gt;=DATE(2016,4,1)))),"この資産は定額法だけです（定率法は使えません）。","")&amp;IF(AND($F43=3,$C43&gt;=200000),"一括償却は20万円未満の資産だけです。","")&amp;IF(AND($F43=3,$B$1=0,$C43&lt;100000),"10万円未満は一括償却にせず、全額をその年の経費にします。","")&amp;IF(AND($F43=4,$C43&lt;100000),"10万円未満は少額特例ではなく、全額をその年の経費にします。","")&amp;IF(AND($F43=4,$D43&lt;DATE(2026,4,1),$C43&gt;=300000),"2026年3月31日までの取得で少額特例が使えるのは30万円未満です。","")&amp;IF(AND($F43=4,$D43&gt;=DATE(2026,4,1),$C43&gt;=400000),"少額特例は40万円未満の資産だけです。","")&amp;IF(AND($F43=4,OR($D43&lt;DATE(2006,4,1),$D43&gt;DATE(2029,3,31))),"少額特例は2006年4月1日〜2029年3月31日に取得した資産だけです。","")&amp;IF(AND($F43=2,$G43=250,$D43&gt;DATE(2012,12,31)),"250%定率法は2012年12月31日までの取得だけです。","")</f>
        <v/>
      </c>
      <c r="AJ43" s="68">
        <f>IF(AND($F43=2,'固定資産台帳'!$H43="定率法（200%）",$D43&lt;DATE(2012,4,1)),"2012年3月31日までの取得に200%を使うのは、経過措置の届出をした場合です。","")&amp;IF(AND($F43=2,'固定資産台帳'!$H43="定率法（250%）",$D43&gt;=DATE(2012,4,1),$D43&lt;=DATE(2012,12,31)),"2012年4〜12月の取得に250%を使うのは、経過措置を選んだ場合です。","")</f>
        <v/>
      </c>
      <c r="AK43" s="68">
        <f>IF($U43=0,"",IF($V43&lt;0,"表示している年より後に使い始める資産です。",IF($AE43=1,"売却・除却済みです。",IF($AD43=1,"この年に売却・除却。期末の帳簿価額 "&amp;TEXT($Y43,"#,##0")&amp;"円を帳簿から外します。",IF($F43=4,IF($V43=0,"少額特例：この年に全額を経費にします。","少額特例で経費にした資産です。"),IF($F43=3,IF($V43&gt;2,"一括償却は終わっています。","一括償却 "&amp;($V43+1)&amp;"年目（3年のうち）。"),IF($Z43=0,"償却済み（帳簿価額 "&amp;TEXT($Y43,"#,##0")&amp;"円）。",IF($AA43&gt;0,"改定償却率で計算（改定取得価額 "&amp;TEXT($AA43,"#,##0")&amp;"円）。",IF($V43=0,"この年に使い始め（"&amp;$AB43&amp;"か月分）。","")))))))))</f>
        <v/>
      </c>
      <c r="AL43" s="68">
        <f>IF(AND($U43=1,$F43=4,$V43=0),$C43,0)</f>
        <v/>
      </c>
      <c r="AM43" s="68">
        <f>IF($F43=2,INT(ROUND($M43,6)+$B$4),0)</f>
        <v/>
      </c>
      <c r="AN43" s="68">
        <f>IF($W43=0,0,IF($F43=2,IF($AA43&gt;0,$AA43,$X43),$C43))</f>
        <v/>
      </c>
      <c r="AO43" s="68">
        <f>IF($W43=0,"",IF($F43=3,"1/3",IF($F43=4,"―",IF($AA43&gt;0,$K43,$J43))))</f>
        <v/>
      </c>
      <c r="AP43" s="68" t="n"/>
      <c r="AQ43" s="68" t="n"/>
      <c r="AR43" s="68" t="n"/>
      <c r="AS43" s="68">
        <f>IF($U43=0,0,IF($F43=4,0,IF($F43=3,MAX($C43-INT(ROUND($C43/3,6)+$B$4),0),$C43-MIN(INT(ROUND($C43*$J43*IF($R43=0,$S43,$P43)/12,6)+$B$4),MAX($C43-$I43,0)))))</f>
        <v/>
      </c>
      <c r="AT43" s="68">
        <f>IF($U43=0,0,IF($F43=4,0,IF($F43=3,AS43-MIN(INT(ROUND($C43/3,6)+$B$4),AS43),IF(OR(1&gt;$R43,AS43&lt;=$I43),AS43,AS43-MIN(INT(ROUND(IF($F43=1,$C43*$J43,IF(ER43&gt;0,ER43*$K43,AS43*$J43))*IF(1=$R43,$S43,12)/12,6)+$B$4),AS43-$I43)))))</f>
        <v/>
      </c>
      <c r="AU43" s="68">
        <f>IF($U43=0,0,IF($F43=4,0,IF($F43=3,0,IF(OR(2&gt;$R43,AT43&lt;=$I43),AT43,AT43-MIN(INT(ROUND(IF($F43=1,$C43*$J43,IF(ES43&gt;0,ES43*$K43,AT43*$J43))*IF(2=$R43,$S43,12)/12,6)+$B$4),AT43-$I43)))))</f>
        <v/>
      </c>
      <c r="AV43" s="68">
        <f>IF($U43=0,0,IF($F43=4,0,IF($F43=3,0,IF(OR(3&gt;$R43,AU43&lt;=$I43),AU43,AU43-MIN(INT(ROUND(IF($F43=1,$C43*$J43,IF(ET43&gt;0,ET43*$K43,AU43*$J43))*IF(3=$R43,$S43,12)/12,6)+$B$4),AU43-$I43)))))</f>
        <v/>
      </c>
      <c r="AW43" s="68">
        <f>IF($U43=0,0,IF($F43=4,0,IF($F43=3,0,IF(OR(4&gt;$R43,AV43&lt;=$I43),AV43,AV43-MIN(INT(ROUND(IF($F43=1,$C43*$J43,IF(EU43&gt;0,EU43*$K43,AV43*$J43))*IF(4=$R43,$S43,12)/12,6)+$B$4),AV43-$I43)))))</f>
        <v/>
      </c>
      <c r="AX43" s="68">
        <f>IF($U43=0,0,IF($F43=4,0,IF($F43=3,0,IF(OR(5&gt;$R43,AW43&lt;=$I43),AW43,AW43-MIN(INT(ROUND(IF($F43=1,$C43*$J43,IF(EV43&gt;0,EV43*$K43,AW43*$J43))*IF(5=$R43,$S43,12)/12,6)+$B$4),AW43-$I43)))))</f>
        <v/>
      </c>
      <c r="AY43" s="68">
        <f>IF($U43=0,0,IF($F43=4,0,IF($F43=3,0,IF(OR(6&gt;$R43,AX43&lt;=$I43),AX43,AX43-MIN(INT(ROUND(IF($F43=1,$C43*$J43,IF(EW43&gt;0,EW43*$K43,AX43*$J43))*IF(6=$R43,$S43,12)/12,6)+$B$4),AX43-$I43)))))</f>
        <v/>
      </c>
      <c r="AZ43" s="68">
        <f>IF($U43=0,0,IF($F43=4,0,IF($F43=3,0,IF(OR(7&gt;$R43,AY43&lt;=$I43),AY43,AY43-MIN(INT(ROUND(IF($F43=1,$C43*$J43,IF(EX43&gt;0,EX43*$K43,AY43*$J43))*IF(7=$R43,$S43,12)/12,6)+$B$4),AY43-$I43)))))</f>
        <v/>
      </c>
      <c r="BA43" s="68">
        <f>IF($U43=0,0,IF($F43=4,0,IF($F43=3,0,IF(OR(8&gt;$R43,AZ43&lt;=$I43),AZ43,AZ43-MIN(INT(ROUND(IF($F43=1,$C43*$J43,IF(EY43&gt;0,EY43*$K43,AZ43*$J43))*IF(8=$R43,$S43,12)/12,6)+$B$4),AZ43-$I43)))))</f>
        <v/>
      </c>
      <c r="BB43" s="68">
        <f>IF($U43=0,0,IF($F43=4,0,IF($F43=3,0,IF(OR(9&gt;$R43,BA43&lt;=$I43),BA43,BA43-MIN(INT(ROUND(IF($F43=1,$C43*$J43,IF(EZ43&gt;0,EZ43*$K43,BA43*$J43))*IF(9=$R43,$S43,12)/12,6)+$B$4),BA43-$I43)))))</f>
        <v/>
      </c>
      <c r="BC43" s="68">
        <f>IF($U43=0,0,IF($F43=4,0,IF($F43=3,0,IF(OR(10&gt;$R43,BB43&lt;=$I43),BB43,BB43-MIN(INT(ROUND(IF($F43=1,$C43*$J43,IF(FA43&gt;0,FA43*$K43,BB43*$J43))*IF(10=$R43,$S43,12)/12,6)+$B$4),BB43-$I43)))))</f>
        <v/>
      </c>
      <c r="BD43" s="68">
        <f>IF($U43=0,0,IF($F43=4,0,IF($F43=3,0,IF(OR(11&gt;$R43,BC43&lt;=$I43),BC43,BC43-MIN(INT(ROUND(IF($F43=1,$C43*$J43,IF(FB43&gt;0,FB43*$K43,BC43*$J43))*IF(11=$R43,$S43,12)/12,6)+$B$4),BC43-$I43)))))</f>
        <v/>
      </c>
      <c r="BE43" s="68">
        <f>IF($U43=0,0,IF($F43=4,0,IF($F43=3,0,IF(OR(12&gt;$R43,BD43&lt;=$I43),BD43,BD43-MIN(INT(ROUND(IF($F43=1,$C43*$J43,IF(FC43&gt;0,FC43*$K43,BD43*$J43))*IF(12=$R43,$S43,12)/12,6)+$B$4),BD43-$I43)))))</f>
        <v/>
      </c>
      <c r="BF43" s="68">
        <f>IF($U43=0,0,IF($F43=4,0,IF($F43=3,0,IF(OR(13&gt;$R43,BE43&lt;=$I43),BE43,BE43-MIN(INT(ROUND(IF($F43=1,$C43*$J43,IF(FD43&gt;0,FD43*$K43,BE43*$J43))*IF(13=$R43,$S43,12)/12,6)+$B$4),BE43-$I43)))))</f>
        <v/>
      </c>
      <c r="BG43" s="68">
        <f>IF($U43=0,0,IF($F43=4,0,IF($F43=3,0,IF(OR(14&gt;$R43,BF43&lt;=$I43),BF43,BF43-MIN(INT(ROUND(IF($F43=1,$C43*$J43,IF(FE43&gt;0,FE43*$K43,BF43*$J43))*IF(14=$R43,$S43,12)/12,6)+$B$4),BF43-$I43)))))</f>
        <v/>
      </c>
      <c r="BH43" s="68">
        <f>IF($U43=0,0,IF($F43=4,0,IF($F43=3,0,IF(OR(15&gt;$R43,BG43&lt;=$I43),BG43,BG43-MIN(INT(ROUND(IF($F43=1,$C43*$J43,IF(FF43&gt;0,FF43*$K43,BG43*$J43))*IF(15=$R43,$S43,12)/12,6)+$B$4),BG43-$I43)))))</f>
        <v/>
      </c>
      <c r="BI43" s="68">
        <f>IF($U43=0,0,IF($F43=4,0,IF($F43=3,0,IF(OR(16&gt;$R43,BH43&lt;=$I43),BH43,BH43-MIN(INT(ROUND(IF($F43=1,$C43*$J43,IF(FG43&gt;0,FG43*$K43,BH43*$J43))*IF(16=$R43,$S43,12)/12,6)+$B$4),BH43-$I43)))))</f>
        <v/>
      </c>
      <c r="BJ43" s="68">
        <f>IF($U43=0,0,IF($F43=4,0,IF($F43=3,0,IF(OR(17&gt;$R43,BI43&lt;=$I43),BI43,BI43-MIN(INT(ROUND(IF($F43=1,$C43*$J43,IF(FH43&gt;0,FH43*$K43,BI43*$J43))*IF(17=$R43,$S43,12)/12,6)+$B$4),BI43-$I43)))))</f>
        <v/>
      </c>
      <c r="BK43" s="68">
        <f>IF($U43=0,0,IF($F43=4,0,IF($F43=3,0,IF(OR(18&gt;$R43,BJ43&lt;=$I43),BJ43,BJ43-MIN(INT(ROUND(IF($F43=1,$C43*$J43,IF(FI43&gt;0,FI43*$K43,BJ43*$J43))*IF(18=$R43,$S43,12)/12,6)+$B$4),BJ43-$I43)))))</f>
        <v/>
      </c>
      <c r="BL43" s="68">
        <f>IF($U43=0,0,IF($F43=4,0,IF($F43=3,0,IF(OR(19&gt;$R43,BK43&lt;=$I43),BK43,BK43-MIN(INT(ROUND(IF($F43=1,$C43*$J43,IF(FJ43&gt;0,FJ43*$K43,BK43*$J43))*IF(19=$R43,$S43,12)/12,6)+$B$4),BK43-$I43)))))</f>
        <v/>
      </c>
      <c r="BM43" s="68">
        <f>IF($U43=0,0,IF($F43=4,0,IF($F43=3,0,IF(OR(20&gt;$R43,BL43&lt;=$I43),BL43,BL43-MIN(INT(ROUND(IF($F43=1,$C43*$J43,IF(FK43&gt;0,FK43*$K43,BL43*$J43))*IF(20=$R43,$S43,12)/12,6)+$B$4),BL43-$I43)))))</f>
        <v/>
      </c>
      <c r="BN43" s="68">
        <f>IF($U43=0,0,IF($F43=4,0,IF($F43=3,0,IF(OR(21&gt;$R43,BM43&lt;=$I43),BM43,BM43-MIN(INT(ROUND(IF($F43=1,$C43*$J43,IF(FL43&gt;0,FL43*$K43,BM43*$J43))*IF(21=$R43,$S43,12)/12,6)+$B$4),BM43-$I43)))))</f>
        <v/>
      </c>
      <c r="BO43" s="68">
        <f>IF($U43=0,0,IF($F43=4,0,IF($F43=3,0,IF(OR(22&gt;$R43,BN43&lt;=$I43),BN43,BN43-MIN(INT(ROUND(IF($F43=1,$C43*$J43,IF(FM43&gt;0,FM43*$K43,BN43*$J43))*IF(22=$R43,$S43,12)/12,6)+$B$4),BN43-$I43)))))</f>
        <v/>
      </c>
      <c r="BP43" s="68">
        <f>IF($U43=0,0,IF($F43=4,0,IF($F43=3,0,IF(OR(23&gt;$R43,BO43&lt;=$I43),BO43,BO43-MIN(INT(ROUND(IF($F43=1,$C43*$J43,IF(FN43&gt;0,FN43*$K43,BO43*$J43))*IF(23=$R43,$S43,12)/12,6)+$B$4),BO43-$I43)))))</f>
        <v/>
      </c>
      <c r="BQ43" s="68">
        <f>IF($U43=0,0,IF($F43=4,0,IF($F43=3,0,IF(OR(24&gt;$R43,BP43&lt;=$I43),BP43,BP43-MIN(INT(ROUND(IF($F43=1,$C43*$J43,IF(FO43&gt;0,FO43*$K43,BP43*$J43))*IF(24=$R43,$S43,12)/12,6)+$B$4),BP43-$I43)))))</f>
        <v/>
      </c>
      <c r="BR43" s="68">
        <f>IF($U43=0,0,IF($F43=4,0,IF($F43=3,0,IF(OR(25&gt;$R43,BQ43&lt;=$I43),BQ43,BQ43-MIN(INT(ROUND(IF($F43=1,$C43*$J43,IF(FP43&gt;0,FP43*$K43,BQ43*$J43))*IF(25=$R43,$S43,12)/12,6)+$B$4),BQ43-$I43)))))</f>
        <v/>
      </c>
      <c r="BS43" s="68">
        <f>IF($U43=0,0,IF($F43=4,0,IF($F43=3,0,IF(OR(26&gt;$R43,BR43&lt;=$I43),BR43,BR43-MIN(INT(ROUND(IF($F43=1,$C43*$J43,IF(FQ43&gt;0,FQ43*$K43,BR43*$J43))*IF(26=$R43,$S43,12)/12,6)+$B$4),BR43-$I43)))))</f>
        <v/>
      </c>
      <c r="BT43" s="68">
        <f>IF($U43=0,0,IF($F43=4,0,IF($F43=3,0,IF(OR(27&gt;$R43,BS43&lt;=$I43),BS43,BS43-MIN(INT(ROUND(IF($F43=1,$C43*$J43,IF(FR43&gt;0,FR43*$K43,BS43*$J43))*IF(27=$R43,$S43,12)/12,6)+$B$4),BS43-$I43)))))</f>
        <v/>
      </c>
      <c r="BU43" s="68">
        <f>IF($U43=0,0,IF($F43=4,0,IF($F43=3,0,IF(OR(28&gt;$R43,BT43&lt;=$I43),BT43,BT43-MIN(INT(ROUND(IF($F43=1,$C43*$J43,IF(FS43&gt;0,FS43*$K43,BT43*$J43))*IF(28=$R43,$S43,12)/12,6)+$B$4),BT43-$I43)))))</f>
        <v/>
      </c>
      <c r="BV43" s="68">
        <f>IF($U43=0,0,IF($F43=4,0,IF($F43=3,0,IF(OR(29&gt;$R43,BU43&lt;=$I43),BU43,BU43-MIN(INT(ROUND(IF($F43=1,$C43*$J43,IF(FT43&gt;0,FT43*$K43,BU43*$J43))*IF(29=$R43,$S43,12)/12,6)+$B$4),BU43-$I43)))))</f>
        <v/>
      </c>
      <c r="BW43" s="68">
        <f>IF($U43=0,0,IF($F43=4,0,IF($F43=3,0,IF(OR(30&gt;$R43,BV43&lt;=$I43),BV43,BV43-MIN(INT(ROUND(IF($F43=1,$C43*$J43,IF(FU43&gt;0,FU43*$K43,BV43*$J43))*IF(30=$R43,$S43,12)/12,6)+$B$4),BV43-$I43)))))</f>
        <v/>
      </c>
      <c r="BX43" s="68">
        <f>IF($U43=0,0,IF($F43=4,0,IF($F43=3,0,IF(OR(31&gt;$R43,BW43&lt;=$I43),BW43,BW43-MIN(INT(ROUND(IF($F43=1,$C43*$J43,IF(FV43&gt;0,FV43*$K43,BW43*$J43))*IF(31=$R43,$S43,12)/12,6)+$B$4),BW43-$I43)))))</f>
        <v/>
      </c>
      <c r="BY43" s="68">
        <f>IF($U43=0,0,IF($F43=4,0,IF($F43=3,0,IF(OR(32&gt;$R43,BX43&lt;=$I43),BX43,BX43-MIN(INT(ROUND(IF($F43=1,$C43*$J43,IF(FW43&gt;0,FW43*$K43,BX43*$J43))*IF(32=$R43,$S43,12)/12,6)+$B$4),BX43-$I43)))))</f>
        <v/>
      </c>
      <c r="BZ43" s="68">
        <f>IF($U43=0,0,IF($F43=4,0,IF($F43=3,0,IF(OR(33&gt;$R43,BY43&lt;=$I43),BY43,BY43-MIN(INT(ROUND(IF($F43=1,$C43*$J43,IF(FX43&gt;0,FX43*$K43,BY43*$J43))*IF(33=$R43,$S43,12)/12,6)+$B$4),BY43-$I43)))))</f>
        <v/>
      </c>
      <c r="CA43" s="68">
        <f>IF($U43=0,0,IF($F43=4,0,IF($F43=3,0,IF(OR(34&gt;$R43,BZ43&lt;=$I43),BZ43,BZ43-MIN(INT(ROUND(IF($F43=1,$C43*$J43,IF(FY43&gt;0,FY43*$K43,BZ43*$J43))*IF(34=$R43,$S43,12)/12,6)+$B$4),BZ43-$I43)))))</f>
        <v/>
      </c>
      <c r="CB43" s="68">
        <f>IF($U43=0,0,IF($F43=4,0,IF($F43=3,0,IF(OR(35&gt;$R43,CA43&lt;=$I43),CA43,CA43-MIN(INT(ROUND(IF($F43=1,$C43*$J43,IF(FZ43&gt;0,FZ43*$K43,CA43*$J43))*IF(35=$R43,$S43,12)/12,6)+$B$4),CA43-$I43)))))</f>
        <v/>
      </c>
      <c r="CC43" s="68">
        <f>IF($U43=0,0,IF($F43=4,0,IF($F43=3,0,IF(OR(36&gt;$R43,CB43&lt;=$I43),CB43,CB43-MIN(INT(ROUND(IF($F43=1,$C43*$J43,IF(GA43&gt;0,GA43*$K43,CB43*$J43))*IF(36=$R43,$S43,12)/12,6)+$B$4),CB43-$I43)))))</f>
        <v/>
      </c>
      <c r="CD43" s="68">
        <f>IF($U43=0,0,IF($F43=4,0,IF($F43=3,0,IF(OR(37&gt;$R43,CC43&lt;=$I43),CC43,CC43-MIN(INT(ROUND(IF($F43=1,$C43*$J43,IF(GB43&gt;0,GB43*$K43,CC43*$J43))*IF(37=$R43,$S43,12)/12,6)+$B$4),CC43-$I43)))))</f>
        <v/>
      </c>
      <c r="CE43" s="68">
        <f>IF($U43=0,0,IF($F43=4,0,IF($F43=3,0,IF(OR(38&gt;$R43,CD43&lt;=$I43),CD43,CD43-MIN(INT(ROUND(IF($F43=1,$C43*$J43,IF(GC43&gt;0,GC43*$K43,CD43*$J43))*IF(38=$R43,$S43,12)/12,6)+$B$4),CD43-$I43)))))</f>
        <v/>
      </c>
      <c r="CF43" s="68">
        <f>IF($U43=0,0,IF($F43=4,0,IF($F43=3,0,IF(OR(39&gt;$R43,CE43&lt;=$I43),CE43,CE43-MIN(INT(ROUND(IF($F43=1,$C43*$J43,IF(GD43&gt;0,GD43*$K43,CE43*$J43))*IF(39=$R43,$S43,12)/12,6)+$B$4),CE43-$I43)))))</f>
        <v/>
      </c>
      <c r="CG43" s="68">
        <f>IF($U43=0,0,IF($F43=4,0,IF($F43=3,0,IF(OR(40&gt;$R43,CF43&lt;=$I43),CF43,CF43-MIN(INT(ROUND(IF($F43=1,$C43*$J43,IF(GE43&gt;0,GE43*$K43,CF43*$J43))*IF(40=$R43,$S43,12)/12,6)+$B$4),CF43-$I43)))))</f>
        <v/>
      </c>
      <c r="CH43" s="68">
        <f>IF($U43=0,0,IF($F43=4,0,IF($F43=3,0,IF(OR(41&gt;$R43,CG43&lt;=$I43),CG43,CG43-MIN(INT(ROUND(IF($F43=1,$C43*$J43,IF(GF43&gt;0,GF43*$K43,CG43*$J43))*IF(41=$R43,$S43,12)/12,6)+$B$4),CG43-$I43)))))</f>
        <v/>
      </c>
      <c r="CI43" s="68">
        <f>IF($U43=0,0,IF($F43=4,0,IF($F43=3,0,IF(OR(42&gt;$R43,CH43&lt;=$I43),CH43,CH43-MIN(INT(ROUND(IF($F43=1,$C43*$J43,IF(GG43&gt;0,GG43*$K43,CH43*$J43))*IF(42=$R43,$S43,12)/12,6)+$B$4),CH43-$I43)))))</f>
        <v/>
      </c>
      <c r="CJ43" s="68">
        <f>IF($U43=0,0,IF($F43=4,0,IF($F43=3,0,IF(OR(43&gt;$R43,CI43&lt;=$I43),CI43,CI43-MIN(INT(ROUND(IF($F43=1,$C43*$J43,IF(GH43&gt;0,GH43*$K43,CI43*$J43))*IF(43=$R43,$S43,12)/12,6)+$B$4),CI43-$I43)))))</f>
        <v/>
      </c>
      <c r="CK43" s="68">
        <f>IF($U43=0,0,IF($F43=4,0,IF($F43=3,0,IF(OR(44&gt;$R43,CJ43&lt;=$I43),CJ43,CJ43-MIN(INT(ROUND(IF($F43=1,$C43*$J43,IF(GI43&gt;0,GI43*$K43,CJ43*$J43))*IF(44=$R43,$S43,12)/12,6)+$B$4),CJ43-$I43)))))</f>
        <v/>
      </c>
      <c r="CL43" s="68">
        <f>IF($U43=0,0,IF($F43=4,0,IF($F43=3,0,IF(OR(45&gt;$R43,CK43&lt;=$I43),CK43,CK43-MIN(INT(ROUND(IF($F43=1,$C43*$J43,IF(GJ43&gt;0,GJ43*$K43,CK43*$J43))*IF(45=$R43,$S43,12)/12,6)+$B$4),CK43-$I43)))))</f>
        <v/>
      </c>
      <c r="CM43" s="68">
        <f>IF($U43=0,0,IF($F43=4,0,IF($F43=3,0,IF(OR(46&gt;$R43,CL43&lt;=$I43),CL43,CL43-MIN(INT(ROUND(IF($F43=1,$C43*$J43,IF(GK43&gt;0,GK43*$K43,CL43*$J43))*IF(46=$R43,$S43,12)/12,6)+$B$4),CL43-$I43)))))</f>
        <v/>
      </c>
      <c r="CN43" s="68">
        <f>IF($U43=0,0,IF($F43=4,0,IF($F43=3,0,IF(OR(47&gt;$R43,CM43&lt;=$I43),CM43,CM43-MIN(INT(ROUND(IF($F43=1,$C43*$J43,IF(GL43&gt;0,GL43*$K43,CM43*$J43))*IF(47=$R43,$S43,12)/12,6)+$B$4),CM43-$I43)))))</f>
        <v/>
      </c>
      <c r="CO43" s="68">
        <f>IF($U43=0,0,IF($F43=4,0,IF($F43=3,0,IF(OR(48&gt;$R43,CN43&lt;=$I43),CN43,CN43-MIN(INT(ROUND(IF($F43=1,$C43*$J43,IF(GM43&gt;0,GM43*$K43,CN43*$J43))*IF(48=$R43,$S43,12)/12,6)+$B$4),CN43-$I43)))))</f>
        <v/>
      </c>
      <c r="CP43" s="68">
        <f>IF($U43=0,0,IF($F43=4,0,IF($F43=3,0,IF(OR(49&gt;$R43,CO43&lt;=$I43),CO43,CO43-MIN(INT(ROUND(IF($F43=1,$C43*$J43,IF(GN43&gt;0,GN43*$K43,CO43*$J43))*IF(49=$R43,$S43,12)/12,6)+$B$4),CO43-$I43)))))</f>
        <v/>
      </c>
      <c r="CQ43" s="68">
        <f>IF($U43=0,0,IF($F43=4,0,IF($F43=3,0,IF(OR(50&gt;$R43,CP43&lt;=$I43),CP43,CP43-MIN(INT(ROUND(IF($F43=1,$C43*$J43,IF(GO43&gt;0,GO43*$K43,CP43*$J43))*IF(50=$R43,$S43,12)/12,6)+$B$4),CP43-$I43)))))</f>
        <v/>
      </c>
      <c r="CR43" s="68">
        <f>IF($U43=0,0,IF($F43=4,0,IF($F43=3,0,IF(OR(51&gt;$R43,CQ43&lt;=$I43),CQ43,CQ43-MIN(INT(ROUND(IF($F43=1,$C43*$J43,IF(GP43&gt;0,GP43*$K43,CQ43*$J43))*IF(51=$R43,$S43,12)/12,6)+$B$4),CQ43-$I43)))))</f>
        <v/>
      </c>
      <c r="CS43" s="68">
        <f>IF($U43=0,0,IF($F43=4,0,IF($F43=3,0,IF(OR(52&gt;$R43,CR43&lt;=$I43),CR43,CR43-MIN(INT(ROUND(IF($F43=1,$C43*$J43,IF(GQ43&gt;0,GQ43*$K43,CR43*$J43))*IF(52=$R43,$S43,12)/12,6)+$B$4),CR43-$I43)))))</f>
        <v/>
      </c>
      <c r="CT43" s="68">
        <f>IF($U43=0,0,IF($F43=4,0,IF($F43=3,0,IF(OR(53&gt;$R43,CS43&lt;=$I43),CS43,CS43-MIN(INT(ROUND(IF($F43=1,$C43*$J43,IF(GR43&gt;0,GR43*$K43,CS43*$J43))*IF(53=$R43,$S43,12)/12,6)+$B$4),CS43-$I43)))))</f>
        <v/>
      </c>
      <c r="CU43" s="68">
        <f>IF($U43=0,0,IF($F43=4,0,IF($F43=3,0,IF(OR(54&gt;$R43,CT43&lt;=$I43),CT43,CT43-MIN(INT(ROUND(IF($F43=1,$C43*$J43,IF(GS43&gt;0,GS43*$K43,CT43*$J43))*IF(54=$R43,$S43,12)/12,6)+$B$4),CT43-$I43)))))</f>
        <v/>
      </c>
      <c r="CV43" s="68">
        <f>IF($U43=0,0,IF($F43=4,0,IF($F43=3,0,IF(OR(55&gt;$R43,CU43&lt;=$I43),CU43,CU43-MIN(INT(ROUND(IF($F43=1,$C43*$J43,IF(GT43&gt;0,GT43*$K43,CU43*$J43))*IF(55=$R43,$S43,12)/12,6)+$B$4),CU43-$I43)))))</f>
        <v/>
      </c>
      <c r="CW43" s="68">
        <f>IF($U43=0,0,IF($F43=4,0,IF($F43=3,0,IF(OR(56&gt;$R43,CV43&lt;=$I43),CV43,CV43-MIN(INT(ROUND(IF($F43=1,$C43*$J43,IF(GU43&gt;0,GU43*$K43,CV43*$J43))*IF(56=$R43,$S43,12)/12,6)+$B$4),CV43-$I43)))))</f>
        <v/>
      </c>
      <c r="CX43" s="68">
        <f>IF($U43=0,0,IF($F43=4,0,IF($F43=3,0,IF(OR(57&gt;$R43,CW43&lt;=$I43),CW43,CW43-MIN(INT(ROUND(IF($F43=1,$C43*$J43,IF(GV43&gt;0,GV43*$K43,CW43*$J43))*IF(57=$R43,$S43,12)/12,6)+$B$4),CW43-$I43)))))</f>
        <v/>
      </c>
      <c r="CY43" s="68">
        <f>IF($U43=0,0,IF($F43=4,0,IF($F43=3,0,IF(OR(58&gt;$R43,CX43&lt;=$I43),CX43,CX43-MIN(INT(ROUND(IF($F43=1,$C43*$J43,IF(GW43&gt;0,GW43*$K43,CX43*$J43))*IF(58=$R43,$S43,12)/12,6)+$B$4),CX43-$I43)))))</f>
        <v/>
      </c>
      <c r="CZ43" s="68">
        <f>IF($U43=0,0,IF($F43=4,0,IF($F43=3,0,IF(OR(59&gt;$R43,CY43&lt;=$I43),CY43,CY43-MIN(INT(ROUND(IF($F43=1,$C43*$J43,IF(GX43&gt;0,GX43*$K43,CY43*$J43))*IF(59=$R43,$S43,12)/12,6)+$B$4),CY43-$I43)))))</f>
        <v/>
      </c>
      <c r="DA43" s="68">
        <f>IF($U43=0,0,IF($F43=4,0,IF($F43=3,0,IF(OR(60&gt;$R43,CZ43&lt;=$I43),CZ43,CZ43-MIN(INT(ROUND(IF($F43=1,$C43*$J43,IF(GY43&gt;0,GY43*$K43,CZ43*$J43))*IF(60=$R43,$S43,12)/12,6)+$B$4),CZ43-$I43)))))</f>
        <v/>
      </c>
      <c r="DB43" s="68">
        <f>IF($U43=0,0,IF($F43=4,0,IF($F43=3,0,IF(OR(61&gt;$R43,DA43&lt;=$I43),DA43,DA43-MIN(INT(ROUND(IF($F43=1,$C43*$J43,IF(GZ43&gt;0,GZ43*$K43,DA43*$J43))*IF(61=$R43,$S43,12)/12,6)+$B$4),DA43-$I43)))))</f>
        <v/>
      </c>
      <c r="DC43" s="68">
        <f>IF($U43=0,0,IF($F43=4,0,IF($F43=3,0,IF(OR(62&gt;$R43,DB43&lt;=$I43),DB43,DB43-MIN(INT(ROUND(IF($F43=1,$C43*$J43,IF(HA43&gt;0,HA43*$K43,DB43*$J43))*IF(62=$R43,$S43,12)/12,6)+$B$4),DB43-$I43)))))</f>
        <v/>
      </c>
      <c r="DD43" s="68">
        <f>IF($U43=0,0,IF($F43=4,0,IF($F43=3,0,IF(OR(63&gt;$R43,DC43&lt;=$I43),DC43,DC43-MIN(INT(ROUND(IF($F43=1,$C43*$J43,IF(HB43&gt;0,HB43*$K43,DC43*$J43))*IF(63=$R43,$S43,12)/12,6)+$B$4),DC43-$I43)))))</f>
        <v/>
      </c>
      <c r="DE43" s="68">
        <f>IF($U43=0,0,IF($F43=4,0,IF($F43=3,0,IF(OR(64&gt;$R43,DD43&lt;=$I43),DD43,DD43-MIN(INT(ROUND(IF($F43=1,$C43*$J43,IF(HC43&gt;0,HC43*$K43,DD43*$J43))*IF(64=$R43,$S43,12)/12,6)+$B$4),DD43-$I43)))))</f>
        <v/>
      </c>
      <c r="DF43" s="68">
        <f>IF($U43=0,0,IF($F43=4,0,IF($F43=3,0,IF(OR(65&gt;$R43,DE43&lt;=$I43),DE43,DE43-MIN(INT(ROUND(IF($F43=1,$C43*$J43,IF(HD43&gt;0,HD43*$K43,DE43*$J43))*IF(65=$R43,$S43,12)/12,6)+$B$4),DE43-$I43)))))</f>
        <v/>
      </c>
      <c r="DG43" s="68">
        <f>IF($U43=0,0,IF($F43=4,0,IF($F43=3,0,IF(OR(66&gt;$R43,DF43&lt;=$I43),DF43,DF43-MIN(INT(ROUND(IF($F43=1,$C43*$J43,IF(HE43&gt;0,HE43*$K43,DF43*$J43))*IF(66=$R43,$S43,12)/12,6)+$B$4),DF43-$I43)))))</f>
        <v/>
      </c>
      <c r="DH43" s="68">
        <f>IF($U43=0,0,IF($F43=4,0,IF($F43=3,0,IF(OR(67&gt;$R43,DG43&lt;=$I43),DG43,DG43-MIN(INT(ROUND(IF($F43=1,$C43*$J43,IF(HF43&gt;0,HF43*$K43,DG43*$J43))*IF(67=$R43,$S43,12)/12,6)+$B$4),DG43-$I43)))))</f>
        <v/>
      </c>
      <c r="DI43" s="68">
        <f>IF($U43=0,0,IF($F43=4,0,IF($F43=3,0,IF(OR(68&gt;$R43,DH43&lt;=$I43),DH43,DH43-MIN(INT(ROUND(IF($F43=1,$C43*$J43,IF(HG43&gt;0,HG43*$K43,DH43*$J43))*IF(68=$R43,$S43,12)/12,6)+$B$4),DH43-$I43)))))</f>
        <v/>
      </c>
      <c r="DJ43" s="68">
        <f>IF($U43=0,0,IF($F43=4,0,IF($F43=3,0,IF(OR(69&gt;$R43,DI43&lt;=$I43),DI43,DI43-MIN(INT(ROUND(IF($F43=1,$C43*$J43,IF(HH43&gt;0,HH43*$K43,DI43*$J43))*IF(69=$R43,$S43,12)/12,6)+$B$4),DI43-$I43)))))</f>
        <v/>
      </c>
      <c r="DK43" s="68">
        <f>IF($U43=0,0,IF($F43=4,0,IF($F43=3,0,IF(OR(70&gt;$R43,DJ43&lt;=$I43),DJ43,DJ43-MIN(INT(ROUND(IF($F43=1,$C43*$J43,IF(HI43&gt;0,HI43*$K43,DJ43*$J43))*IF(70=$R43,$S43,12)/12,6)+$B$4),DJ43-$I43)))))</f>
        <v/>
      </c>
      <c r="DL43" s="68">
        <f>IF($U43=0,0,IF($F43=4,0,IF($F43=3,0,IF(OR(71&gt;$R43,DK43&lt;=$I43),DK43,DK43-MIN(INT(ROUND(IF($F43=1,$C43*$J43,IF(HJ43&gt;0,HJ43*$K43,DK43*$J43))*IF(71=$R43,$S43,12)/12,6)+$B$4),DK43-$I43)))))</f>
        <v/>
      </c>
      <c r="DM43" s="68">
        <f>IF($U43=0,0,IF($F43=4,0,IF($F43=3,0,IF(OR(72&gt;$R43,DL43&lt;=$I43),DL43,DL43-MIN(INT(ROUND(IF($F43=1,$C43*$J43,IF(HK43&gt;0,HK43*$K43,DL43*$J43))*IF(72=$R43,$S43,12)/12,6)+$B$4),DL43-$I43)))))</f>
        <v/>
      </c>
      <c r="DN43" s="68">
        <f>IF($U43=0,0,IF($F43=4,0,IF($F43=3,0,IF(OR(73&gt;$R43,DM43&lt;=$I43),DM43,DM43-MIN(INT(ROUND(IF($F43=1,$C43*$J43,IF(HL43&gt;0,HL43*$K43,DM43*$J43))*IF(73=$R43,$S43,12)/12,6)+$B$4),DM43-$I43)))))</f>
        <v/>
      </c>
      <c r="DO43" s="68">
        <f>IF($U43=0,0,IF($F43=4,0,IF($F43=3,0,IF(OR(74&gt;$R43,DN43&lt;=$I43),DN43,DN43-MIN(INT(ROUND(IF($F43=1,$C43*$J43,IF(HM43&gt;0,HM43*$K43,DN43*$J43))*IF(74=$R43,$S43,12)/12,6)+$B$4),DN43-$I43)))))</f>
        <v/>
      </c>
      <c r="DP43" s="68">
        <f>IF($U43=0,0,IF($F43=4,0,IF($F43=3,0,IF(OR(75&gt;$R43,DO43&lt;=$I43),DO43,DO43-MIN(INT(ROUND(IF($F43=1,$C43*$J43,IF(HN43&gt;0,HN43*$K43,DO43*$J43))*IF(75=$R43,$S43,12)/12,6)+$B$4),DO43-$I43)))))</f>
        <v/>
      </c>
      <c r="DQ43" s="68">
        <f>IF($U43=0,0,IF($F43=4,0,IF($F43=3,0,IF(OR(76&gt;$R43,DP43&lt;=$I43),DP43,DP43-MIN(INT(ROUND(IF($F43=1,$C43*$J43,IF(HO43&gt;0,HO43*$K43,DP43*$J43))*IF(76=$R43,$S43,12)/12,6)+$B$4),DP43-$I43)))))</f>
        <v/>
      </c>
      <c r="DR43" s="68">
        <f>IF($U43=0,0,IF($F43=4,0,IF($F43=3,0,IF(OR(77&gt;$R43,DQ43&lt;=$I43),DQ43,DQ43-MIN(INT(ROUND(IF($F43=1,$C43*$J43,IF(HP43&gt;0,HP43*$K43,DQ43*$J43))*IF(77=$R43,$S43,12)/12,6)+$B$4),DQ43-$I43)))))</f>
        <v/>
      </c>
      <c r="DS43" s="68">
        <f>IF($U43=0,0,IF($F43=4,0,IF($F43=3,0,IF(OR(78&gt;$R43,DR43&lt;=$I43),DR43,DR43-MIN(INT(ROUND(IF($F43=1,$C43*$J43,IF(HQ43&gt;0,HQ43*$K43,DR43*$J43))*IF(78=$R43,$S43,12)/12,6)+$B$4),DR43-$I43)))))</f>
        <v/>
      </c>
      <c r="DT43" s="68">
        <f>IF($U43=0,0,IF($F43=4,0,IF($F43=3,0,IF(OR(79&gt;$R43,DS43&lt;=$I43),DS43,DS43-MIN(INT(ROUND(IF($F43=1,$C43*$J43,IF(HR43&gt;0,HR43*$K43,DS43*$J43))*IF(79=$R43,$S43,12)/12,6)+$B$4),DS43-$I43)))))</f>
        <v/>
      </c>
      <c r="DU43" s="68">
        <f>IF($U43=0,0,IF($F43=4,0,IF($F43=3,0,IF(OR(80&gt;$R43,DT43&lt;=$I43),DT43,DT43-MIN(INT(ROUND(IF($F43=1,$C43*$J43,IF(HS43&gt;0,HS43*$K43,DT43*$J43))*IF(80=$R43,$S43,12)/12,6)+$B$4),DT43-$I43)))))</f>
        <v/>
      </c>
      <c r="DV43" s="68">
        <f>IF($U43=0,0,IF($F43=4,0,IF($F43=3,0,IF(OR(81&gt;$R43,DU43&lt;=$I43),DU43,DU43-MIN(INT(ROUND(IF($F43=1,$C43*$J43,IF(HT43&gt;0,HT43*$K43,DU43*$J43))*IF(81=$R43,$S43,12)/12,6)+$B$4),DU43-$I43)))))</f>
        <v/>
      </c>
      <c r="DW43" s="68">
        <f>IF($U43=0,0,IF($F43=4,0,IF($F43=3,0,IF(OR(82&gt;$R43,DV43&lt;=$I43),DV43,DV43-MIN(INT(ROUND(IF($F43=1,$C43*$J43,IF(HU43&gt;0,HU43*$K43,DV43*$J43))*IF(82=$R43,$S43,12)/12,6)+$B$4),DV43-$I43)))))</f>
        <v/>
      </c>
      <c r="DX43" s="68">
        <f>IF($U43=0,0,IF($F43=4,0,IF($F43=3,0,IF(OR(83&gt;$R43,DW43&lt;=$I43),DW43,DW43-MIN(INT(ROUND(IF($F43=1,$C43*$J43,IF(HV43&gt;0,HV43*$K43,DW43*$J43))*IF(83=$R43,$S43,12)/12,6)+$B$4),DW43-$I43)))))</f>
        <v/>
      </c>
      <c r="DY43" s="68">
        <f>IF($U43=0,0,IF($F43=4,0,IF($F43=3,0,IF(OR(84&gt;$R43,DX43&lt;=$I43),DX43,DX43-MIN(INT(ROUND(IF($F43=1,$C43*$J43,IF(HW43&gt;0,HW43*$K43,DX43*$J43))*IF(84=$R43,$S43,12)/12,6)+$B$4),DX43-$I43)))))</f>
        <v/>
      </c>
      <c r="DZ43" s="68">
        <f>IF($U43=0,0,IF($F43=4,0,IF($F43=3,0,IF(OR(85&gt;$R43,DY43&lt;=$I43),DY43,DY43-MIN(INT(ROUND(IF($F43=1,$C43*$J43,IF(HX43&gt;0,HX43*$K43,DY43*$J43))*IF(85=$R43,$S43,12)/12,6)+$B$4),DY43-$I43)))))</f>
        <v/>
      </c>
      <c r="EA43" s="68">
        <f>IF($U43=0,0,IF($F43=4,0,IF($F43=3,0,IF(OR(86&gt;$R43,DZ43&lt;=$I43),DZ43,DZ43-MIN(INT(ROUND(IF($F43=1,$C43*$J43,IF(HY43&gt;0,HY43*$K43,DZ43*$J43))*IF(86=$R43,$S43,12)/12,6)+$B$4),DZ43-$I43)))))</f>
        <v/>
      </c>
      <c r="EB43" s="68">
        <f>IF($U43=0,0,IF($F43=4,0,IF($F43=3,0,IF(OR(87&gt;$R43,EA43&lt;=$I43),EA43,EA43-MIN(INT(ROUND(IF($F43=1,$C43*$J43,IF(HZ43&gt;0,HZ43*$K43,EA43*$J43))*IF(87=$R43,$S43,12)/12,6)+$B$4),EA43-$I43)))))</f>
        <v/>
      </c>
      <c r="EC43" s="68">
        <f>IF($U43=0,0,IF($F43=4,0,IF($F43=3,0,IF(OR(88&gt;$R43,EB43&lt;=$I43),EB43,EB43-MIN(INT(ROUND(IF($F43=1,$C43*$J43,IF(IA43&gt;0,IA43*$K43,EB43*$J43))*IF(88=$R43,$S43,12)/12,6)+$B$4),EB43-$I43)))))</f>
        <v/>
      </c>
      <c r="ED43" s="68">
        <f>IF($U43=0,0,IF($F43=4,0,IF($F43=3,0,IF(OR(89&gt;$R43,EC43&lt;=$I43),EC43,EC43-MIN(INT(ROUND(IF($F43=1,$C43*$J43,IF(IB43&gt;0,IB43*$K43,EC43*$J43))*IF(89=$R43,$S43,12)/12,6)+$B$4),EC43-$I43)))))</f>
        <v/>
      </c>
      <c r="EE43" s="68">
        <f>IF($U43=0,0,IF($F43=4,0,IF($F43=3,0,IF(OR(90&gt;$R43,ED43&lt;=$I43),ED43,ED43-MIN(INT(ROUND(IF($F43=1,$C43*$J43,IF(IC43&gt;0,IC43*$K43,ED43*$J43))*IF(90=$R43,$S43,12)/12,6)+$B$4),ED43-$I43)))))</f>
        <v/>
      </c>
      <c r="EF43" s="68">
        <f>IF($U43=0,0,IF($F43=4,0,IF($F43=3,0,IF(OR(91&gt;$R43,EE43&lt;=$I43),EE43,EE43-MIN(INT(ROUND(IF($F43=1,$C43*$J43,IF(ID43&gt;0,ID43*$K43,EE43*$J43))*IF(91=$R43,$S43,12)/12,6)+$B$4),EE43-$I43)))))</f>
        <v/>
      </c>
      <c r="EG43" s="68">
        <f>IF($U43=0,0,IF($F43=4,0,IF($F43=3,0,IF(OR(92&gt;$R43,EF43&lt;=$I43),EF43,EF43-MIN(INT(ROUND(IF($F43=1,$C43*$J43,IF(IE43&gt;0,IE43*$K43,EF43*$J43))*IF(92=$R43,$S43,12)/12,6)+$B$4),EF43-$I43)))))</f>
        <v/>
      </c>
      <c r="EH43" s="68">
        <f>IF($U43=0,0,IF($F43=4,0,IF($F43=3,0,IF(OR(93&gt;$R43,EG43&lt;=$I43),EG43,EG43-MIN(INT(ROUND(IF($F43=1,$C43*$J43,IF(IF43&gt;0,IF43*$K43,EG43*$J43))*IF(93=$R43,$S43,12)/12,6)+$B$4),EG43-$I43)))))</f>
        <v/>
      </c>
      <c r="EI43" s="68">
        <f>IF($U43=0,0,IF($F43=4,0,IF($F43=3,0,IF(OR(94&gt;$R43,EH43&lt;=$I43),EH43,EH43-MIN(INT(ROUND(IF($F43=1,$C43*$J43,IF(IG43&gt;0,IG43*$K43,EH43*$J43))*IF(94=$R43,$S43,12)/12,6)+$B$4),EH43-$I43)))))</f>
        <v/>
      </c>
      <c r="EJ43" s="68">
        <f>IF($U43=0,0,IF($F43=4,0,IF($F43=3,0,IF(OR(95&gt;$R43,EI43&lt;=$I43),EI43,EI43-MIN(INT(ROUND(IF($F43=1,$C43*$J43,IF(IH43&gt;0,IH43*$K43,EI43*$J43))*IF(95=$R43,$S43,12)/12,6)+$B$4),EI43-$I43)))))</f>
        <v/>
      </c>
      <c r="EK43" s="68">
        <f>IF($U43=0,0,IF($F43=4,0,IF($F43=3,0,IF(OR(96&gt;$R43,EJ43&lt;=$I43),EJ43,EJ43-MIN(INT(ROUND(IF($F43=1,$C43*$J43,IF(II43&gt;0,II43*$K43,EJ43*$J43))*IF(96=$R43,$S43,12)/12,6)+$B$4),EJ43-$I43)))))</f>
        <v/>
      </c>
      <c r="EL43" s="68">
        <f>IF($U43=0,0,IF($F43=4,0,IF($F43=3,0,IF(OR(97&gt;$R43,EK43&lt;=$I43),EK43,EK43-MIN(INT(ROUND(IF($F43=1,$C43*$J43,IF(IJ43&gt;0,IJ43*$K43,EK43*$J43))*IF(97=$R43,$S43,12)/12,6)+$B$4),EK43-$I43)))))</f>
        <v/>
      </c>
      <c r="EM43" s="68">
        <f>IF($U43=0,0,IF($F43=4,0,IF($F43=3,0,IF(OR(98&gt;$R43,EL43&lt;=$I43),EL43,EL43-MIN(INT(ROUND(IF($F43=1,$C43*$J43,IF(IK43&gt;0,IK43*$K43,EL43*$J43))*IF(98=$R43,$S43,12)/12,6)+$B$4),EL43-$I43)))))</f>
        <v/>
      </c>
      <c r="EN43" s="68">
        <f>IF($U43=0,0,IF($F43=4,0,IF($F43=3,0,IF(OR(99&gt;$R43,EM43&lt;=$I43),EM43,EM43-MIN(INT(ROUND(IF($F43=1,$C43*$J43,IF(IL43&gt;0,IL43*$K43,EM43*$J43))*IF(99=$R43,$S43,12)/12,6)+$B$4),EM43-$I43)))))</f>
        <v/>
      </c>
      <c r="EO43" s="68">
        <f>IF($U43=0,0,IF($F43=4,0,IF($F43=3,0,IF(OR(100&gt;$R43,EN43&lt;=$I43),EN43,EN43-MIN(INT(ROUND(IF($F43=1,$C43*$J43,IF(IM43&gt;0,IM43*$K43,EN43*$J43))*IF(100=$R43,$S43,12)/12,6)+$B$4),EN43-$I43)))))</f>
        <v/>
      </c>
      <c r="EP43" s="68">
        <f>IF($U43=0,0,IF($F43=4,0,IF($F43=3,0,IF(OR(101&gt;$R43,EO43&lt;=$I43),EO43,EO43-MIN(INT(ROUND(IF($F43=1,$C43*$J43,IF(IN43&gt;0,IN43*$K43,EO43*$J43))*IF(101=$R43,$S43,12)/12,6)+$B$4),EO43-$I43)))))</f>
        <v/>
      </c>
      <c r="EQ43" s="68" t="n"/>
      <c r="ER43" s="68">
        <f>IF(OR($U43=0,$F43&lt;&gt;2),0,IF(ROUND(AS43*$J43,6)&lt;ROUND($M43,6),AS43,0))</f>
        <v/>
      </c>
      <c r="ES43" s="68">
        <f>IF(OR($U43=0,$F43&lt;&gt;2),0,IF(ER43&gt;0,ER43,IF(ROUND(AT43*$J43,6)&lt;ROUND($M43,6),AT43,0)))</f>
        <v/>
      </c>
      <c r="ET43" s="68">
        <f>IF(OR($U43=0,$F43&lt;&gt;2),0,IF(ES43&gt;0,ES43,IF(ROUND(AU43*$J43,6)&lt;ROUND($M43,6),AU43,0)))</f>
        <v/>
      </c>
      <c r="EU43" s="68">
        <f>IF(OR($U43=0,$F43&lt;&gt;2),0,IF(ET43&gt;0,ET43,IF(ROUND(AV43*$J43,6)&lt;ROUND($M43,6),AV43,0)))</f>
        <v/>
      </c>
      <c r="EV43" s="68">
        <f>IF(OR($U43=0,$F43&lt;&gt;2),0,IF(EU43&gt;0,EU43,IF(ROUND(AW43*$J43,6)&lt;ROUND($M43,6),AW43,0)))</f>
        <v/>
      </c>
      <c r="EW43" s="68">
        <f>IF(OR($U43=0,$F43&lt;&gt;2),0,IF(EV43&gt;0,EV43,IF(ROUND(AX43*$J43,6)&lt;ROUND($M43,6),AX43,0)))</f>
        <v/>
      </c>
      <c r="EX43" s="68">
        <f>IF(OR($U43=0,$F43&lt;&gt;2),0,IF(EW43&gt;0,EW43,IF(ROUND(AY43*$J43,6)&lt;ROUND($M43,6),AY43,0)))</f>
        <v/>
      </c>
      <c r="EY43" s="68">
        <f>IF(OR($U43=0,$F43&lt;&gt;2),0,IF(EX43&gt;0,EX43,IF(ROUND(AZ43*$J43,6)&lt;ROUND($M43,6),AZ43,0)))</f>
        <v/>
      </c>
      <c r="EZ43" s="68">
        <f>IF(OR($U43=0,$F43&lt;&gt;2),0,IF(EY43&gt;0,EY43,IF(ROUND(BA43*$J43,6)&lt;ROUND($M43,6),BA43,0)))</f>
        <v/>
      </c>
      <c r="FA43" s="68">
        <f>IF(OR($U43=0,$F43&lt;&gt;2),0,IF(EZ43&gt;0,EZ43,IF(ROUND(BB43*$J43,6)&lt;ROUND($M43,6),BB43,0)))</f>
        <v/>
      </c>
      <c r="FB43" s="68">
        <f>IF(OR($U43=0,$F43&lt;&gt;2),0,IF(FA43&gt;0,FA43,IF(ROUND(BC43*$J43,6)&lt;ROUND($M43,6),BC43,0)))</f>
        <v/>
      </c>
      <c r="FC43" s="68">
        <f>IF(OR($U43=0,$F43&lt;&gt;2),0,IF(FB43&gt;0,FB43,IF(ROUND(BD43*$J43,6)&lt;ROUND($M43,6),BD43,0)))</f>
        <v/>
      </c>
      <c r="FD43" s="68">
        <f>IF(OR($U43=0,$F43&lt;&gt;2),0,IF(FC43&gt;0,FC43,IF(ROUND(BE43*$J43,6)&lt;ROUND($M43,6),BE43,0)))</f>
        <v/>
      </c>
      <c r="FE43" s="68">
        <f>IF(OR($U43=0,$F43&lt;&gt;2),0,IF(FD43&gt;0,FD43,IF(ROUND(BF43*$J43,6)&lt;ROUND($M43,6),BF43,0)))</f>
        <v/>
      </c>
      <c r="FF43" s="68">
        <f>IF(OR($U43=0,$F43&lt;&gt;2),0,IF(FE43&gt;0,FE43,IF(ROUND(BG43*$J43,6)&lt;ROUND($M43,6),BG43,0)))</f>
        <v/>
      </c>
      <c r="FG43" s="68">
        <f>IF(OR($U43=0,$F43&lt;&gt;2),0,IF(FF43&gt;0,FF43,IF(ROUND(BH43*$J43,6)&lt;ROUND($M43,6),BH43,0)))</f>
        <v/>
      </c>
      <c r="FH43" s="68">
        <f>IF(OR($U43=0,$F43&lt;&gt;2),0,IF(FG43&gt;0,FG43,IF(ROUND(BI43*$J43,6)&lt;ROUND($M43,6),BI43,0)))</f>
        <v/>
      </c>
      <c r="FI43" s="68">
        <f>IF(OR($U43=0,$F43&lt;&gt;2),0,IF(FH43&gt;0,FH43,IF(ROUND(BJ43*$J43,6)&lt;ROUND($M43,6),BJ43,0)))</f>
        <v/>
      </c>
      <c r="FJ43" s="68">
        <f>IF(OR($U43=0,$F43&lt;&gt;2),0,IF(FI43&gt;0,FI43,IF(ROUND(BK43*$J43,6)&lt;ROUND($M43,6),BK43,0)))</f>
        <v/>
      </c>
      <c r="FK43" s="68">
        <f>IF(OR($U43=0,$F43&lt;&gt;2),0,IF(FJ43&gt;0,FJ43,IF(ROUND(BL43*$J43,6)&lt;ROUND($M43,6),BL43,0)))</f>
        <v/>
      </c>
      <c r="FL43" s="68">
        <f>IF(OR($U43=0,$F43&lt;&gt;2),0,IF(FK43&gt;0,FK43,IF(ROUND(BM43*$J43,6)&lt;ROUND($M43,6),BM43,0)))</f>
        <v/>
      </c>
      <c r="FM43" s="68">
        <f>IF(OR($U43=0,$F43&lt;&gt;2),0,IF(FL43&gt;0,FL43,IF(ROUND(BN43*$J43,6)&lt;ROUND($M43,6),BN43,0)))</f>
        <v/>
      </c>
      <c r="FN43" s="68">
        <f>IF(OR($U43=0,$F43&lt;&gt;2),0,IF(FM43&gt;0,FM43,IF(ROUND(BO43*$J43,6)&lt;ROUND($M43,6),BO43,0)))</f>
        <v/>
      </c>
      <c r="FO43" s="68">
        <f>IF(OR($U43=0,$F43&lt;&gt;2),0,IF(FN43&gt;0,FN43,IF(ROUND(BP43*$J43,6)&lt;ROUND($M43,6),BP43,0)))</f>
        <v/>
      </c>
      <c r="FP43" s="68">
        <f>IF(OR($U43=0,$F43&lt;&gt;2),0,IF(FO43&gt;0,FO43,IF(ROUND(BQ43*$J43,6)&lt;ROUND($M43,6),BQ43,0)))</f>
        <v/>
      </c>
      <c r="FQ43" s="68">
        <f>IF(OR($U43=0,$F43&lt;&gt;2),0,IF(FP43&gt;0,FP43,IF(ROUND(BR43*$J43,6)&lt;ROUND($M43,6),BR43,0)))</f>
        <v/>
      </c>
      <c r="FR43" s="68">
        <f>IF(OR($U43=0,$F43&lt;&gt;2),0,IF(FQ43&gt;0,FQ43,IF(ROUND(BS43*$J43,6)&lt;ROUND($M43,6),BS43,0)))</f>
        <v/>
      </c>
      <c r="FS43" s="68">
        <f>IF(OR($U43=0,$F43&lt;&gt;2),0,IF(FR43&gt;0,FR43,IF(ROUND(BT43*$J43,6)&lt;ROUND($M43,6),BT43,0)))</f>
        <v/>
      </c>
      <c r="FT43" s="68">
        <f>IF(OR($U43=0,$F43&lt;&gt;2),0,IF(FS43&gt;0,FS43,IF(ROUND(BU43*$J43,6)&lt;ROUND($M43,6),BU43,0)))</f>
        <v/>
      </c>
      <c r="FU43" s="68">
        <f>IF(OR($U43=0,$F43&lt;&gt;2),0,IF(FT43&gt;0,FT43,IF(ROUND(BV43*$J43,6)&lt;ROUND($M43,6),BV43,0)))</f>
        <v/>
      </c>
      <c r="FV43" s="68">
        <f>IF(OR($U43=0,$F43&lt;&gt;2),0,IF(FU43&gt;0,FU43,IF(ROUND(BW43*$J43,6)&lt;ROUND($M43,6),BW43,0)))</f>
        <v/>
      </c>
      <c r="FW43" s="68">
        <f>IF(OR($U43=0,$F43&lt;&gt;2),0,IF(FV43&gt;0,FV43,IF(ROUND(BX43*$J43,6)&lt;ROUND($M43,6),BX43,0)))</f>
        <v/>
      </c>
      <c r="FX43" s="68">
        <f>IF(OR($U43=0,$F43&lt;&gt;2),0,IF(FW43&gt;0,FW43,IF(ROUND(BY43*$J43,6)&lt;ROUND($M43,6),BY43,0)))</f>
        <v/>
      </c>
      <c r="FY43" s="68">
        <f>IF(OR($U43=0,$F43&lt;&gt;2),0,IF(FX43&gt;0,FX43,IF(ROUND(BZ43*$J43,6)&lt;ROUND($M43,6),BZ43,0)))</f>
        <v/>
      </c>
      <c r="FZ43" s="68">
        <f>IF(OR($U43=0,$F43&lt;&gt;2),0,IF(FY43&gt;0,FY43,IF(ROUND(CA43*$J43,6)&lt;ROUND($M43,6),CA43,0)))</f>
        <v/>
      </c>
      <c r="GA43" s="68">
        <f>IF(OR($U43=0,$F43&lt;&gt;2),0,IF(FZ43&gt;0,FZ43,IF(ROUND(CB43*$J43,6)&lt;ROUND($M43,6),CB43,0)))</f>
        <v/>
      </c>
      <c r="GB43" s="68">
        <f>IF(OR($U43=0,$F43&lt;&gt;2),0,IF(GA43&gt;0,GA43,IF(ROUND(CC43*$J43,6)&lt;ROUND($M43,6),CC43,0)))</f>
        <v/>
      </c>
      <c r="GC43" s="68">
        <f>IF(OR($U43=0,$F43&lt;&gt;2),0,IF(GB43&gt;0,GB43,IF(ROUND(CD43*$J43,6)&lt;ROUND($M43,6),CD43,0)))</f>
        <v/>
      </c>
      <c r="GD43" s="68">
        <f>IF(OR($U43=0,$F43&lt;&gt;2),0,IF(GC43&gt;0,GC43,IF(ROUND(CE43*$J43,6)&lt;ROUND($M43,6),CE43,0)))</f>
        <v/>
      </c>
      <c r="GE43" s="68">
        <f>IF(OR($U43=0,$F43&lt;&gt;2),0,IF(GD43&gt;0,GD43,IF(ROUND(CF43*$J43,6)&lt;ROUND($M43,6),CF43,0)))</f>
        <v/>
      </c>
      <c r="GF43" s="68">
        <f>IF(OR($U43=0,$F43&lt;&gt;2),0,IF(GE43&gt;0,GE43,IF(ROUND(CG43*$J43,6)&lt;ROUND($M43,6),CG43,0)))</f>
        <v/>
      </c>
      <c r="GG43" s="68">
        <f>IF(OR($U43=0,$F43&lt;&gt;2),0,IF(GF43&gt;0,GF43,IF(ROUND(CH43*$J43,6)&lt;ROUND($M43,6),CH43,0)))</f>
        <v/>
      </c>
      <c r="GH43" s="68">
        <f>IF(OR($U43=0,$F43&lt;&gt;2),0,IF(GG43&gt;0,GG43,IF(ROUND(CI43*$J43,6)&lt;ROUND($M43,6),CI43,0)))</f>
        <v/>
      </c>
      <c r="GI43" s="68">
        <f>IF(OR($U43=0,$F43&lt;&gt;2),0,IF(GH43&gt;0,GH43,IF(ROUND(CJ43*$J43,6)&lt;ROUND($M43,6),CJ43,0)))</f>
        <v/>
      </c>
      <c r="GJ43" s="68">
        <f>IF(OR($U43=0,$F43&lt;&gt;2),0,IF(GI43&gt;0,GI43,IF(ROUND(CK43*$J43,6)&lt;ROUND($M43,6),CK43,0)))</f>
        <v/>
      </c>
      <c r="GK43" s="68">
        <f>IF(OR($U43=0,$F43&lt;&gt;2),0,IF(GJ43&gt;0,GJ43,IF(ROUND(CL43*$J43,6)&lt;ROUND($M43,6),CL43,0)))</f>
        <v/>
      </c>
      <c r="GL43" s="68">
        <f>IF(OR($U43=0,$F43&lt;&gt;2),0,IF(GK43&gt;0,GK43,IF(ROUND(CM43*$J43,6)&lt;ROUND($M43,6),CM43,0)))</f>
        <v/>
      </c>
      <c r="GM43" s="68">
        <f>IF(OR($U43=0,$F43&lt;&gt;2),0,IF(GL43&gt;0,GL43,IF(ROUND(CN43*$J43,6)&lt;ROUND($M43,6),CN43,0)))</f>
        <v/>
      </c>
      <c r="GN43" s="68">
        <f>IF(OR($U43=0,$F43&lt;&gt;2),0,IF(GM43&gt;0,GM43,IF(ROUND(CO43*$J43,6)&lt;ROUND($M43,6),CO43,0)))</f>
        <v/>
      </c>
      <c r="GO43" s="68">
        <f>IF(OR($U43=0,$F43&lt;&gt;2),0,IF(GN43&gt;0,GN43,IF(ROUND(CP43*$J43,6)&lt;ROUND($M43,6),CP43,0)))</f>
        <v/>
      </c>
      <c r="GP43" s="68">
        <f>IF(OR($U43=0,$F43&lt;&gt;2),0,IF(GO43&gt;0,GO43,IF(ROUND(CQ43*$J43,6)&lt;ROUND($M43,6),CQ43,0)))</f>
        <v/>
      </c>
      <c r="GQ43" s="68">
        <f>IF(OR($U43=0,$F43&lt;&gt;2),0,IF(GP43&gt;0,GP43,IF(ROUND(CR43*$J43,6)&lt;ROUND($M43,6),CR43,0)))</f>
        <v/>
      </c>
      <c r="GR43" s="68">
        <f>IF(OR($U43=0,$F43&lt;&gt;2),0,IF(GQ43&gt;0,GQ43,IF(ROUND(CS43*$J43,6)&lt;ROUND($M43,6),CS43,0)))</f>
        <v/>
      </c>
      <c r="GS43" s="68">
        <f>IF(OR($U43=0,$F43&lt;&gt;2),0,IF(GR43&gt;0,GR43,IF(ROUND(CT43*$J43,6)&lt;ROUND($M43,6),CT43,0)))</f>
        <v/>
      </c>
      <c r="GT43" s="68">
        <f>IF(OR($U43=0,$F43&lt;&gt;2),0,IF(GS43&gt;0,GS43,IF(ROUND(CU43*$J43,6)&lt;ROUND($M43,6),CU43,0)))</f>
        <v/>
      </c>
      <c r="GU43" s="68">
        <f>IF(OR($U43=0,$F43&lt;&gt;2),0,IF(GT43&gt;0,GT43,IF(ROUND(CV43*$J43,6)&lt;ROUND($M43,6),CV43,0)))</f>
        <v/>
      </c>
      <c r="GV43" s="68">
        <f>IF(OR($U43=0,$F43&lt;&gt;2),0,IF(GU43&gt;0,GU43,IF(ROUND(CW43*$J43,6)&lt;ROUND($M43,6),CW43,0)))</f>
        <v/>
      </c>
      <c r="GW43" s="68">
        <f>IF(OR($U43=0,$F43&lt;&gt;2),0,IF(GV43&gt;0,GV43,IF(ROUND(CX43*$J43,6)&lt;ROUND($M43,6),CX43,0)))</f>
        <v/>
      </c>
      <c r="GX43" s="68">
        <f>IF(OR($U43=0,$F43&lt;&gt;2),0,IF(GW43&gt;0,GW43,IF(ROUND(CY43*$J43,6)&lt;ROUND($M43,6),CY43,0)))</f>
        <v/>
      </c>
      <c r="GY43" s="68">
        <f>IF(OR($U43=0,$F43&lt;&gt;2),0,IF(GX43&gt;0,GX43,IF(ROUND(CZ43*$J43,6)&lt;ROUND($M43,6),CZ43,0)))</f>
        <v/>
      </c>
      <c r="GZ43" s="68">
        <f>IF(OR($U43=0,$F43&lt;&gt;2),0,IF(GY43&gt;0,GY43,IF(ROUND(DA43*$J43,6)&lt;ROUND($M43,6),DA43,0)))</f>
        <v/>
      </c>
      <c r="HA43" s="68">
        <f>IF(OR($U43=0,$F43&lt;&gt;2),0,IF(GZ43&gt;0,GZ43,IF(ROUND(DB43*$J43,6)&lt;ROUND($M43,6),DB43,0)))</f>
        <v/>
      </c>
      <c r="HB43" s="68">
        <f>IF(OR($U43=0,$F43&lt;&gt;2),0,IF(HA43&gt;0,HA43,IF(ROUND(DC43*$J43,6)&lt;ROUND($M43,6),DC43,0)))</f>
        <v/>
      </c>
      <c r="HC43" s="68">
        <f>IF(OR($U43=0,$F43&lt;&gt;2),0,IF(HB43&gt;0,HB43,IF(ROUND(DD43*$J43,6)&lt;ROUND($M43,6),DD43,0)))</f>
        <v/>
      </c>
      <c r="HD43" s="68">
        <f>IF(OR($U43=0,$F43&lt;&gt;2),0,IF(HC43&gt;0,HC43,IF(ROUND(DE43*$J43,6)&lt;ROUND($M43,6),DE43,0)))</f>
        <v/>
      </c>
      <c r="HE43" s="68">
        <f>IF(OR($U43=0,$F43&lt;&gt;2),0,IF(HD43&gt;0,HD43,IF(ROUND(DF43*$J43,6)&lt;ROUND($M43,6),DF43,0)))</f>
        <v/>
      </c>
      <c r="HF43" s="68">
        <f>IF(OR($U43=0,$F43&lt;&gt;2),0,IF(HE43&gt;0,HE43,IF(ROUND(DG43*$J43,6)&lt;ROUND($M43,6),DG43,0)))</f>
        <v/>
      </c>
      <c r="HG43" s="68">
        <f>IF(OR($U43=0,$F43&lt;&gt;2),0,IF(HF43&gt;0,HF43,IF(ROUND(DH43*$J43,6)&lt;ROUND($M43,6),DH43,0)))</f>
        <v/>
      </c>
      <c r="HH43" s="68">
        <f>IF(OR($U43=0,$F43&lt;&gt;2),0,IF(HG43&gt;0,HG43,IF(ROUND(DI43*$J43,6)&lt;ROUND($M43,6),DI43,0)))</f>
        <v/>
      </c>
      <c r="HI43" s="68">
        <f>IF(OR($U43=0,$F43&lt;&gt;2),0,IF(HH43&gt;0,HH43,IF(ROUND(DJ43*$J43,6)&lt;ROUND($M43,6),DJ43,0)))</f>
        <v/>
      </c>
      <c r="HJ43" s="68">
        <f>IF(OR($U43=0,$F43&lt;&gt;2),0,IF(HI43&gt;0,HI43,IF(ROUND(DK43*$J43,6)&lt;ROUND($M43,6),DK43,0)))</f>
        <v/>
      </c>
      <c r="HK43" s="68">
        <f>IF(OR($U43=0,$F43&lt;&gt;2),0,IF(HJ43&gt;0,HJ43,IF(ROUND(DL43*$J43,6)&lt;ROUND($M43,6),DL43,0)))</f>
        <v/>
      </c>
      <c r="HL43" s="68">
        <f>IF(OR($U43=0,$F43&lt;&gt;2),0,IF(HK43&gt;0,HK43,IF(ROUND(DM43*$J43,6)&lt;ROUND($M43,6),DM43,0)))</f>
        <v/>
      </c>
      <c r="HM43" s="68">
        <f>IF(OR($U43=0,$F43&lt;&gt;2),0,IF(HL43&gt;0,HL43,IF(ROUND(DN43*$J43,6)&lt;ROUND($M43,6),DN43,0)))</f>
        <v/>
      </c>
      <c r="HN43" s="68">
        <f>IF(OR($U43=0,$F43&lt;&gt;2),0,IF(HM43&gt;0,HM43,IF(ROUND(DO43*$J43,6)&lt;ROUND($M43,6),DO43,0)))</f>
        <v/>
      </c>
      <c r="HO43" s="68">
        <f>IF(OR($U43=0,$F43&lt;&gt;2),0,IF(HN43&gt;0,HN43,IF(ROUND(DP43*$J43,6)&lt;ROUND($M43,6),DP43,0)))</f>
        <v/>
      </c>
      <c r="HP43" s="68">
        <f>IF(OR($U43=0,$F43&lt;&gt;2),0,IF(HO43&gt;0,HO43,IF(ROUND(DQ43*$J43,6)&lt;ROUND($M43,6),DQ43,0)))</f>
        <v/>
      </c>
      <c r="HQ43" s="68">
        <f>IF(OR($U43=0,$F43&lt;&gt;2),0,IF(HP43&gt;0,HP43,IF(ROUND(DR43*$J43,6)&lt;ROUND($M43,6),DR43,0)))</f>
        <v/>
      </c>
      <c r="HR43" s="68">
        <f>IF(OR($U43=0,$F43&lt;&gt;2),0,IF(HQ43&gt;0,HQ43,IF(ROUND(DS43*$J43,6)&lt;ROUND($M43,6),DS43,0)))</f>
        <v/>
      </c>
      <c r="HS43" s="68">
        <f>IF(OR($U43=0,$F43&lt;&gt;2),0,IF(HR43&gt;0,HR43,IF(ROUND(DT43*$J43,6)&lt;ROUND($M43,6),DT43,0)))</f>
        <v/>
      </c>
      <c r="HT43" s="68">
        <f>IF(OR($U43=0,$F43&lt;&gt;2),0,IF(HS43&gt;0,HS43,IF(ROUND(DU43*$J43,6)&lt;ROUND($M43,6),DU43,0)))</f>
        <v/>
      </c>
      <c r="HU43" s="68">
        <f>IF(OR($U43=0,$F43&lt;&gt;2),0,IF(HT43&gt;0,HT43,IF(ROUND(DV43*$J43,6)&lt;ROUND($M43,6),DV43,0)))</f>
        <v/>
      </c>
      <c r="HV43" s="68">
        <f>IF(OR($U43=0,$F43&lt;&gt;2),0,IF(HU43&gt;0,HU43,IF(ROUND(DW43*$J43,6)&lt;ROUND($M43,6),DW43,0)))</f>
        <v/>
      </c>
      <c r="HW43" s="68">
        <f>IF(OR($U43=0,$F43&lt;&gt;2),0,IF(HV43&gt;0,HV43,IF(ROUND(DX43*$J43,6)&lt;ROUND($M43,6),DX43,0)))</f>
        <v/>
      </c>
      <c r="HX43" s="68">
        <f>IF(OR($U43=0,$F43&lt;&gt;2),0,IF(HW43&gt;0,HW43,IF(ROUND(DY43*$J43,6)&lt;ROUND($M43,6),DY43,0)))</f>
        <v/>
      </c>
      <c r="HY43" s="68">
        <f>IF(OR($U43=0,$F43&lt;&gt;2),0,IF(HX43&gt;0,HX43,IF(ROUND(DZ43*$J43,6)&lt;ROUND($M43,6),DZ43,0)))</f>
        <v/>
      </c>
      <c r="HZ43" s="68">
        <f>IF(OR($U43=0,$F43&lt;&gt;2),0,IF(HY43&gt;0,HY43,IF(ROUND(EA43*$J43,6)&lt;ROUND($M43,6),EA43,0)))</f>
        <v/>
      </c>
      <c r="IA43" s="68">
        <f>IF(OR($U43=0,$F43&lt;&gt;2),0,IF(HZ43&gt;0,HZ43,IF(ROUND(EB43*$J43,6)&lt;ROUND($M43,6),EB43,0)))</f>
        <v/>
      </c>
      <c r="IB43" s="68">
        <f>IF(OR($U43=0,$F43&lt;&gt;2),0,IF(IA43&gt;0,IA43,IF(ROUND(EC43*$J43,6)&lt;ROUND($M43,6),EC43,0)))</f>
        <v/>
      </c>
      <c r="IC43" s="68">
        <f>IF(OR($U43=0,$F43&lt;&gt;2),0,IF(IB43&gt;0,IB43,IF(ROUND(ED43*$J43,6)&lt;ROUND($M43,6),ED43,0)))</f>
        <v/>
      </c>
      <c r="ID43" s="68">
        <f>IF(OR($U43=0,$F43&lt;&gt;2),0,IF(IC43&gt;0,IC43,IF(ROUND(EE43*$J43,6)&lt;ROUND($M43,6),EE43,0)))</f>
        <v/>
      </c>
      <c r="IE43" s="68">
        <f>IF(OR($U43=0,$F43&lt;&gt;2),0,IF(ID43&gt;0,ID43,IF(ROUND(EF43*$J43,6)&lt;ROUND($M43,6),EF43,0)))</f>
        <v/>
      </c>
      <c r="IF43" s="68">
        <f>IF(OR($U43=0,$F43&lt;&gt;2),0,IF(IE43&gt;0,IE43,IF(ROUND(EG43*$J43,6)&lt;ROUND($M43,6),EG43,0)))</f>
        <v/>
      </c>
      <c r="IG43" s="68">
        <f>IF(OR($U43=0,$F43&lt;&gt;2),0,IF(IF43&gt;0,IF43,IF(ROUND(EH43*$J43,6)&lt;ROUND($M43,6),EH43,0)))</f>
        <v/>
      </c>
      <c r="IH43" s="68">
        <f>IF(OR($U43=0,$F43&lt;&gt;2),0,IF(IG43&gt;0,IG43,IF(ROUND(EI43*$J43,6)&lt;ROUND($M43,6),EI43,0)))</f>
        <v/>
      </c>
      <c r="II43" s="68">
        <f>IF(OR($U43=0,$F43&lt;&gt;2),0,IF(IH43&gt;0,IH43,IF(ROUND(EJ43*$J43,6)&lt;ROUND($M43,6),EJ43,0)))</f>
        <v/>
      </c>
      <c r="IJ43" s="68">
        <f>IF(OR($U43=0,$F43&lt;&gt;2),0,IF(II43&gt;0,II43,IF(ROUND(EK43*$J43,6)&lt;ROUND($M43,6),EK43,0)))</f>
        <v/>
      </c>
      <c r="IK43" s="68">
        <f>IF(OR($U43=0,$F43&lt;&gt;2),0,IF(IJ43&gt;0,IJ43,IF(ROUND(EL43*$J43,6)&lt;ROUND($M43,6),EL43,0)))</f>
        <v/>
      </c>
      <c r="IL43" s="68">
        <f>IF(OR($U43=0,$F43&lt;&gt;2),0,IF(IK43&gt;0,IK43,IF(ROUND(EM43*$J43,6)&lt;ROUND($M43,6),EM43,0)))</f>
        <v/>
      </c>
      <c r="IM43" s="68">
        <f>IF(OR($U43=0,$F43&lt;&gt;2),0,IF(IL43&gt;0,IL43,IF(ROUND(EN43*$J43,6)&lt;ROUND($M43,6),EN43,0)))</f>
        <v/>
      </c>
      <c r="IN43" s="68">
        <f>IF(OR($U43=0,$F43&lt;&gt;2),0,IF(IM43&gt;0,IM43,IF(ROUND(EO43*$J43,6)&lt;ROUND($M43,6),EO43,0)))</f>
        <v/>
      </c>
    </row>
    <row r="44">
      <c r="A44" s="68" t="n">
        <v>39</v>
      </c>
      <c r="B44" s="68">
        <f>IF(OR(TRIM('固定資産台帳'!$B44)&lt;&gt;"",'固定資産台帳'!$E44&lt;&gt;"",'固定資産台帳'!$G44&lt;&gt;"",'固定資産台帳'!$H44&lt;&gt;""),1,0)</f>
        <v/>
      </c>
      <c r="C44" s="68">
        <f>IF(ISNUMBER('固定資産台帳'!$G44),MAX(ROUND('固定資産台帳'!$G44,0),0),0)</f>
        <v/>
      </c>
      <c r="D44" s="84">
        <f>IF(ISNUMBER('固定資産台帳'!$E44),INT('固定資産台帳'!$E44),0)</f>
        <v/>
      </c>
      <c r="E44" s="84">
        <f>IF(ISNUMBER('固定資産台帳'!$F44),INT('固定資産台帳'!$F44),$D44)</f>
        <v/>
      </c>
      <c r="F44" s="68">
        <f>IF('固定資産台帳'!$H44="定額法",1,IF(OR('固定資産台帳'!$H44="定率法",'固定資産台帳'!$H44="定率法（200%）",'固定資産台帳'!$H44="定率法（250%）"),2,IF('固定資産台帳'!$H44="一括償却（3年）",3,IF('固定資産台帳'!$H44="少額特例",4,0))))</f>
        <v/>
      </c>
      <c r="G44" s="68">
        <f>IF('固定資産台帳'!$H44="定率法（250%）",250,IF('固定資産台帳'!$H44="定率法（200%）",200,IF($D44&gt;=DATE(2012,4,1),200,250)))</f>
        <v/>
      </c>
      <c r="H44" s="68">
        <f>IF(ISNUMBER('固定資産台帳'!$I44),IF(AND('固定資産台帳'!$I44&gt;=2,'固定資産台帳'!$I44&lt;=100,'固定資産台帳'!$I44=INT('固定資産台帳'!$I44)),'固定資産台帳'!$I44,0),0)</f>
        <v/>
      </c>
      <c r="I44" s="68">
        <f>IF('固定資産台帳'!$C44="無形固定資産",0,1)</f>
        <v/>
      </c>
      <c r="J44" s="68">
        <f>IF(OR($H44=0,$F44=0,$F44&gt;2),0,IF($F44=1,INDEX('償却率表'!$B$6:$B$104,$H44-1),IF($G44=200,INDEX('償却率表'!$C$6:$C$104,$H44-1),INDEX('償却率表'!$F$6:$F$104,$H44-1))))</f>
        <v/>
      </c>
      <c r="K44" s="68">
        <f>IF(AND($F44=2,$H44&gt;0),IF($G44=200,INDEX('償却率表'!$D$6:$D$104,$H44-1),INDEX('償却率表'!$G$6:$G$104,$H44-1)),0)</f>
        <v/>
      </c>
      <c r="L44" s="68">
        <f>IF(AND($F44=2,$H44&gt;0),IF($G44=200,INDEX('償却率表'!$E$6:$E$104,$H44-1),INDEX('償却率表'!$H$6:$H$104,$H44-1)),0)</f>
        <v/>
      </c>
      <c r="M44" s="68">
        <f>$C44*$L44</f>
        <v/>
      </c>
      <c r="N44" s="68">
        <f>IF($B$1=1,1,IF('固定資産台帳'!$J44="",1,IF(ISNUMBER('固定資産台帳'!$J44),IF(AND('固定資産台帳'!$J44&gt;0,'固定資産台帳'!$J44&lt;=1),'固定資産台帳'!$J44,0),0)))</f>
        <v/>
      </c>
      <c r="O44" s="68">
        <f>IF($E44=0,0,YEAR($E44)-IF(MONTH($E44)&lt;$B$2,1,0))</f>
        <v/>
      </c>
      <c r="P44" s="68">
        <f>IF($E44=0,0,12-MOD(MONTH($E44)-$B$2,12))</f>
        <v/>
      </c>
      <c r="Q44" s="84">
        <f>IF(ISNUMBER('固定資産台帳'!$K44),INT('固定資産台帳'!$K44),0)</f>
        <v/>
      </c>
      <c r="R44" s="68">
        <f>IF(OR($Q44=0,$E44=0),999,YEAR($Q44)-IF(MONTH($Q44)&lt;$B$2,1,0)-$O44)</f>
        <v/>
      </c>
      <c r="S44" s="68">
        <f>IF($R44=999,0,MOD(MONTH($Q44)-$B$2,12)+1-IF($R44=0,12-$P44,0))</f>
        <v/>
      </c>
      <c r="T44" s="68">
        <f>IF($B44=0,0,IF($C44&lt;=0,1,IF($D44=0,2,IF($F44=0,3,IF(AND($F44&lt;=2,$H44=0),4,IF(AND($F44&lt;=2,$D44&lt;DATE(2007,4,1)),5,IF($E44&lt;$D44,6,IF(AND($Q44&gt;0,$Q44&lt;$E44),7,IF($N44=0,8,IF($B$3=0,9,0))))))))))</f>
        <v/>
      </c>
      <c r="U44" s="68">
        <f>IF(AND($B44=1,$T44=0),1,0)</f>
        <v/>
      </c>
      <c r="V44" s="68">
        <f>$B$3-$O44</f>
        <v/>
      </c>
      <c r="W44" s="68">
        <f>IF(AND($U44=1,$V44&gt;=0),1,0)</f>
        <v/>
      </c>
      <c r="X44" s="68">
        <f>IF($W44=0,0,IF($V44=0,$C44,INDEX($AS44:$EP44,MIN($V44,102))))</f>
        <v/>
      </c>
      <c r="Y44" s="68">
        <f>IF($W44=0,0,INDEX($AS44:$EP44,MIN($V44,101)+1))</f>
        <v/>
      </c>
      <c r="Z44" s="68">
        <f>$X44-$Y44</f>
        <v/>
      </c>
      <c r="AA44" s="68">
        <f>IF(AND($W44=1,$F44=2,$V44&gt;=1),INDEX($ER44:$IN44,MIN($V44,101)),0)</f>
        <v/>
      </c>
      <c r="AB44" s="68">
        <f>IF(OR($W44=0,$F44&gt;2,$Z44=0),0,IF($V44=0,IF($R44=0,$S44,$P44),IF($V44=$R44,$S44,12)))</f>
        <v/>
      </c>
      <c r="AC44" s="68">
        <f>IF($W44=0,0,INT(ROUND($Z44*$N44,6)+$B$4))</f>
        <v/>
      </c>
      <c r="AD44" s="68">
        <f>IF(AND($W44=1,$F44&lt;=2,$V44=$R44),1,0)</f>
        <v/>
      </c>
      <c r="AE44" s="68">
        <f>IF(AND($W44=1,$F44&lt;=2,$V44&gt;$R44),1,0)</f>
        <v/>
      </c>
      <c r="AF44" s="68">
        <f>IF(AND($W44=1,$AE44=0,OR($Z44&gt;0,$AD44=1)),1,0)</f>
        <v/>
      </c>
      <c r="AG44" s="68">
        <f>IF($AF44=1,SUM($AF$6:$AF44),0)</f>
        <v/>
      </c>
      <c r="AH44" s="68">
        <f>IF($T44=0,"",CHOOSE($T44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44" s="68">
        <f>IF(AND($F44=2,OR('固定資産台帳'!$C44="建物",'固定資産台帳'!$C44="無形固定資産",AND(OR('固定資産台帳'!$C44="建物附属設備",'固定資産台帳'!$C44="構築物"),$D44&gt;=DATE(2016,4,1)))),"この資産は定額法だけです（定率法は使えません）。","")&amp;IF(AND($F44=3,$C44&gt;=200000),"一括償却は20万円未満の資産だけです。","")&amp;IF(AND($F44=3,$B$1=0,$C44&lt;100000),"10万円未満は一括償却にせず、全額をその年の経費にします。","")&amp;IF(AND($F44=4,$C44&lt;100000),"10万円未満は少額特例ではなく、全額をその年の経費にします。","")&amp;IF(AND($F44=4,$D44&lt;DATE(2026,4,1),$C44&gt;=300000),"2026年3月31日までの取得で少額特例が使えるのは30万円未満です。","")&amp;IF(AND($F44=4,$D44&gt;=DATE(2026,4,1),$C44&gt;=400000),"少額特例は40万円未満の資産だけです。","")&amp;IF(AND($F44=4,OR($D44&lt;DATE(2006,4,1),$D44&gt;DATE(2029,3,31))),"少額特例は2006年4月1日〜2029年3月31日に取得した資産だけです。","")&amp;IF(AND($F44=2,$G44=250,$D44&gt;DATE(2012,12,31)),"250%定率法は2012年12月31日までの取得だけです。","")</f>
        <v/>
      </c>
      <c r="AJ44" s="68">
        <f>IF(AND($F44=2,'固定資産台帳'!$H44="定率法（200%）",$D44&lt;DATE(2012,4,1)),"2012年3月31日までの取得に200%を使うのは、経過措置の届出をした場合です。","")&amp;IF(AND($F44=2,'固定資産台帳'!$H44="定率法（250%）",$D44&gt;=DATE(2012,4,1),$D44&lt;=DATE(2012,12,31)),"2012年4〜12月の取得に250%を使うのは、経過措置を選んだ場合です。","")</f>
        <v/>
      </c>
      <c r="AK44" s="68">
        <f>IF($U44=0,"",IF($V44&lt;0,"表示している年より後に使い始める資産です。",IF($AE44=1,"売却・除却済みです。",IF($AD44=1,"この年に売却・除却。期末の帳簿価額 "&amp;TEXT($Y44,"#,##0")&amp;"円を帳簿から外します。",IF($F44=4,IF($V44=0,"少額特例：この年に全額を経費にします。","少額特例で経費にした資産です。"),IF($F44=3,IF($V44&gt;2,"一括償却は終わっています。","一括償却 "&amp;($V44+1)&amp;"年目（3年のうち）。"),IF($Z44=0,"償却済み（帳簿価額 "&amp;TEXT($Y44,"#,##0")&amp;"円）。",IF($AA44&gt;0,"改定償却率で計算（改定取得価額 "&amp;TEXT($AA44,"#,##0")&amp;"円）。",IF($V44=0,"この年に使い始め（"&amp;$AB44&amp;"か月分）。","")))))))))</f>
        <v/>
      </c>
      <c r="AL44" s="68">
        <f>IF(AND($U44=1,$F44=4,$V44=0),$C44,0)</f>
        <v/>
      </c>
      <c r="AM44" s="68">
        <f>IF($F44=2,INT(ROUND($M44,6)+$B$4),0)</f>
        <v/>
      </c>
      <c r="AN44" s="68">
        <f>IF($W44=0,0,IF($F44=2,IF($AA44&gt;0,$AA44,$X44),$C44))</f>
        <v/>
      </c>
      <c r="AO44" s="68">
        <f>IF($W44=0,"",IF($F44=3,"1/3",IF($F44=4,"―",IF($AA44&gt;0,$K44,$J44))))</f>
        <v/>
      </c>
      <c r="AP44" s="68" t="n"/>
      <c r="AQ44" s="68" t="n"/>
      <c r="AR44" s="68" t="n"/>
      <c r="AS44" s="68">
        <f>IF($U44=0,0,IF($F44=4,0,IF($F44=3,MAX($C44-INT(ROUND($C44/3,6)+$B$4),0),$C44-MIN(INT(ROUND($C44*$J44*IF($R44=0,$S44,$P44)/12,6)+$B$4),MAX($C44-$I44,0)))))</f>
        <v/>
      </c>
      <c r="AT44" s="68">
        <f>IF($U44=0,0,IF($F44=4,0,IF($F44=3,AS44-MIN(INT(ROUND($C44/3,6)+$B$4),AS44),IF(OR(1&gt;$R44,AS44&lt;=$I44),AS44,AS44-MIN(INT(ROUND(IF($F44=1,$C44*$J44,IF(ER44&gt;0,ER44*$K44,AS44*$J44))*IF(1=$R44,$S44,12)/12,6)+$B$4),AS44-$I44)))))</f>
        <v/>
      </c>
      <c r="AU44" s="68">
        <f>IF($U44=0,0,IF($F44=4,0,IF($F44=3,0,IF(OR(2&gt;$R44,AT44&lt;=$I44),AT44,AT44-MIN(INT(ROUND(IF($F44=1,$C44*$J44,IF(ES44&gt;0,ES44*$K44,AT44*$J44))*IF(2=$R44,$S44,12)/12,6)+$B$4),AT44-$I44)))))</f>
        <v/>
      </c>
      <c r="AV44" s="68">
        <f>IF($U44=0,0,IF($F44=4,0,IF($F44=3,0,IF(OR(3&gt;$R44,AU44&lt;=$I44),AU44,AU44-MIN(INT(ROUND(IF($F44=1,$C44*$J44,IF(ET44&gt;0,ET44*$K44,AU44*$J44))*IF(3=$R44,$S44,12)/12,6)+$B$4),AU44-$I44)))))</f>
        <v/>
      </c>
      <c r="AW44" s="68">
        <f>IF($U44=0,0,IF($F44=4,0,IF($F44=3,0,IF(OR(4&gt;$R44,AV44&lt;=$I44),AV44,AV44-MIN(INT(ROUND(IF($F44=1,$C44*$J44,IF(EU44&gt;0,EU44*$K44,AV44*$J44))*IF(4=$R44,$S44,12)/12,6)+$B$4),AV44-$I44)))))</f>
        <v/>
      </c>
      <c r="AX44" s="68">
        <f>IF($U44=0,0,IF($F44=4,0,IF($F44=3,0,IF(OR(5&gt;$R44,AW44&lt;=$I44),AW44,AW44-MIN(INT(ROUND(IF($F44=1,$C44*$J44,IF(EV44&gt;0,EV44*$K44,AW44*$J44))*IF(5=$R44,$S44,12)/12,6)+$B$4),AW44-$I44)))))</f>
        <v/>
      </c>
      <c r="AY44" s="68">
        <f>IF($U44=0,0,IF($F44=4,0,IF($F44=3,0,IF(OR(6&gt;$R44,AX44&lt;=$I44),AX44,AX44-MIN(INT(ROUND(IF($F44=1,$C44*$J44,IF(EW44&gt;0,EW44*$K44,AX44*$J44))*IF(6=$R44,$S44,12)/12,6)+$B$4),AX44-$I44)))))</f>
        <v/>
      </c>
      <c r="AZ44" s="68">
        <f>IF($U44=0,0,IF($F44=4,0,IF($F44=3,0,IF(OR(7&gt;$R44,AY44&lt;=$I44),AY44,AY44-MIN(INT(ROUND(IF($F44=1,$C44*$J44,IF(EX44&gt;0,EX44*$K44,AY44*$J44))*IF(7=$R44,$S44,12)/12,6)+$B$4),AY44-$I44)))))</f>
        <v/>
      </c>
      <c r="BA44" s="68">
        <f>IF($U44=0,0,IF($F44=4,0,IF($F44=3,0,IF(OR(8&gt;$R44,AZ44&lt;=$I44),AZ44,AZ44-MIN(INT(ROUND(IF($F44=1,$C44*$J44,IF(EY44&gt;0,EY44*$K44,AZ44*$J44))*IF(8=$R44,$S44,12)/12,6)+$B$4),AZ44-$I44)))))</f>
        <v/>
      </c>
      <c r="BB44" s="68">
        <f>IF($U44=0,0,IF($F44=4,0,IF($F44=3,0,IF(OR(9&gt;$R44,BA44&lt;=$I44),BA44,BA44-MIN(INT(ROUND(IF($F44=1,$C44*$J44,IF(EZ44&gt;0,EZ44*$K44,BA44*$J44))*IF(9=$R44,$S44,12)/12,6)+$B$4),BA44-$I44)))))</f>
        <v/>
      </c>
      <c r="BC44" s="68">
        <f>IF($U44=0,0,IF($F44=4,0,IF($F44=3,0,IF(OR(10&gt;$R44,BB44&lt;=$I44),BB44,BB44-MIN(INT(ROUND(IF($F44=1,$C44*$J44,IF(FA44&gt;0,FA44*$K44,BB44*$J44))*IF(10=$R44,$S44,12)/12,6)+$B$4),BB44-$I44)))))</f>
        <v/>
      </c>
      <c r="BD44" s="68">
        <f>IF($U44=0,0,IF($F44=4,0,IF($F44=3,0,IF(OR(11&gt;$R44,BC44&lt;=$I44),BC44,BC44-MIN(INT(ROUND(IF($F44=1,$C44*$J44,IF(FB44&gt;0,FB44*$K44,BC44*$J44))*IF(11=$R44,$S44,12)/12,6)+$B$4),BC44-$I44)))))</f>
        <v/>
      </c>
      <c r="BE44" s="68">
        <f>IF($U44=0,0,IF($F44=4,0,IF($F44=3,0,IF(OR(12&gt;$R44,BD44&lt;=$I44),BD44,BD44-MIN(INT(ROUND(IF($F44=1,$C44*$J44,IF(FC44&gt;0,FC44*$K44,BD44*$J44))*IF(12=$R44,$S44,12)/12,6)+$B$4),BD44-$I44)))))</f>
        <v/>
      </c>
      <c r="BF44" s="68">
        <f>IF($U44=0,0,IF($F44=4,0,IF($F44=3,0,IF(OR(13&gt;$R44,BE44&lt;=$I44),BE44,BE44-MIN(INT(ROUND(IF($F44=1,$C44*$J44,IF(FD44&gt;0,FD44*$K44,BE44*$J44))*IF(13=$R44,$S44,12)/12,6)+$B$4),BE44-$I44)))))</f>
        <v/>
      </c>
      <c r="BG44" s="68">
        <f>IF($U44=0,0,IF($F44=4,0,IF($F44=3,0,IF(OR(14&gt;$R44,BF44&lt;=$I44),BF44,BF44-MIN(INT(ROUND(IF($F44=1,$C44*$J44,IF(FE44&gt;0,FE44*$K44,BF44*$J44))*IF(14=$R44,$S44,12)/12,6)+$B$4),BF44-$I44)))))</f>
        <v/>
      </c>
      <c r="BH44" s="68">
        <f>IF($U44=0,0,IF($F44=4,0,IF($F44=3,0,IF(OR(15&gt;$R44,BG44&lt;=$I44),BG44,BG44-MIN(INT(ROUND(IF($F44=1,$C44*$J44,IF(FF44&gt;0,FF44*$K44,BG44*$J44))*IF(15=$R44,$S44,12)/12,6)+$B$4),BG44-$I44)))))</f>
        <v/>
      </c>
      <c r="BI44" s="68">
        <f>IF($U44=0,0,IF($F44=4,0,IF($F44=3,0,IF(OR(16&gt;$R44,BH44&lt;=$I44),BH44,BH44-MIN(INT(ROUND(IF($F44=1,$C44*$J44,IF(FG44&gt;0,FG44*$K44,BH44*$J44))*IF(16=$R44,$S44,12)/12,6)+$B$4),BH44-$I44)))))</f>
        <v/>
      </c>
      <c r="BJ44" s="68">
        <f>IF($U44=0,0,IF($F44=4,0,IF($F44=3,0,IF(OR(17&gt;$R44,BI44&lt;=$I44),BI44,BI44-MIN(INT(ROUND(IF($F44=1,$C44*$J44,IF(FH44&gt;0,FH44*$K44,BI44*$J44))*IF(17=$R44,$S44,12)/12,6)+$B$4),BI44-$I44)))))</f>
        <v/>
      </c>
      <c r="BK44" s="68">
        <f>IF($U44=0,0,IF($F44=4,0,IF($F44=3,0,IF(OR(18&gt;$R44,BJ44&lt;=$I44),BJ44,BJ44-MIN(INT(ROUND(IF($F44=1,$C44*$J44,IF(FI44&gt;0,FI44*$K44,BJ44*$J44))*IF(18=$R44,$S44,12)/12,6)+$B$4),BJ44-$I44)))))</f>
        <v/>
      </c>
      <c r="BL44" s="68">
        <f>IF($U44=0,0,IF($F44=4,0,IF($F44=3,0,IF(OR(19&gt;$R44,BK44&lt;=$I44),BK44,BK44-MIN(INT(ROUND(IF($F44=1,$C44*$J44,IF(FJ44&gt;0,FJ44*$K44,BK44*$J44))*IF(19=$R44,$S44,12)/12,6)+$B$4),BK44-$I44)))))</f>
        <v/>
      </c>
      <c r="BM44" s="68">
        <f>IF($U44=0,0,IF($F44=4,0,IF($F44=3,0,IF(OR(20&gt;$R44,BL44&lt;=$I44),BL44,BL44-MIN(INT(ROUND(IF($F44=1,$C44*$J44,IF(FK44&gt;0,FK44*$K44,BL44*$J44))*IF(20=$R44,$S44,12)/12,6)+$B$4),BL44-$I44)))))</f>
        <v/>
      </c>
      <c r="BN44" s="68">
        <f>IF($U44=0,0,IF($F44=4,0,IF($F44=3,0,IF(OR(21&gt;$R44,BM44&lt;=$I44),BM44,BM44-MIN(INT(ROUND(IF($F44=1,$C44*$J44,IF(FL44&gt;0,FL44*$K44,BM44*$J44))*IF(21=$R44,$S44,12)/12,6)+$B$4),BM44-$I44)))))</f>
        <v/>
      </c>
      <c r="BO44" s="68">
        <f>IF($U44=0,0,IF($F44=4,0,IF($F44=3,0,IF(OR(22&gt;$R44,BN44&lt;=$I44),BN44,BN44-MIN(INT(ROUND(IF($F44=1,$C44*$J44,IF(FM44&gt;0,FM44*$K44,BN44*$J44))*IF(22=$R44,$S44,12)/12,6)+$B$4),BN44-$I44)))))</f>
        <v/>
      </c>
      <c r="BP44" s="68">
        <f>IF($U44=0,0,IF($F44=4,0,IF($F44=3,0,IF(OR(23&gt;$R44,BO44&lt;=$I44),BO44,BO44-MIN(INT(ROUND(IF($F44=1,$C44*$J44,IF(FN44&gt;0,FN44*$K44,BO44*$J44))*IF(23=$R44,$S44,12)/12,6)+$B$4),BO44-$I44)))))</f>
        <v/>
      </c>
      <c r="BQ44" s="68">
        <f>IF($U44=0,0,IF($F44=4,0,IF($F44=3,0,IF(OR(24&gt;$R44,BP44&lt;=$I44),BP44,BP44-MIN(INT(ROUND(IF($F44=1,$C44*$J44,IF(FO44&gt;0,FO44*$K44,BP44*$J44))*IF(24=$R44,$S44,12)/12,6)+$B$4),BP44-$I44)))))</f>
        <v/>
      </c>
      <c r="BR44" s="68">
        <f>IF($U44=0,0,IF($F44=4,0,IF($F44=3,0,IF(OR(25&gt;$R44,BQ44&lt;=$I44),BQ44,BQ44-MIN(INT(ROUND(IF($F44=1,$C44*$J44,IF(FP44&gt;0,FP44*$K44,BQ44*$J44))*IF(25=$R44,$S44,12)/12,6)+$B$4),BQ44-$I44)))))</f>
        <v/>
      </c>
      <c r="BS44" s="68">
        <f>IF($U44=0,0,IF($F44=4,0,IF($F44=3,0,IF(OR(26&gt;$R44,BR44&lt;=$I44),BR44,BR44-MIN(INT(ROUND(IF($F44=1,$C44*$J44,IF(FQ44&gt;0,FQ44*$K44,BR44*$J44))*IF(26=$R44,$S44,12)/12,6)+$B$4),BR44-$I44)))))</f>
        <v/>
      </c>
      <c r="BT44" s="68">
        <f>IF($U44=0,0,IF($F44=4,0,IF($F44=3,0,IF(OR(27&gt;$R44,BS44&lt;=$I44),BS44,BS44-MIN(INT(ROUND(IF($F44=1,$C44*$J44,IF(FR44&gt;0,FR44*$K44,BS44*$J44))*IF(27=$R44,$S44,12)/12,6)+$B$4),BS44-$I44)))))</f>
        <v/>
      </c>
      <c r="BU44" s="68">
        <f>IF($U44=0,0,IF($F44=4,0,IF($F44=3,0,IF(OR(28&gt;$R44,BT44&lt;=$I44),BT44,BT44-MIN(INT(ROUND(IF($F44=1,$C44*$J44,IF(FS44&gt;0,FS44*$K44,BT44*$J44))*IF(28=$R44,$S44,12)/12,6)+$B$4),BT44-$I44)))))</f>
        <v/>
      </c>
      <c r="BV44" s="68">
        <f>IF($U44=0,0,IF($F44=4,0,IF($F44=3,0,IF(OR(29&gt;$R44,BU44&lt;=$I44),BU44,BU44-MIN(INT(ROUND(IF($F44=1,$C44*$J44,IF(FT44&gt;0,FT44*$K44,BU44*$J44))*IF(29=$R44,$S44,12)/12,6)+$B$4),BU44-$I44)))))</f>
        <v/>
      </c>
      <c r="BW44" s="68">
        <f>IF($U44=0,0,IF($F44=4,0,IF($F44=3,0,IF(OR(30&gt;$R44,BV44&lt;=$I44),BV44,BV44-MIN(INT(ROUND(IF($F44=1,$C44*$J44,IF(FU44&gt;0,FU44*$K44,BV44*$J44))*IF(30=$R44,$S44,12)/12,6)+$B$4),BV44-$I44)))))</f>
        <v/>
      </c>
      <c r="BX44" s="68">
        <f>IF($U44=0,0,IF($F44=4,0,IF($F44=3,0,IF(OR(31&gt;$R44,BW44&lt;=$I44),BW44,BW44-MIN(INT(ROUND(IF($F44=1,$C44*$J44,IF(FV44&gt;0,FV44*$K44,BW44*$J44))*IF(31=$R44,$S44,12)/12,6)+$B$4),BW44-$I44)))))</f>
        <v/>
      </c>
      <c r="BY44" s="68">
        <f>IF($U44=0,0,IF($F44=4,0,IF($F44=3,0,IF(OR(32&gt;$R44,BX44&lt;=$I44),BX44,BX44-MIN(INT(ROUND(IF($F44=1,$C44*$J44,IF(FW44&gt;0,FW44*$K44,BX44*$J44))*IF(32=$R44,$S44,12)/12,6)+$B$4),BX44-$I44)))))</f>
        <v/>
      </c>
      <c r="BZ44" s="68">
        <f>IF($U44=0,0,IF($F44=4,0,IF($F44=3,0,IF(OR(33&gt;$R44,BY44&lt;=$I44),BY44,BY44-MIN(INT(ROUND(IF($F44=1,$C44*$J44,IF(FX44&gt;0,FX44*$K44,BY44*$J44))*IF(33=$R44,$S44,12)/12,6)+$B$4),BY44-$I44)))))</f>
        <v/>
      </c>
      <c r="CA44" s="68">
        <f>IF($U44=0,0,IF($F44=4,0,IF($F44=3,0,IF(OR(34&gt;$R44,BZ44&lt;=$I44),BZ44,BZ44-MIN(INT(ROUND(IF($F44=1,$C44*$J44,IF(FY44&gt;0,FY44*$K44,BZ44*$J44))*IF(34=$R44,$S44,12)/12,6)+$B$4),BZ44-$I44)))))</f>
        <v/>
      </c>
      <c r="CB44" s="68">
        <f>IF($U44=0,0,IF($F44=4,0,IF($F44=3,0,IF(OR(35&gt;$R44,CA44&lt;=$I44),CA44,CA44-MIN(INT(ROUND(IF($F44=1,$C44*$J44,IF(FZ44&gt;0,FZ44*$K44,CA44*$J44))*IF(35=$R44,$S44,12)/12,6)+$B$4),CA44-$I44)))))</f>
        <v/>
      </c>
      <c r="CC44" s="68">
        <f>IF($U44=0,0,IF($F44=4,0,IF($F44=3,0,IF(OR(36&gt;$R44,CB44&lt;=$I44),CB44,CB44-MIN(INT(ROUND(IF($F44=1,$C44*$J44,IF(GA44&gt;0,GA44*$K44,CB44*$J44))*IF(36=$R44,$S44,12)/12,6)+$B$4),CB44-$I44)))))</f>
        <v/>
      </c>
      <c r="CD44" s="68">
        <f>IF($U44=0,0,IF($F44=4,0,IF($F44=3,0,IF(OR(37&gt;$R44,CC44&lt;=$I44),CC44,CC44-MIN(INT(ROUND(IF($F44=1,$C44*$J44,IF(GB44&gt;0,GB44*$K44,CC44*$J44))*IF(37=$R44,$S44,12)/12,6)+$B$4),CC44-$I44)))))</f>
        <v/>
      </c>
      <c r="CE44" s="68">
        <f>IF($U44=0,0,IF($F44=4,0,IF($F44=3,0,IF(OR(38&gt;$R44,CD44&lt;=$I44),CD44,CD44-MIN(INT(ROUND(IF($F44=1,$C44*$J44,IF(GC44&gt;0,GC44*$K44,CD44*$J44))*IF(38=$R44,$S44,12)/12,6)+$B$4),CD44-$I44)))))</f>
        <v/>
      </c>
      <c r="CF44" s="68">
        <f>IF($U44=0,0,IF($F44=4,0,IF($F44=3,0,IF(OR(39&gt;$R44,CE44&lt;=$I44),CE44,CE44-MIN(INT(ROUND(IF($F44=1,$C44*$J44,IF(GD44&gt;0,GD44*$K44,CE44*$J44))*IF(39=$R44,$S44,12)/12,6)+$B$4),CE44-$I44)))))</f>
        <v/>
      </c>
      <c r="CG44" s="68">
        <f>IF($U44=0,0,IF($F44=4,0,IF($F44=3,0,IF(OR(40&gt;$R44,CF44&lt;=$I44),CF44,CF44-MIN(INT(ROUND(IF($F44=1,$C44*$J44,IF(GE44&gt;0,GE44*$K44,CF44*$J44))*IF(40=$R44,$S44,12)/12,6)+$B$4),CF44-$I44)))))</f>
        <v/>
      </c>
      <c r="CH44" s="68">
        <f>IF($U44=0,0,IF($F44=4,0,IF($F44=3,0,IF(OR(41&gt;$R44,CG44&lt;=$I44),CG44,CG44-MIN(INT(ROUND(IF($F44=1,$C44*$J44,IF(GF44&gt;0,GF44*$K44,CG44*$J44))*IF(41=$R44,$S44,12)/12,6)+$B$4),CG44-$I44)))))</f>
        <v/>
      </c>
      <c r="CI44" s="68">
        <f>IF($U44=0,0,IF($F44=4,0,IF($F44=3,0,IF(OR(42&gt;$R44,CH44&lt;=$I44),CH44,CH44-MIN(INT(ROUND(IF($F44=1,$C44*$J44,IF(GG44&gt;0,GG44*$K44,CH44*$J44))*IF(42=$R44,$S44,12)/12,6)+$B$4),CH44-$I44)))))</f>
        <v/>
      </c>
      <c r="CJ44" s="68">
        <f>IF($U44=0,0,IF($F44=4,0,IF($F44=3,0,IF(OR(43&gt;$R44,CI44&lt;=$I44),CI44,CI44-MIN(INT(ROUND(IF($F44=1,$C44*$J44,IF(GH44&gt;0,GH44*$K44,CI44*$J44))*IF(43=$R44,$S44,12)/12,6)+$B$4),CI44-$I44)))))</f>
        <v/>
      </c>
      <c r="CK44" s="68">
        <f>IF($U44=0,0,IF($F44=4,0,IF($F44=3,0,IF(OR(44&gt;$R44,CJ44&lt;=$I44),CJ44,CJ44-MIN(INT(ROUND(IF($F44=1,$C44*$J44,IF(GI44&gt;0,GI44*$K44,CJ44*$J44))*IF(44=$R44,$S44,12)/12,6)+$B$4),CJ44-$I44)))))</f>
        <v/>
      </c>
      <c r="CL44" s="68">
        <f>IF($U44=0,0,IF($F44=4,0,IF($F44=3,0,IF(OR(45&gt;$R44,CK44&lt;=$I44),CK44,CK44-MIN(INT(ROUND(IF($F44=1,$C44*$J44,IF(GJ44&gt;0,GJ44*$K44,CK44*$J44))*IF(45=$R44,$S44,12)/12,6)+$B$4),CK44-$I44)))))</f>
        <v/>
      </c>
      <c r="CM44" s="68">
        <f>IF($U44=0,0,IF($F44=4,0,IF($F44=3,0,IF(OR(46&gt;$R44,CL44&lt;=$I44),CL44,CL44-MIN(INT(ROUND(IF($F44=1,$C44*$J44,IF(GK44&gt;0,GK44*$K44,CL44*$J44))*IF(46=$R44,$S44,12)/12,6)+$B$4),CL44-$I44)))))</f>
        <v/>
      </c>
      <c r="CN44" s="68">
        <f>IF($U44=0,0,IF($F44=4,0,IF($F44=3,0,IF(OR(47&gt;$R44,CM44&lt;=$I44),CM44,CM44-MIN(INT(ROUND(IF($F44=1,$C44*$J44,IF(GL44&gt;0,GL44*$K44,CM44*$J44))*IF(47=$R44,$S44,12)/12,6)+$B$4),CM44-$I44)))))</f>
        <v/>
      </c>
      <c r="CO44" s="68">
        <f>IF($U44=0,0,IF($F44=4,0,IF($F44=3,0,IF(OR(48&gt;$R44,CN44&lt;=$I44),CN44,CN44-MIN(INT(ROUND(IF($F44=1,$C44*$J44,IF(GM44&gt;0,GM44*$K44,CN44*$J44))*IF(48=$R44,$S44,12)/12,6)+$B$4),CN44-$I44)))))</f>
        <v/>
      </c>
      <c r="CP44" s="68">
        <f>IF($U44=0,0,IF($F44=4,0,IF($F44=3,0,IF(OR(49&gt;$R44,CO44&lt;=$I44),CO44,CO44-MIN(INT(ROUND(IF($F44=1,$C44*$J44,IF(GN44&gt;0,GN44*$K44,CO44*$J44))*IF(49=$R44,$S44,12)/12,6)+$B$4),CO44-$I44)))))</f>
        <v/>
      </c>
      <c r="CQ44" s="68">
        <f>IF($U44=0,0,IF($F44=4,0,IF($F44=3,0,IF(OR(50&gt;$R44,CP44&lt;=$I44),CP44,CP44-MIN(INT(ROUND(IF($F44=1,$C44*$J44,IF(GO44&gt;0,GO44*$K44,CP44*$J44))*IF(50=$R44,$S44,12)/12,6)+$B$4),CP44-$I44)))))</f>
        <v/>
      </c>
      <c r="CR44" s="68">
        <f>IF($U44=0,0,IF($F44=4,0,IF($F44=3,0,IF(OR(51&gt;$R44,CQ44&lt;=$I44),CQ44,CQ44-MIN(INT(ROUND(IF($F44=1,$C44*$J44,IF(GP44&gt;0,GP44*$K44,CQ44*$J44))*IF(51=$R44,$S44,12)/12,6)+$B$4),CQ44-$I44)))))</f>
        <v/>
      </c>
      <c r="CS44" s="68">
        <f>IF($U44=0,0,IF($F44=4,0,IF($F44=3,0,IF(OR(52&gt;$R44,CR44&lt;=$I44),CR44,CR44-MIN(INT(ROUND(IF($F44=1,$C44*$J44,IF(GQ44&gt;0,GQ44*$K44,CR44*$J44))*IF(52=$R44,$S44,12)/12,6)+$B$4),CR44-$I44)))))</f>
        <v/>
      </c>
      <c r="CT44" s="68">
        <f>IF($U44=0,0,IF($F44=4,0,IF($F44=3,0,IF(OR(53&gt;$R44,CS44&lt;=$I44),CS44,CS44-MIN(INT(ROUND(IF($F44=1,$C44*$J44,IF(GR44&gt;0,GR44*$K44,CS44*$J44))*IF(53=$R44,$S44,12)/12,6)+$B$4),CS44-$I44)))))</f>
        <v/>
      </c>
      <c r="CU44" s="68">
        <f>IF($U44=0,0,IF($F44=4,0,IF($F44=3,0,IF(OR(54&gt;$R44,CT44&lt;=$I44),CT44,CT44-MIN(INT(ROUND(IF($F44=1,$C44*$J44,IF(GS44&gt;0,GS44*$K44,CT44*$J44))*IF(54=$R44,$S44,12)/12,6)+$B$4),CT44-$I44)))))</f>
        <v/>
      </c>
      <c r="CV44" s="68">
        <f>IF($U44=0,0,IF($F44=4,0,IF($F44=3,0,IF(OR(55&gt;$R44,CU44&lt;=$I44),CU44,CU44-MIN(INT(ROUND(IF($F44=1,$C44*$J44,IF(GT44&gt;0,GT44*$K44,CU44*$J44))*IF(55=$R44,$S44,12)/12,6)+$B$4),CU44-$I44)))))</f>
        <v/>
      </c>
      <c r="CW44" s="68">
        <f>IF($U44=0,0,IF($F44=4,0,IF($F44=3,0,IF(OR(56&gt;$R44,CV44&lt;=$I44),CV44,CV44-MIN(INT(ROUND(IF($F44=1,$C44*$J44,IF(GU44&gt;0,GU44*$K44,CV44*$J44))*IF(56=$R44,$S44,12)/12,6)+$B$4),CV44-$I44)))))</f>
        <v/>
      </c>
      <c r="CX44" s="68">
        <f>IF($U44=0,0,IF($F44=4,0,IF($F44=3,0,IF(OR(57&gt;$R44,CW44&lt;=$I44),CW44,CW44-MIN(INT(ROUND(IF($F44=1,$C44*$J44,IF(GV44&gt;0,GV44*$K44,CW44*$J44))*IF(57=$R44,$S44,12)/12,6)+$B$4),CW44-$I44)))))</f>
        <v/>
      </c>
      <c r="CY44" s="68">
        <f>IF($U44=0,0,IF($F44=4,0,IF($F44=3,0,IF(OR(58&gt;$R44,CX44&lt;=$I44),CX44,CX44-MIN(INT(ROUND(IF($F44=1,$C44*$J44,IF(GW44&gt;0,GW44*$K44,CX44*$J44))*IF(58=$R44,$S44,12)/12,6)+$B$4),CX44-$I44)))))</f>
        <v/>
      </c>
      <c r="CZ44" s="68">
        <f>IF($U44=0,0,IF($F44=4,0,IF($F44=3,0,IF(OR(59&gt;$R44,CY44&lt;=$I44),CY44,CY44-MIN(INT(ROUND(IF($F44=1,$C44*$J44,IF(GX44&gt;0,GX44*$K44,CY44*$J44))*IF(59=$R44,$S44,12)/12,6)+$B$4),CY44-$I44)))))</f>
        <v/>
      </c>
      <c r="DA44" s="68">
        <f>IF($U44=0,0,IF($F44=4,0,IF($F44=3,0,IF(OR(60&gt;$R44,CZ44&lt;=$I44),CZ44,CZ44-MIN(INT(ROUND(IF($F44=1,$C44*$J44,IF(GY44&gt;0,GY44*$K44,CZ44*$J44))*IF(60=$R44,$S44,12)/12,6)+$B$4),CZ44-$I44)))))</f>
        <v/>
      </c>
      <c r="DB44" s="68">
        <f>IF($U44=0,0,IF($F44=4,0,IF($F44=3,0,IF(OR(61&gt;$R44,DA44&lt;=$I44),DA44,DA44-MIN(INT(ROUND(IF($F44=1,$C44*$J44,IF(GZ44&gt;0,GZ44*$K44,DA44*$J44))*IF(61=$R44,$S44,12)/12,6)+$B$4),DA44-$I44)))))</f>
        <v/>
      </c>
      <c r="DC44" s="68">
        <f>IF($U44=0,0,IF($F44=4,0,IF($F44=3,0,IF(OR(62&gt;$R44,DB44&lt;=$I44),DB44,DB44-MIN(INT(ROUND(IF($F44=1,$C44*$J44,IF(HA44&gt;0,HA44*$K44,DB44*$J44))*IF(62=$R44,$S44,12)/12,6)+$B$4),DB44-$I44)))))</f>
        <v/>
      </c>
      <c r="DD44" s="68">
        <f>IF($U44=0,0,IF($F44=4,0,IF($F44=3,0,IF(OR(63&gt;$R44,DC44&lt;=$I44),DC44,DC44-MIN(INT(ROUND(IF($F44=1,$C44*$J44,IF(HB44&gt;0,HB44*$K44,DC44*$J44))*IF(63=$R44,$S44,12)/12,6)+$B$4),DC44-$I44)))))</f>
        <v/>
      </c>
      <c r="DE44" s="68">
        <f>IF($U44=0,0,IF($F44=4,0,IF($F44=3,0,IF(OR(64&gt;$R44,DD44&lt;=$I44),DD44,DD44-MIN(INT(ROUND(IF($F44=1,$C44*$J44,IF(HC44&gt;0,HC44*$K44,DD44*$J44))*IF(64=$R44,$S44,12)/12,6)+$B$4),DD44-$I44)))))</f>
        <v/>
      </c>
      <c r="DF44" s="68">
        <f>IF($U44=0,0,IF($F44=4,0,IF($F44=3,0,IF(OR(65&gt;$R44,DE44&lt;=$I44),DE44,DE44-MIN(INT(ROUND(IF($F44=1,$C44*$J44,IF(HD44&gt;0,HD44*$K44,DE44*$J44))*IF(65=$R44,$S44,12)/12,6)+$B$4),DE44-$I44)))))</f>
        <v/>
      </c>
      <c r="DG44" s="68">
        <f>IF($U44=0,0,IF($F44=4,0,IF($F44=3,0,IF(OR(66&gt;$R44,DF44&lt;=$I44),DF44,DF44-MIN(INT(ROUND(IF($F44=1,$C44*$J44,IF(HE44&gt;0,HE44*$K44,DF44*$J44))*IF(66=$R44,$S44,12)/12,6)+$B$4),DF44-$I44)))))</f>
        <v/>
      </c>
      <c r="DH44" s="68">
        <f>IF($U44=0,0,IF($F44=4,0,IF($F44=3,0,IF(OR(67&gt;$R44,DG44&lt;=$I44),DG44,DG44-MIN(INT(ROUND(IF($F44=1,$C44*$J44,IF(HF44&gt;0,HF44*$K44,DG44*$J44))*IF(67=$R44,$S44,12)/12,6)+$B$4),DG44-$I44)))))</f>
        <v/>
      </c>
      <c r="DI44" s="68">
        <f>IF($U44=0,0,IF($F44=4,0,IF($F44=3,0,IF(OR(68&gt;$R44,DH44&lt;=$I44),DH44,DH44-MIN(INT(ROUND(IF($F44=1,$C44*$J44,IF(HG44&gt;0,HG44*$K44,DH44*$J44))*IF(68=$R44,$S44,12)/12,6)+$B$4),DH44-$I44)))))</f>
        <v/>
      </c>
      <c r="DJ44" s="68">
        <f>IF($U44=0,0,IF($F44=4,0,IF($F44=3,0,IF(OR(69&gt;$R44,DI44&lt;=$I44),DI44,DI44-MIN(INT(ROUND(IF($F44=1,$C44*$J44,IF(HH44&gt;0,HH44*$K44,DI44*$J44))*IF(69=$R44,$S44,12)/12,6)+$B$4),DI44-$I44)))))</f>
        <v/>
      </c>
      <c r="DK44" s="68">
        <f>IF($U44=0,0,IF($F44=4,0,IF($F44=3,0,IF(OR(70&gt;$R44,DJ44&lt;=$I44),DJ44,DJ44-MIN(INT(ROUND(IF($F44=1,$C44*$J44,IF(HI44&gt;0,HI44*$K44,DJ44*$J44))*IF(70=$R44,$S44,12)/12,6)+$B$4),DJ44-$I44)))))</f>
        <v/>
      </c>
      <c r="DL44" s="68">
        <f>IF($U44=0,0,IF($F44=4,0,IF($F44=3,0,IF(OR(71&gt;$R44,DK44&lt;=$I44),DK44,DK44-MIN(INT(ROUND(IF($F44=1,$C44*$J44,IF(HJ44&gt;0,HJ44*$K44,DK44*$J44))*IF(71=$R44,$S44,12)/12,6)+$B$4),DK44-$I44)))))</f>
        <v/>
      </c>
      <c r="DM44" s="68">
        <f>IF($U44=0,0,IF($F44=4,0,IF($F44=3,0,IF(OR(72&gt;$R44,DL44&lt;=$I44),DL44,DL44-MIN(INT(ROUND(IF($F44=1,$C44*$J44,IF(HK44&gt;0,HK44*$K44,DL44*$J44))*IF(72=$R44,$S44,12)/12,6)+$B$4),DL44-$I44)))))</f>
        <v/>
      </c>
      <c r="DN44" s="68">
        <f>IF($U44=0,0,IF($F44=4,0,IF($F44=3,0,IF(OR(73&gt;$R44,DM44&lt;=$I44),DM44,DM44-MIN(INT(ROUND(IF($F44=1,$C44*$J44,IF(HL44&gt;0,HL44*$K44,DM44*$J44))*IF(73=$R44,$S44,12)/12,6)+$B$4),DM44-$I44)))))</f>
        <v/>
      </c>
      <c r="DO44" s="68">
        <f>IF($U44=0,0,IF($F44=4,0,IF($F44=3,0,IF(OR(74&gt;$R44,DN44&lt;=$I44),DN44,DN44-MIN(INT(ROUND(IF($F44=1,$C44*$J44,IF(HM44&gt;0,HM44*$K44,DN44*$J44))*IF(74=$R44,$S44,12)/12,6)+$B$4),DN44-$I44)))))</f>
        <v/>
      </c>
      <c r="DP44" s="68">
        <f>IF($U44=0,0,IF($F44=4,0,IF($F44=3,0,IF(OR(75&gt;$R44,DO44&lt;=$I44),DO44,DO44-MIN(INT(ROUND(IF($F44=1,$C44*$J44,IF(HN44&gt;0,HN44*$K44,DO44*$J44))*IF(75=$R44,$S44,12)/12,6)+$B$4),DO44-$I44)))))</f>
        <v/>
      </c>
      <c r="DQ44" s="68">
        <f>IF($U44=0,0,IF($F44=4,0,IF($F44=3,0,IF(OR(76&gt;$R44,DP44&lt;=$I44),DP44,DP44-MIN(INT(ROUND(IF($F44=1,$C44*$J44,IF(HO44&gt;0,HO44*$K44,DP44*$J44))*IF(76=$R44,$S44,12)/12,6)+$B$4),DP44-$I44)))))</f>
        <v/>
      </c>
      <c r="DR44" s="68">
        <f>IF($U44=0,0,IF($F44=4,0,IF($F44=3,0,IF(OR(77&gt;$R44,DQ44&lt;=$I44),DQ44,DQ44-MIN(INT(ROUND(IF($F44=1,$C44*$J44,IF(HP44&gt;0,HP44*$K44,DQ44*$J44))*IF(77=$R44,$S44,12)/12,6)+$B$4),DQ44-$I44)))))</f>
        <v/>
      </c>
      <c r="DS44" s="68">
        <f>IF($U44=0,0,IF($F44=4,0,IF($F44=3,0,IF(OR(78&gt;$R44,DR44&lt;=$I44),DR44,DR44-MIN(INT(ROUND(IF($F44=1,$C44*$J44,IF(HQ44&gt;0,HQ44*$K44,DR44*$J44))*IF(78=$R44,$S44,12)/12,6)+$B$4),DR44-$I44)))))</f>
        <v/>
      </c>
      <c r="DT44" s="68">
        <f>IF($U44=0,0,IF($F44=4,0,IF($F44=3,0,IF(OR(79&gt;$R44,DS44&lt;=$I44),DS44,DS44-MIN(INT(ROUND(IF($F44=1,$C44*$J44,IF(HR44&gt;0,HR44*$K44,DS44*$J44))*IF(79=$R44,$S44,12)/12,6)+$B$4),DS44-$I44)))))</f>
        <v/>
      </c>
      <c r="DU44" s="68">
        <f>IF($U44=0,0,IF($F44=4,0,IF($F44=3,0,IF(OR(80&gt;$R44,DT44&lt;=$I44),DT44,DT44-MIN(INT(ROUND(IF($F44=1,$C44*$J44,IF(HS44&gt;0,HS44*$K44,DT44*$J44))*IF(80=$R44,$S44,12)/12,6)+$B$4),DT44-$I44)))))</f>
        <v/>
      </c>
      <c r="DV44" s="68">
        <f>IF($U44=0,0,IF($F44=4,0,IF($F44=3,0,IF(OR(81&gt;$R44,DU44&lt;=$I44),DU44,DU44-MIN(INT(ROUND(IF($F44=1,$C44*$J44,IF(HT44&gt;0,HT44*$K44,DU44*$J44))*IF(81=$R44,$S44,12)/12,6)+$B$4),DU44-$I44)))))</f>
        <v/>
      </c>
      <c r="DW44" s="68">
        <f>IF($U44=0,0,IF($F44=4,0,IF($F44=3,0,IF(OR(82&gt;$R44,DV44&lt;=$I44),DV44,DV44-MIN(INT(ROUND(IF($F44=1,$C44*$J44,IF(HU44&gt;0,HU44*$K44,DV44*$J44))*IF(82=$R44,$S44,12)/12,6)+$B$4),DV44-$I44)))))</f>
        <v/>
      </c>
      <c r="DX44" s="68">
        <f>IF($U44=0,0,IF($F44=4,0,IF($F44=3,0,IF(OR(83&gt;$R44,DW44&lt;=$I44),DW44,DW44-MIN(INT(ROUND(IF($F44=1,$C44*$J44,IF(HV44&gt;0,HV44*$K44,DW44*$J44))*IF(83=$R44,$S44,12)/12,6)+$B$4),DW44-$I44)))))</f>
        <v/>
      </c>
      <c r="DY44" s="68">
        <f>IF($U44=0,0,IF($F44=4,0,IF($F44=3,0,IF(OR(84&gt;$R44,DX44&lt;=$I44),DX44,DX44-MIN(INT(ROUND(IF($F44=1,$C44*$J44,IF(HW44&gt;0,HW44*$K44,DX44*$J44))*IF(84=$R44,$S44,12)/12,6)+$B$4),DX44-$I44)))))</f>
        <v/>
      </c>
      <c r="DZ44" s="68">
        <f>IF($U44=0,0,IF($F44=4,0,IF($F44=3,0,IF(OR(85&gt;$R44,DY44&lt;=$I44),DY44,DY44-MIN(INT(ROUND(IF($F44=1,$C44*$J44,IF(HX44&gt;0,HX44*$K44,DY44*$J44))*IF(85=$R44,$S44,12)/12,6)+$B$4),DY44-$I44)))))</f>
        <v/>
      </c>
      <c r="EA44" s="68">
        <f>IF($U44=0,0,IF($F44=4,0,IF($F44=3,0,IF(OR(86&gt;$R44,DZ44&lt;=$I44),DZ44,DZ44-MIN(INT(ROUND(IF($F44=1,$C44*$J44,IF(HY44&gt;0,HY44*$K44,DZ44*$J44))*IF(86=$R44,$S44,12)/12,6)+$B$4),DZ44-$I44)))))</f>
        <v/>
      </c>
      <c r="EB44" s="68">
        <f>IF($U44=0,0,IF($F44=4,0,IF($F44=3,0,IF(OR(87&gt;$R44,EA44&lt;=$I44),EA44,EA44-MIN(INT(ROUND(IF($F44=1,$C44*$J44,IF(HZ44&gt;0,HZ44*$K44,EA44*$J44))*IF(87=$R44,$S44,12)/12,6)+$B$4),EA44-$I44)))))</f>
        <v/>
      </c>
      <c r="EC44" s="68">
        <f>IF($U44=0,0,IF($F44=4,0,IF($F44=3,0,IF(OR(88&gt;$R44,EB44&lt;=$I44),EB44,EB44-MIN(INT(ROUND(IF($F44=1,$C44*$J44,IF(IA44&gt;0,IA44*$K44,EB44*$J44))*IF(88=$R44,$S44,12)/12,6)+$B$4),EB44-$I44)))))</f>
        <v/>
      </c>
      <c r="ED44" s="68">
        <f>IF($U44=0,0,IF($F44=4,0,IF($F44=3,0,IF(OR(89&gt;$R44,EC44&lt;=$I44),EC44,EC44-MIN(INT(ROUND(IF($F44=1,$C44*$J44,IF(IB44&gt;0,IB44*$K44,EC44*$J44))*IF(89=$R44,$S44,12)/12,6)+$B$4),EC44-$I44)))))</f>
        <v/>
      </c>
      <c r="EE44" s="68">
        <f>IF($U44=0,0,IF($F44=4,0,IF($F44=3,0,IF(OR(90&gt;$R44,ED44&lt;=$I44),ED44,ED44-MIN(INT(ROUND(IF($F44=1,$C44*$J44,IF(IC44&gt;0,IC44*$K44,ED44*$J44))*IF(90=$R44,$S44,12)/12,6)+$B$4),ED44-$I44)))))</f>
        <v/>
      </c>
      <c r="EF44" s="68">
        <f>IF($U44=0,0,IF($F44=4,0,IF($F44=3,0,IF(OR(91&gt;$R44,EE44&lt;=$I44),EE44,EE44-MIN(INT(ROUND(IF($F44=1,$C44*$J44,IF(ID44&gt;0,ID44*$K44,EE44*$J44))*IF(91=$R44,$S44,12)/12,6)+$B$4),EE44-$I44)))))</f>
        <v/>
      </c>
      <c r="EG44" s="68">
        <f>IF($U44=0,0,IF($F44=4,0,IF($F44=3,0,IF(OR(92&gt;$R44,EF44&lt;=$I44),EF44,EF44-MIN(INT(ROUND(IF($F44=1,$C44*$J44,IF(IE44&gt;0,IE44*$K44,EF44*$J44))*IF(92=$R44,$S44,12)/12,6)+$B$4),EF44-$I44)))))</f>
        <v/>
      </c>
      <c r="EH44" s="68">
        <f>IF($U44=0,0,IF($F44=4,0,IF($F44=3,0,IF(OR(93&gt;$R44,EG44&lt;=$I44),EG44,EG44-MIN(INT(ROUND(IF($F44=1,$C44*$J44,IF(IF44&gt;0,IF44*$K44,EG44*$J44))*IF(93=$R44,$S44,12)/12,6)+$B$4),EG44-$I44)))))</f>
        <v/>
      </c>
      <c r="EI44" s="68">
        <f>IF($U44=0,0,IF($F44=4,0,IF($F44=3,0,IF(OR(94&gt;$R44,EH44&lt;=$I44),EH44,EH44-MIN(INT(ROUND(IF($F44=1,$C44*$J44,IF(IG44&gt;0,IG44*$K44,EH44*$J44))*IF(94=$R44,$S44,12)/12,6)+$B$4),EH44-$I44)))))</f>
        <v/>
      </c>
      <c r="EJ44" s="68">
        <f>IF($U44=0,0,IF($F44=4,0,IF($F44=3,0,IF(OR(95&gt;$R44,EI44&lt;=$I44),EI44,EI44-MIN(INT(ROUND(IF($F44=1,$C44*$J44,IF(IH44&gt;0,IH44*$K44,EI44*$J44))*IF(95=$R44,$S44,12)/12,6)+$B$4),EI44-$I44)))))</f>
        <v/>
      </c>
      <c r="EK44" s="68">
        <f>IF($U44=0,0,IF($F44=4,0,IF($F44=3,0,IF(OR(96&gt;$R44,EJ44&lt;=$I44),EJ44,EJ44-MIN(INT(ROUND(IF($F44=1,$C44*$J44,IF(II44&gt;0,II44*$K44,EJ44*$J44))*IF(96=$R44,$S44,12)/12,6)+$B$4),EJ44-$I44)))))</f>
        <v/>
      </c>
      <c r="EL44" s="68">
        <f>IF($U44=0,0,IF($F44=4,0,IF($F44=3,0,IF(OR(97&gt;$R44,EK44&lt;=$I44),EK44,EK44-MIN(INT(ROUND(IF($F44=1,$C44*$J44,IF(IJ44&gt;0,IJ44*$K44,EK44*$J44))*IF(97=$R44,$S44,12)/12,6)+$B$4),EK44-$I44)))))</f>
        <v/>
      </c>
      <c r="EM44" s="68">
        <f>IF($U44=0,0,IF($F44=4,0,IF($F44=3,0,IF(OR(98&gt;$R44,EL44&lt;=$I44),EL44,EL44-MIN(INT(ROUND(IF($F44=1,$C44*$J44,IF(IK44&gt;0,IK44*$K44,EL44*$J44))*IF(98=$R44,$S44,12)/12,6)+$B$4),EL44-$I44)))))</f>
        <v/>
      </c>
      <c r="EN44" s="68">
        <f>IF($U44=0,0,IF($F44=4,0,IF($F44=3,0,IF(OR(99&gt;$R44,EM44&lt;=$I44),EM44,EM44-MIN(INT(ROUND(IF($F44=1,$C44*$J44,IF(IL44&gt;0,IL44*$K44,EM44*$J44))*IF(99=$R44,$S44,12)/12,6)+$B$4),EM44-$I44)))))</f>
        <v/>
      </c>
      <c r="EO44" s="68">
        <f>IF($U44=0,0,IF($F44=4,0,IF($F44=3,0,IF(OR(100&gt;$R44,EN44&lt;=$I44),EN44,EN44-MIN(INT(ROUND(IF($F44=1,$C44*$J44,IF(IM44&gt;0,IM44*$K44,EN44*$J44))*IF(100=$R44,$S44,12)/12,6)+$B$4),EN44-$I44)))))</f>
        <v/>
      </c>
      <c r="EP44" s="68">
        <f>IF($U44=0,0,IF($F44=4,0,IF($F44=3,0,IF(OR(101&gt;$R44,EO44&lt;=$I44),EO44,EO44-MIN(INT(ROUND(IF($F44=1,$C44*$J44,IF(IN44&gt;0,IN44*$K44,EO44*$J44))*IF(101=$R44,$S44,12)/12,6)+$B$4),EO44-$I44)))))</f>
        <v/>
      </c>
      <c r="EQ44" s="68" t="n"/>
      <c r="ER44" s="68">
        <f>IF(OR($U44=0,$F44&lt;&gt;2),0,IF(ROUND(AS44*$J44,6)&lt;ROUND($M44,6),AS44,0))</f>
        <v/>
      </c>
      <c r="ES44" s="68">
        <f>IF(OR($U44=0,$F44&lt;&gt;2),0,IF(ER44&gt;0,ER44,IF(ROUND(AT44*$J44,6)&lt;ROUND($M44,6),AT44,0)))</f>
        <v/>
      </c>
      <c r="ET44" s="68">
        <f>IF(OR($U44=0,$F44&lt;&gt;2),0,IF(ES44&gt;0,ES44,IF(ROUND(AU44*$J44,6)&lt;ROUND($M44,6),AU44,0)))</f>
        <v/>
      </c>
      <c r="EU44" s="68">
        <f>IF(OR($U44=0,$F44&lt;&gt;2),0,IF(ET44&gt;0,ET44,IF(ROUND(AV44*$J44,6)&lt;ROUND($M44,6),AV44,0)))</f>
        <v/>
      </c>
      <c r="EV44" s="68">
        <f>IF(OR($U44=0,$F44&lt;&gt;2),0,IF(EU44&gt;0,EU44,IF(ROUND(AW44*$J44,6)&lt;ROUND($M44,6),AW44,0)))</f>
        <v/>
      </c>
      <c r="EW44" s="68">
        <f>IF(OR($U44=0,$F44&lt;&gt;2),0,IF(EV44&gt;0,EV44,IF(ROUND(AX44*$J44,6)&lt;ROUND($M44,6),AX44,0)))</f>
        <v/>
      </c>
      <c r="EX44" s="68">
        <f>IF(OR($U44=0,$F44&lt;&gt;2),0,IF(EW44&gt;0,EW44,IF(ROUND(AY44*$J44,6)&lt;ROUND($M44,6),AY44,0)))</f>
        <v/>
      </c>
      <c r="EY44" s="68">
        <f>IF(OR($U44=0,$F44&lt;&gt;2),0,IF(EX44&gt;0,EX44,IF(ROUND(AZ44*$J44,6)&lt;ROUND($M44,6),AZ44,0)))</f>
        <v/>
      </c>
      <c r="EZ44" s="68">
        <f>IF(OR($U44=0,$F44&lt;&gt;2),0,IF(EY44&gt;0,EY44,IF(ROUND(BA44*$J44,6)&lt;ROUND($M44,6),BA44,0)))</f>
        <v/>
      </c>
      <c r="FA44" s="68">
        <f>IF(OR($U44=0,$F44&lt;&gt;2),0,IF(EZ44&gt;0,EZ44,IF(ROUND(BB44*$J44,6)&lt;ROUND($M44,6),BB44,0)))</f>
        <v/>
      </c>
      <c r="FB44" s="68">
        <f>IF(OR($U44=0,$F44&lt;&gt;2),0,IF(FA44&gt;0,FA44,IF(ROUND(BC44*$J44,6)&lt;ROUND($M44,6),BC44,0)))</f>
        <v/>
      </c>
      <c r="FC44" s="68">
        <f>IF(OR($U44=0,$F44&lt;&gt;2),0,IF(FB44&gt;0,FB44,IF(ROUND(BD44*$J44,6)&lt;ROUND($M44,6),BD44,0)))</f>
        <v/>
      </c>
      <c r="FD44" s="68">
        <f>IF(OR($U44=0,$F44&lt;&gt;2),0,IF(FC44&gt;0,FC44,IF(ROUND(BE44*$J44,6)&lt;ROUND($M44,6),BE44,0)))</f>
        <v/>
      </c>
      <c r="FE44" s="68">
        <f>IF(OR($U44=0,$F44&lt;&gt;2),0,IF(FD44&gt;0,FD44,IF(ROUND(BF44*$J44,6)&lt;ROUND($M44,6),BF44,0)))</f>
        <v/>
      </c>
      <c r="FF44" s="68">
        <f>IF(OR($U44=0,$F44&lt;&gt;2),0,IF(FE44&gt;0,FE44,IF(ROUND(BG44*$J44,6)&lt;ROUND($M44,6),BG44,0)))</f>
        <v/>
      </c>
      <c r="FG44" s="68">
        <f>IF(OR($U44=0,$F44&lt;&gt;2),0,IF(FF44&gt;0,FF44,IF(ROUND(BH44*$J44,6)&lt;ROUND($M44,6),BH44,0)))</f>
        <v/>
      </c>
      <c r="FH44" s="68">
        <f>IF(OR($U44=0,$F44&lt;&gt;2),0,IF(FG44&gt;0,FG44,IF(ROUND(BI44*$J44,6)&lt;ROUND($M44,6),BI44,0)))</f>
        <v/>
      </c>
      <c r="FI44" s="68">
        <f>IF(OR($U44=0,$F44&lt;&gt;2),0,IF(FH44&gt;0,FH44,IF(ROUND(BJ44*$J44,6)&lt;ROUND($M44,6),BJ44,0)))</f>
        <v/>
      </c>
      <c r="FJ44" s="68">
        <f>IF(OR($U44=0,$F44&lt;&gt;2),0,IF(FI44&gt;0,FI44,IF(ROUND(BK44*$J44,6)&lt;ROUND($M44,6),BK44,0)))</f>
        <v/>
      </c>
      <c r="FK44" s="68">
        <f>IF(OR($U44=0,$F44&lt;&gt;2),0,IF(FJ44&gt;0,FJ44,IF(ROUND(BL44*$J44,6)&lt;ROUND($M44,6),BL44,0)))</f>
        <v/>
      </c>
      <c r="FL44" s="68">
        <f>IF(OR($U44=0,$F44&lt;&gt;2),0,IF(FK44&gt;0,FK44,IF(ROUND(BM44*$J44,6)&lt;ROUND($M44,6),BM44,0)))</f>
        <v/>
      </c>
      <c r="FM44" s="68">
        <f>IF(OR($U44=0,$F44&lt;&gt;2),0,IF(FL44&gt;0,FL44,IF(ROUND(BN44*$J44,6)&lt;ROUND($M44,6),BN44,0)))</f>
        <v/>
      </c>
      <c r="FN44" s="68">
        <f>IF(OR($U44=0,$F44&lt;&gt;2),0,IF(FM44&gt;0,FM44,IF(ROUND(BO44*$J44,6)&lt;ROUND($M44,6),BO44,0)))</f>
        <v/>
      </c>
      <c r="FO44" s="68">
        <f>IF(OR($U44=0,$F44&lt;&gt;2),0,IF(FN44&gt;0,FN44,IF(ROUND(BP44*$J44,6)&lt;ROUND($M44,6),BP44,0)))</f>
        <v/>
      </c>
      <c r="FP44" s="68">
        <f>IF(OR($U44=0,$F44&lt;&gt;2),0,IF(FO44&gt;0,FO44,IF(ROUND(BQ44*$J44,6)&lt;ROUND($M44,6),BQ44,0)))</f>
        <v/>
      </c>
      <c r="FQ44" s="68">
        <f>IF(OR($U44=0,$F44&lt;&gt;2),0,IF(FP44&gt;0,FP44,IF(ROUND(BR44*$J44,6)&lt;ROUND($M44,6),BR44,0)))</f>
        <v/>
      </c>
      <c r="FR44" s="68">
        <f>IF(OR($U44=0,$F44&lt;&gt;2),0,IF(FQ44&gt;0,FQ44,IF(ROUND(BS44*$J44,6)&lt;ROUND($M44,6),BS44,0)))</f>
        <v/>
      </c>
      <c r="FS44" s="68">
        <f>IF(OR($U44=0,$F44&lt;&gt;2),0,IF(FR44&gt;0,FR44,IF(ROUND(BT44*$J44,6)&lt;ROUND($M44,6),BT44,0)))</f>
        <v/>
      </c>
      <c r="FT44" s="68">
        <f>IF(OR($U44=0,$F44&lt;&gt;2),0,IF(FS44&gt;0,FS44,IF(ROUND(BU44*$J44,6)&lt;ROUND($M44,6),BU44,0)))</f>
        <v/>
      </c>
      <c r="FU44" s="68">
        <f>IF(OR($U44=0,$F44&lt;&gt;2),0,IF(FT44&gt;0,FT44,IF(ROUND(BV44*$J44,6)&lt;ROUND($M44,6),BV44,0)))</f>
        <v/>
      </c>
      <c r="FV44" s="68">
        <f>IF(OR($U44=0,$F44&lt;&gt;2),0,IF(FU44&gt;0,FU44,IF(ROUND(BW44*$J44,6)&lt;ROUND($M44,6),BW44,0)))</f>
        <v/>
      </c>
      <c r="FW44" s="68">
        <f>IF(OR($U44=0,$F44&lt;&gt;2),0,IF(FV44&gt;0,FV44,IF(ROUND(BX44*$J44,6)&lt;ROUND($M44,6),BX44,0)))</f>
        <v/>
      </c>
      <c r="FX44" s="68">
        <f>IF(OR($U44=0,$F44&lt;&gt;2),0,IF(FW44&gt;0,FW44,IF(ROUND(BY44*$J44,6)&lt;ROUND($M44,6),BY44,0)))</f>
        <v/>
      </c>
      <c r="FY44" s="68">
        <f>IF(OR($U44=0,$F44&lt;&gt;2),0,IF(FX44&gt;0,FX44,IF(ROUND(BZ44*$J44,6)&lt;ROUND($M44,6),BZ44,0)))</f>
        <v/>
      </c>
      <c r="FZ44" s="68">
        <f>IF(OR($U44=0,$F44&lt;&gt;2),0,IF(FY44&gt;0,FY44,IF(ROUND(CA44*$J44,6)&lt;ROUND($M44,6),CA44,0)))</f>
        <v/>
      </c>
      <c r="GA44" s="68">
        <f>IF(OR($U44=0,$F44&lt;&gt;2),0,IF(FZ44&gt;0,FZ44,IF(ROUND(CB44*$J44,6)&lt;ROUND($M44,6),CB44,0)))</f>
        <v/>
      </c>
      <c r="GB44" s="68">
        <f>IF(OR($U44=0,$F44&lt;&gt;2),0,IF(GA44&gt;0,GA44,IF(ROUND(CC44*$J44,6)&lt;ROUND($M44,6),CC44,0)))</f>
        <v/>
      </c>
      <c r="GC44" s="68">
        <f>IF(OR($U44=0,$F44&lt;&gt;2),0,IF(GB44&gt;0,GB44,IF(ROUND(CD44*$J44,6)&lt;ROUND($M44,6),CD44,0)))</f>
        <v/>
      </c>
      <c r="GD44" s="68">
        <f>IF(OR($U44=0,$F44&lt;&gt;2),0,IF(GC44&gt;0,GC44,IF(ROUND(CE44*$J44,6)&lt;ROUND($M44,6),CE44,0)))</f>
        <v/>
      </c>
      <c r="GE44" s="68">
        <f>IF(OR($U44=0,$F44&lt;&gt;2),0,IF(GD44&gt;0,GD44,IF(ROUND(CF44*$J44,6)&lt;ROUND($M44,6),CF44,0)))</f>
        <v/>
      </c>
      <c r="GF44" s="68">
        <f>IF(OR($U44=0,$F44&lt;&gt;2),0,IF(GE44&gt;0,GE44,IF(ROUND(CG44*$J44,6)&lt;ROUND($M44,6),CG44,0)))</f>
        <v/>
      </c>
      <c r="GG44" s="68">
        <f>IF(OR($U44=0,$F44&lt;&gt;2),0,IF(GF44&gt;0,GF44,IF(ROUND(CH44*$J44,6)&lt;ROUND($M44,6),CH44,0)))</f>
        <v/>
      </c>
      <c r="GH44" s="68">
        <f>IF(OR($U44=0,$F44&lt;&gt;2),0,IF(GG44&gt;0,GG44,IF(ROUND(CI44*$J44,6)&lt;ROUND($M44,6),CI44,0)))</f>
        <v/>
      </c>
      <c r="GI44" s="68">
        <f>IF(OR($U44=0,$F44&lt;&gt;2),0,IF(GH44&gt;0,GH44,IF(ROUND(CJ44*$J44,6)&lt;ROUND($M44,6),CJ44,0)))</f>
        <v/>
      </c>
      <c r="GJ44" s="68">
        <f>IF(OR($U44=0,$F44&lt;&gt;2),0,IF(GI44&gt;0,GI44,IF(ROUND(CK44*$J44,6)&lt;ROUND($M44,6),CK44,0)))</f>
        <v/>
      </c>
      <c r="GK44" s="68">
        <f>IF(OR($U44=0,$F44&lt;&gt;2),0,IF(GJ44&gt;0,GJ44,IF(ROUND(CL44*$J44,6)&lt;ROUND($M44,6),CL44,0)))</f>
        <v/>
      </c>
      <c r="GL44" s="68">
        <f>IF(OR($U44=0,$F44&lt;&gt;2),0,IF(GK44&gt;0,GK44,IF(ROUND(CM44*$J44,6)&lt;ROUND($M44,6),CM44,0)))</f>
        <v/>
      </c>
      <c r="GM44" s="68">
        <f>IF(OR($U44=0,$F44&lt;&gt;2),0,IF(GL44&gt;0,GL44,IF(ROUND(CN44*$J44,6)&lt;ROUND($M44,6),CN44,0)))</f>
        <v/>
      </c>
      <c r="GN44" s="68">
        <f>IF(OR($U44=0,$F44&lt;&gt;2),0,IF(GM44&gt;0,GM44,IF(ROUND(CO44*$J44,6)&lt;ROUND($M44,6),CO44,0)))</f>
        <v/>
      </c>
      <c r="GO44" s="68">
        <f>IF(OR($U44=0,$F44&lt;&gt;2),0,IF(GN44&gt;0,GN44,IF(ROUND(CP44*$J44,6)&lt;ROUND($M44,6),CP44,0)))</f>
        <v/>
      </c>
      <c r="GP44" s="68">
        <f>IF(OR($U44=0,$F44&lt;&gt;2),0,IF(GO44&gt;0,GO44,IF(ROUND(CQ44*$J44,6)&lt;ROUND($M44,6),CQ44,0)))</f>
        <v/>
      </c>
      <c r="GQ44" s="68">
        <f>IF(OR($U44=0,$F44&lt;&gt;2),0,IF(GP44&gt;0,GP44,IF(ROUND(CR44*$J44,6)&lt;ROUND($M44,6),CR44,0)))</f>
        <v/>
      </c>
      <c r="GR44" s="68">
        <f>IF(OR($U44=0,$F44&lt;&gt;2),0,IF(GQ44&gt;0,GQ44,IF(ROUND(CS44*$J44,6)&lt;ROUND($M44,6),CS44,0)))</f>
        <v/>
      </c>
      <c r="GS44" s="68">
        <f>IF(OR($U44=0,$F44&lt;&gt;2),0,IF(GR44&gt;0,GR44,IF(ROUND(CT44*$J44,6)&lt;ROUND($M44,6),CT44,0)))</f>
        <v/>
      </c>
      <c r="GT44" s="68">
        <f>IF(OR($U44=0,$F44&lt;&gt;2),0,IF(GS44&gt;0,GS44,IF(ROUND(CU44*$J44,6)&lt;ROUND($M44,6),CU44,0)))</f>
        <v/>
      </c>
      <c r="GU44" s="68">
        <f>IF(OR($U44=0,$F44&lt;&gt;2),0,IF(GT44&gt;0,GT44,IF(ROUND(CV44*$J44,6)&lt;ROUND($M44,6),CV44,0)))</f>
        <v/>
      </c>
      <c r="GV44" s="68">
        <f>IF(OR($U44=0,$F44&lt;&gt;2),0,IF(GU44&gt;0,GU44,IF(ROUND(CW44*$J44,6)&lt;ROUND($M44,6),CW44,0)))</f>
        <v/>
      </c>
      <c r="GW44" s="68">
        <f>IF(OR($U44=0,$F44&lt;&gt;2),0,IF(GV44&gt;0,GV44,IF(ROUND(CX44*$J44,6)&lt;ROUND($M44,6),CX44,0)))</f>
        <v/>
      </c>
      <c r="GX44" s="68">
        <f>IF(OR($U44=0,$F44&lt;&gt;2),0,IF(GW44&gt;0,GW44,IF(ROUND(CY44*$J44,6)&lt;ROUND($M44,6),CY44,0)))</f>
        <v/>
      </c>
      <c r="GY44" s="68">
        <f>IF(OR($U44=0,$F44&lt;&gt;2),0,IF(GX44&gt;0,GX44,IF(ROUND(CZ44*$J44,6)&lt;ROUND($M44,6),CZ44,0)))</f>
        <v/>
      </c>
      <c r="GZ44" s="68">
        <f>IF(OR($U44=0,$F44&lt;&gt;2),0,IF(GY44&gt;0,GY44,IF(ROUND(DA44*$J44,6)&lt;ROUND($M44,6),DA44,0)))</f>
        <v/>
      </c>
      <c r="HA44" s="68">
        <f>IF(OR($U44=0,$F44&lt;&gt;2),0,IF(GZ44&gt;0,GZ44,IF(ROUND(DB44*$J44,6)&lt;ROUND($M44,6),DB44,0)))</f>
        <v/>
      </c>
      <c r="HB44" s="68">
        <f>IF(OR($U44=0,$F44&lt;&gt;2),0,IF(HA44&gt;0,HA44,IF(ROUND(DC44*$J44,6)&lt;ROUND($M44,6),DC44,0)))</f>
        <v/>
      </c>
      <c r="HC44" s="68">
        <f>IF(OR($U44=0,$F44&lt;&gt;2),0,IF(HB44&gt;0,HB44,IF(ROUND(DD44*$J44,6)&lt;ROUND($M44,6),DD44,0)))</f>
        <v/>
      </c>
      <c r="HD44" s="68">
        <f>IF(OR($U44=0,$F44&lt;&gt;2),0,IF(HC44&gt;0,HC44,IF(ROUND(DE44*$J44,6)&lt;ROUND($M44,6),DE44,0)))</f>
        <v/>
      </c>
      <c r="HE44" s="68">
        <f>IF(OR($U44=0,$F44&lt;&gt;2),0,IF(HD44&gt;0,HD44,IF(ROUND(DF44*$J44,6)&lt;ROUND($M44,6),DF44,0)))</f>
        <v/>
      </c>
      <c r="HF44" s="68">
        <f>IF(OR($U44=0,$F44&lt;&gt;2),0,IF(HE44&gt;0,HE44,IF(ROUND(DG44*$J44,6)&lt;ROUND($M44,6),DG44,0)))</f>
        <v/>
      </c>
      <c r="HG44" s="68">
        <f>IF(OR($U44=0,$F44&lt;&gt;2),0,IF(HF44&gt;0,HF44,IF(ROUND(DH44*$J44,6)&lt;ROUND($M44,6),DH44,0)))</f>
        <v/>
      </c>
      <c r="HH44" s="68">
        <f>IF(OR($U44=0,$F44&lt;&gt;2),0,IF(HG44&gt;0,HG44,IF(ROUND(DI44*$J44,6)&lt;ROUND($M44,6),DI44,0)))</f>
        <v/>
      </c>
      <c r="HI44" s="68">
        <f>IF(OR($U44=0,$F44&lt;&gt;2),0,IF(HH44&gt;0,HH44,IF(ROUND(DJ44*$J44,6)&lt;ROUND($M44,6),DJ44,0)))</f>
        <v/>
      </c>
      <c r="HJ44" s="68">
        <f>IF(OR($U44=0,$F44&lt;&gt;2),0,IF(HI44&gt;0,HI44,IF(ROUND(DK44*$J44,6)&lt;ROUND($M44,6),DK44,0)))</f>
        <v/>
      </c>
      <c r="HK44" s="68">
        <f>IF(OR($U44=0,$F44&lt;&gt;2),0,IF(HJ44&gt;0,HJ44,IF(ROUND(DL44*$J44,6)&lt;ROUND($M44,6),DL44,0)))</f>
        <v/>
      </c>
      <c r="HL44" s="68">
        <f>IF(OR($U44=0,$F44&lt;&gt;2),0,IF(HK44&gt;0,HK44,IF(ROUND(DM44*$J44,6)&lt;ROUND($M44,6),DM44,0)))</f>
        <v/>
      </c>
      <c r="HM44" s="68">
        <f>IF(OR($U44=0,$F44&lt;&gt;2),0,IF(HL44&gt;0,HL44,IF(ROUND(DN44*$J44,6)&lt;ROUND($M44,6),DN44,0)))</f>
        <v/>
      </c>
      <c r="HN44" s="68">
        <f>IF(OR($U44=0,$F44&lt;&gt;2),0,IF(HM44&gt;0,HM44,IF(ROUND(DO44*$J44,6)&lt;ROUND($M44,6),DO44,0)))</f>
        <v/>
      </c>
      <c r="HO44" s="68">
        <f>IF(OR($U44=0,$F44&lt;&gt;2),0,IF(HN44&gt;0,HN44,IF(ROUND(DP44*$J44,6)&lt;ROUND($M44,6),DP44,0)))</f>
        <v/>
      </c>
      <c r="HP44" s="68">
        <f>IF(OR($U44=0,$F44&lt;&gt;2),0,IF(HO44&gt;0,HO44,IF(ROUND(DQ44*$J44,6)&lt;ROUND($M44,6),DQ44,0)))</f>
        <v/>
      </c>
      <c r="HQ44" s="68">
        <f>IF(OR($U44=0,$F44&lt;&gt;2),0,IF(HP44&gt;0,HP44,IF(ROUND(DR44*$J44,6)&lt;ROUND($M44,6),DR44,0)))</f>
        <v/>
      </c>
      <c r="HR44" s="68">
        <f>IF(OR($U44=0,$F44&lt;&gt;2),0,IF(HQ44&gt;0,HQ44,IF(ROUND(DS44*$J44,6)&lt;ROUND($M44,6),DS44,0)))</f>
        <v/>
      </c>
      <c r="HS44" s="68">
        <f>IF(OR($U44=0,$F44&lt;&gt;2),0,IF(HR44&gt;0,HR44,IF(ROUND(DT44*$J44,6)&lt;ROUND($M44,6),DT44,0)))</f>
        <v/>
      </c>
      <c r="HT44" s="68">
        <f>IF(OR($U44=0,$F44&lt;&gt;2),0,IF(HS44&gt;0,HS44,IF(ROUND(DU44*$J44,6)&lt;ROUND($M44,6),DU44,0)))</f>
        <v/>
      </c>
      <c r="HU44" s="68">
        <f>IF(OR($U44=0,$F44&lt;&gt;2),0,IF(HT44&gt;0,HT44,IF(ROUND(DV44*$J44,6)&lt;ROUND($M44,6),DV44,0)))</f>
        <v/>
      </c>
      <c r="HV44" s="68">
        <f>IF(OR($U44=0,$F44&lt;&gt;2),0,IF(HU44&gt;0,HU44,IF(ROUND(DW44*$J44,6)&lt;ROUND($M44,6),DW44,0)))</f>
        <v/>
      </c>
      <c r="HW44" s="68">
        <f>IF(OR($U44=0,$F44&lt;&gt;2),0,IF(HV44&gt;0,HV44,IF(ROUND(DX44*$J44,6)&lt;ROUND($M44,6),DX44,0)))</f>
        <v/>
      </c>
      <c r="HX44" s="68">
        <f>IF(OR($U44=0,$F44&lt;&gt;2),0,IF(HW44&gt;0,HW44,IF(ROUND(DY44*$J44,6)&lt;ROUND($M44,6),DY44,0)))</f>
        <v/>
      </c>
      <c r="HY44" s="68">
        <f>IF(OR($U44=0,$F44&lt;&gt;2),0,IF(HX44&gt;0,HX44,IF(ROUND(DZ44*$J44,6)&lt;ROUND($M44,6),DZ44,0)))</f>
        <v/>
      </c>
      <c r="HZ44" s="68">
        <f>IF(OR($U44=0,$F44&lt;&gt;2),0,IF(HY44&gt;0,HY44,IF(ROUND(EA44*$J44,6)&lt;ROUND($M44,6),EA44,0)))</f>
        <v/>
      </c>
      <c r="IA44" s="68">
        <f>IF(OR($U44=0,$F44&lt;&gt;2),0,IF(HZ44&gt;0,HZ44,IF(ROUND(EB44*$J44,6)&lt;ROUND($M44,6),EB44,0)))</f>
        <v/>
      </c>
      <c r="IB44" s="68">
        <f>IF(OR($U44=0,$F44&lt;&gt;2),0,IF(IA44&gt;0,IA44,IF(ROUND(EC44*$J44,6)&lt;ROUND($M44,6),EC44,0)))</f>
        <v/>
      </c>
      <c r="IC44" s="68">
        <f>IF(OR($U44=0,$F44&lt;&gt;2),0,IF(IB44&gt;0,IB44,IF(ROUND(ED44*$J44,6)&lt;ROUND($M44,6),ED44,0)))</f>
        <v/>
      </c>
      <c r="ID44" s="68">
        <f>IF(OR($U44=0,$F44&lt;&gt;2),0,IF(IC44&gt;0,IC44,IF(ROUND(EE44*$J44,6)&lt;ROUND($M44,6),EE44,0)))</f>
        <v/>
      </c>
      <c r="IE44" s="68">
        <f>IF(OR($U44=0,$F44&lt;&gt;2),0,IF(ID44&gt;0,ID44,IF(ROUND(EF44*$J44,6)&lt;ROUND($M44,6),EF44,0)))</f>
        <v/>
      </c>
      <c r="IF44" s="68">
        <f>IF(OR($U44=0,$F44&lt;&gt;2),0,IF(IE44&gt;0,IE44,IF(ROUND(EG44*$J44,6)&lt;ROUND($M44,6),EG44,0)))</f>
        <v/>
      </c>
      <c r="IG44" s="68">
        <f>IF(OR($U44=0,$F44&lt;&gt;2),0,IF(IF44&gt;0,IF44,IF(ROUND(EH44*$J44,6)&lt;ROUND($M44,6),EH44,0)))</f>
        <v/>
      </c>
      <c r="IH44" s="68">
        <f>IF(OR($U44=0,$F44&lt;&gt;2),0,IF(IG44&gt;0,IG44,IF(ROUND(EI44*$J44,6)&lt;ROUND($M44,6),EI44,0)))</f>
        <v/>
      </c>
      <c r="II44" s="68">
        <f>IF(OR($U44=0,$F44&lt;&gt;2),0,IF(IH44&gt;0,IH44,IF(ROUND(EJ44*$J44,6)&lt;ROUND($M44,6),EJ44,0)))</f>
        <v/>
      </c>
      <c r="IJ44" s="68">
        <f>IF(OR($U44=0,$F44&lt;&gt;2),0,IF(II44&gt;0,II44,IF(ROUND(EK44*$J44,6)&lt;ROUND($M44,6),EK44,0)))</f>
        <v/>
      </c>
      <c r="IK44" s="68">
        <f>IF(OR($U44=0,$F44&lt;&gt;2),0,IF(IJ44&gt;0,IJ44,IF(ROUND(EL44*$J44,6)&lt;ROUND($M44,6),EL44,0)))</f>
        <v/>
      </c>
      <c r="IL44" s="68">
        <f>IF(OR($U44=0,$F44&lt;&gt;2),0,IF(IK44&gt;0,IK44,IF(ROUND(EM44*$J44,6)&lt;ROUND($M44,6),EM44,0)))</f>
        <v/>
      </c>
      <c r="IM44" s="68">
        <f>IF(OR($U44=0,$F44&lt;&gt;2),0,IF(IL44&gt;0,IL44,IF(ROUND(EN44*$J44,6)&lt;ROUND($M44,6),EN44,0)))</f>
        <v/>
      </c>
      <c r="IN44" s="68">
        <f>IF(OR($U44=0,$F44&lt;&gt;2),0,IF(IM44&gt;0,IM44,IF(ROUND(EO44*$J44,6)&lt;ROUND($M44,6),EO44,0)))</f>
        <v/>
      </c>
    </row>
    <row r="45">
      <c r="A45" s="68" t="n">
        <v>40</v>
      </c>
      <c r="B45" s="68">
        <f>IF(OR(TRIM('固定資産台帳'!$B45)&lt;&gt;"",'固定資産台帳'!$E45&lt;&gt;"",'固定資産台帳'!$G45&lt;&gt;"",'固定資産台帳'!$H45&lt;&gt;""),1,0)</f>
        <v/>
      </c>
      <c r="C45" s="68">
        <f>IF(ISNUMBER('固定資産台帳'!$G45),MAX(ROUND('固定資産台帳'!$G45,0),0),0)</f>
        <v/>
      </c>
      <c r="D45" s="84">
        <f>IF(ISNUMBER('固定資産台帳'!$E45),INT('固定資産台帳'!$E45),0)</f>
        <v/>
      </c>
      <c r="E45" s="84">
        <f>IF(ISNUMBER('固定資産台帳'!$F45),INT('固定資産台帳'!$F45),$D45)</f>
        <v/>
      </c>
      <c r="F45" s="68">
        <f>IF('固定資産台帳'!$H45="定額法",1,IF(OR('固定資産台帳'!$H45="定率法",'固定資産台帳'!$H45="定率法（200%）",'固定資産台帳'!$H45="定率法（250%）"),2,IF('固定資産台帳'!$H45="一括償却（3年）",3,IF('固定資産台帳'!$H45="少額特例",4,0))))</f>
        <v/>
      </c>
      <c r="G45" s="68">
        <f>IF('固定資産台帳'!$H45="定率法（250%）",250,IF('固定資産台帳'!$H45="定率法（200%）",200,IF($D45&gt;=DATE(2012,4,1),200,250)))</f>
        <v/>
      </c>
      <c r="H45" s="68">
        <f>IF(ISNUMBER('固定資産台帳'!$I45),IF(AND('固定資産台帳'!$I45&gt;=2,'固定資産台帳'!$I45&lt;=100,'固定資産台帳'!$I45=INT('固定資産台帳'!$I45)),'固定資産台帳'!$I45,0),0)</f>
        <v/>
      </c>
      <c r="I45" s="68">
        <f>IF('固定資産台帳'!$C45="無形固定資産",0,1)</f>
        <v/>
      </c>
      <c r="J45" s="68">
        <f>IF(OR($H45=0,$F45=0,$F45&gt;2),0,IF($F45=1,INDEX('償却率表'!$B$6:$B$104,$H45-1),IF($G45=200,INDEX('償却率表'!$C$6:$C$104,$H45-1),INDEX('償却率表'!$F$6:$F$104,$H45-1))))</f>
        <v/>
      </c>
      <c r="K45" s="68">
        <f>IF(AND($F45=2,$H45&gt;0),IF($G45=200,INDEX('償却率表'!$D$6:$D$104,$H45-1),INDEX('償却率表'!$G$6:$G$104,$H45-1)),0)</f>
        <v/>
      </c>
      <c r="L45" s="68">
        <f>IF(AND($F45=2,$H45&gt;0),IF($G45=200,INDEX('償却率表'!$E$6:$E$104,$H45-1),INDEX('償却率表'!$H$6:$H$104,$H45-1)),0)</f>
        <v/>
      </c>
      <c r="M45" s="68">
        <f>$C45*$L45</f>
        <v/>
      </c>
      <c r="N45" s="68">
        <f>IF($B$1=1,1,IF('固定資産台帳'!$J45="",1,IF(ISNUMBER('固定資産台帳'!$J45),IF(AND('固定資産台帳'!$J45&gt;0,'固定資産台帳'!$J45&lt;=1),'固定資産台帳'!$J45,0),0)))</f>
        <v/>
      </c>
      <c r="O45" s="68">
        <f>IF($E45=0,0,YEAR($E45)-IF(MONTH($E45)&lt;$B$2,1,0))</f>
        <v/>
      </c>
      <c r="P45" s="68">
        <f>IF($E45=0,0,12-MOD(MONTH($E45)-$B$2,12))</f>
        <v/>
      </c>
      <c r="Q45" s="84">
        <f>IF(ISNUMBER('固定資産台帳'!$K45),INT('固定資産台帳'!$K45),0)</f>
        <v/>
      </c>
      <c r="R45" s="68">
        <f>IF(OR($Q45=0,$E45=0),999,YEAR($Q45)-IF(MONTH($Q45)&lt;$B$2,1,0)-$O45)</f>
        <v/>
      </c>
      <c r="S45" s="68">
        <f>IF($R45=999,0,MOD(MONTH($Q45)-$B$2,12)+1-IF($R45=0,12-$P45,0))</f>
        <v/>
      </c>
      <c r="T45" s="68">
        <f>IF($B45=0,0,IF($C45&lt;=0,1,IF($D45=0,2,IF($F45=0,3,IF(AND($F45&lt;=2,$H45=0),4,IF(AND($F45&lt;=2,$D45&lt;DATE(2007,4,1)),5,IF($E45&lt;$D45,6,IF(AND($Q45&gt;0,$Q45&lt;$E45),7,IF($N45=0,8,IF($B$3=0,9,0))))))))))</f>
        <v/>
      </c>
      <c r="U45" s="68">
        <f>IF(AND($B45=1,$T45=0),1,0)</f>
        <v/>
      </c>
      <c r="V45" s="68">
        <f>$B$3-$O45</f>
        <v/>
      </c>
      <c r="W45" s="68">
        <f>IF(AND($U45=1,$V45&gt;=0),1,0)</f>
        <v/>
      </c>
      <c r="X45" s="68">
        <f>IF($W45=0,0,IF($V45=0,$C45,INDEX($AS45:$EP45,MIN($V45,102))))</f>
        <v/>
      </c>
      <c r="Y45" s="68">
        <f>IF($W45=0,0,INDEX($AS45:$EP45,MIN($V45,101)+1))</f>
        <v/>
      </c>
      <c r="Z45" s="68">
        <f>$X45-$Y45</f>
        <v/>
      </c>
      <c r="AA45" s="68">
        <f>IF(AND($W45=1,$F45=2,$V45&gt;=1),INDEX($ER45:$IN45,MIN($V45,101)),0)</f>
        <v/>
      </c>
      <c r="AB45" s="68">
        <f>IF(OR($W45=0,$F45&gt;2,$Z45=0),0,IF($V45=0,IF($R45=0,$S45,$P45),IF($V45=$R45,$S45,12)))</f>
        <v/>
      </c>
      <c r="AC45" s="68">
        <f>IF($W45=0,0,INT(ROUND($Z45*$N45,6)+$B$4))</f>
        <v/>
      </c>
      <c r="AD45" s="68">
        <f>IF(AND($W45=1,$F45&lt;=2,$V45=$R45),1,0)</f>
        <v/>
      </c>
      <c r="AE45" s="68">
        <f>IF(AND($W45=1,$F45&lt;=2,$V45&gt;$R45),1,0)</f>
        <v/>
      </c>
      <c r="AF45" s="68">
        <f>IF(AND($W45=1,$AE45=0,OR($Z45&gt;0,$AD45=1)),1,0)</f>
        <v/>
      </c>
      <c r="AG45" s="68">
        <f>IF($AF45=1,SUM($AF$6:$AF45),0)</f>
        <v/>
      </c>
      <c r="AH45" s="68">
        <f>IF($T45=0,"",CHOOSE($T45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45" s="68">
        <f>IF(AND($F45=2,OR('固定資産台帳'!$C45="建物",'固定資産台帳'!$C45="無形固定資産",AND(OR('固定資産台帳'!$C45="建物附属設備",'固定資産台帳'!$C45="構築物"),$D45&gt;=DATE(2016,4,1)))),"この資産は定額法だけです（定率法は使えません）。","")&amp;IF(AND($F45=3,$C45&gt;=200000),"一括償却は20万円未満の資産だけです。","")&amp;IF(AND($F45=3,$B$1=0,$C45&lt;100000),"10万円未満は一括償却にせず、全額をその年の経費にします。","")&amp;IF(AND($F45=4,$C45&lt;100000),"10万円未満は少額特例ではなく、全額をその年の経費にします。","")&amp;IF(AND($F45=4,$D45&lt;DATE(2026,4,1),$C45&gt;=300000),"2026年3月31日までの取得で少額特例が使えるのは30万円未満です。","")&amp;IF(AND($F45=4,$D45&gt;=DATE(2026,4,1),$C45&gt;=400000),"少額特例は40万円未満の資産だけです。","")&amp;IF(AND($F45=4,OR($D45&lt;DATE(2006,4,1),$D45&gt;DATE(2029,3,31))),"少額特例は2006年4月1日〜2029年3月31日に取得した資産だけです。","")&amp;IF(AND($F45=2,$G45=250,$D45&gt;DATE(2012,12,31)),"250%定率法は2012年12月31日までの取得だけです。","")</f>
        <v/>
      </c>
      <c r="AJ45" s="68">
        <f>IF(AND($F45=2,'固定資産台帳'!$H45="定率法（200%）",$D45&lt;DATE(2012,4,1)),"2012年3月31日までの取得に200%を使うのは、経過措置の届出をした場合です。","")&amp;IF(AND($F45=2,'固定資産台帳'!$H45="定率法（250%）",$D45&gt;=DATE(2012,4,1),$D45&lt;=DATE(2012,12,31)),"2012年4〜12月の取得に250%を使うのは、経過措置を選んだ場合です。","")</f>
        <v/>
      </c>
      <c r="AK45" s="68">
        <f>IF($U45=0,"",IF($V45&lt;0,"表示している年より後に使い始める資産です。",IF($AE45=1,"売却・除却済みです。",IF($AD45=1,"この年に売却・除却。期末の帳簿価額 "&amp;TEXT($Y45,"#,##0")&amp;"円を帳簿から外します。",IF($F45=4,IF($V45=0,"少額特例：この年に全額を経費にします。","少額特例で経費にした資産です。"),IF($F45=3,IF($V45&gt;2,"一括償却は終わっています。","一括償却 "&amp;($V45+1)&amp;"年目（3年のうち）。"),IF($Z45=0,"償却済み（帳簿価額 "&amp;TEXT($Y45,"#,##0")&amp;"円）。",IF($AA45&gt;0,"改定償却率で計算（改定取得価額 "&amp;TEXT($AA45,"#,##0")&amp;"円）。",IF($V45=0,"この年に使い始め（"&amp;$AB45&amp;"か月分）。","")))))))))</f>
        <v/>
      </c>
      <c r="AL45" s="68">
        <f>IF(AND($U45=1,$F45=4,$V45=0),$C45,0)</f>
        <v/>
      </c>
      <c r="AM45" s="68">
        <f>IF($F45=2,INT(ROUND($M45,6)+$B$4),0)</f>
        <v/>
      </c>
      <c r="AN45" s="68">
        <f>IF($W45=0,0,IF($F45=2,IF($AA45&gt;0,$AA45,$X45),$C45))</f>
        <v/>
      </c>
      <c r="AO45" s="68">
        <f>IF($W45=0,"",IF($F45=3,"1/3",IF($F45=4,"―",IF($AA45&gt;0,$K45,$J45))))</f>
        <v/>
      </c>
      <c r="AP45" s="68" t="n"/>
      <c r="AQ45" s="68" t="n"/>
      <c r="AR45" s="68" t="n"/>
      <c r="AS45" s="68">
        <f>IF($U45=0,0,IF($F45=4,0,IF($F45=3,MAX($C45-INT(ROUND($C45/3,6)+$B$4),0),$C45-MIN(INT(ROUND($C45*$J45*IF($R45=0,$S45,$P45)/12,6)+$B$4),MAX($C45-$I45,0)))))</f>
        <v/>
      </c>
      <c r="AT45" s="68">
        <f>IF($U45=0,0,IF($F45=4,0,IF($F45=3,AS45-MIN(INT(ROUND($C45/3,6)+$B$4),AS45),IF(OR(1&gt;$R45,AS45&lt;=$I45),AS45,AS45-MIN(INT(ROUND(IF($F45=1,$C45*$J45,IF(ER45&gt;0,ER45*$K45,AS45*$J45))*IF(1=$R45,$S45,12)/12,6)+$B$4),AS45-$I45)))))</f>
        <v/>
      </c>
      <c r="AU45" s="68">
        <f>IF($U45=0,0,IF($F45=4,0,IF($F45=3,0,IF(OR(2&gt;$R45,AT45&lt;=$I45),AT45,AT45-MIN(INT(ROUND(IF($F45=1,$C45*$J45,IF(ES45&gt;0,ES45*$K45,AT45*$J45))*IF(2=$R45,$S45,12)/12,6)+$B$4),AT45-$I45)))))</f>
        <v/>
      </c>
      <c r="AV45" s="68">
        <f>IF($U45=0,0,IF($F45=4,0,IF($F45=3,0,IF(OR(3&gt;$R45,AU45&lt;=$I45),AU45,AU45-MIN(INT(ROUND(IF($F45=1,$C45*$J45,IF(ET45&gt;0,ET45*$K45,AU45*$J45))*IF(3=$R45,$S45,12)/12,6)+$B$4),AU45-$I45)))))</f>
        <v/>
      </c>
      <c r="AW45" s="68">
        <f>IF($U45=0,0,IF($F45=4,0,IF($F45=3,0,IF(OR(4&gt;$R45,AV45&lt;=$I45),AV45,AV45-MIN(INT(ROUND(IF($F45=1,$C45*$J45,IF(EU45&gt;0,EU45*$K45,AV45*$J45))*IF(4=$R45,$S45,12)/12,6)+$B$4),AV45-$I45)))))</f>
        <v/>
      </c>
      <c r="AX45" s="68">
        <f>IF($U45=0,0,IF($F45=4,0,IF($F45=3,0,IF(OR(5&gt;$R45,AW45&lt;=$I45),AW45,AW45-MIN(INT(ROUND(IF($F45=1,$C45*$J45,IF(EV45&gt;0,EV45*$K45,AW45*$J45))*IF(5=$R45,$S45,12)/12,6)+$B$4),AW45-$I45)))))</f>
        <v/>
      </c>
      <c r="AY45" s="68">
        <f>IF($U45=0,0,IF($F45=4,0,IF($F45=3,0,IF(OR(6&gt;$R45,AX45&lt;=$I45),AX45,AX45-MIN(INT(ROUND(IF($F45=1,$C45*$J45,IF(EW45&gt;0,EW45*$K45,AX45*$J45))*IF(6=$R45,$S45,12)/12,6)+$B$4),AX45-$I45)))))</f>
        <v/>
      </c>
      <c r="AZ45" s="68">
        <f>IF($U45=0,0,IF($F45=4,0,IF($F45=3,0,IF(OR(7&gt;$R45,AY45&lt;=$I45),AY45,AY45-MIN(INT(ROUND(IF($F45=1,$C45*$J45,IF(EX45&gt;0,EX45*$K45,AY45*$J45))*IF(7=$R45,$S45,12)/12,6)+$B$4),AY45-$I45)))))</f>
        <v/>
      </c>
      <c r="BA45" s="68">
        <f>IF($U45=0,0,IF($F45=4,0,IF($F45=3,0,IF(OR(8&gt;$R45,AZ45&lt;=$I45),AZ45,AZ45-MIN(INT(ROUND(IF($F45=1,$C45*$J45,IF(EY45&gt;0,EY45*$K45,AZ45*$J45))*IF(8=$R45,$S45,12)/12,6)+$B$4),AZ45-$I45)))))</f>
        <v/>
      </c>
      <c r="BB45" s="68">
        <f>IF($U45=0,0,IF($F45=4,0,IF($F45=3,0,IF(OR(9&gt;$R45,BA45&lt;=$I45),BA45,BA45-MIN(INT(ROUND(IF($F45=1,$C45*$J45,IF(EZ45&gt;0,EZ45*$K45,BA45*$J45))*IF(9=$R45,$S45,12)/12,6)+$B$4),BA45-$I45)))))</f>
        <v/>
      </c>
      <c r="BC45" s="68">
        <f>IF($U45=0,0,IF($F45=4,0,IF($F45=3,0,IF(OR(10&gt;$R45,BB45&lt;=$I45),BB45,BB45-MIN(INT(ROUND(IF($F45=1,$C45*$J45,IF(FA45&gt;0,FA45*$K45,BB45*$J45))*IF(10=$R45,$S45,12)/12,6)+$B$4),BB45-$I45)))))</f>
        <v/>
      </c>
      <c r="BD45" s="68">
        <f>IF($U45=0,0,IF($F45=4,0,IF($F45=3,0,IF(OR(11&gt;$R45,BC45&lt;=$I45),BC45,BC45-MIN(INT(ROUND(IF($F45=1,$C45*$J45,IF(FB45&gt;0,FB45*$K45,BC45*$J45))*IF(11=$R45,$S45,12)/12,6)+$B$4),BC45-$I45)))))</f>
        <v/>
      </c>
      <c r="BE45" s="68">
        <f>IF($U45=0,0,IF($F45=4,0,IF($F45=3,0,IF(OR(12&gt;$R45,BD45&lt;=$I45),BD45,BD45-MIN(INT(ROUND(IF($F45=1,$C45*$J45,IF(FC45&gt;0,FC45*$K45,BD45*$J45))*IF(12=$R45,$S45,12)/12,6)+$B$4),BD45-$I45)))))</f>
        <v/>
      </c>
      <c r="BF45" s="68">
        <f>IF($U45=0,0,IF($F45=4,0,IF($F45=3,0,IF(OR(13&gt;$R45,BE45&lt;=$I45),BE45,BE45-MIN(INT(ROUND(IF($F45=1,$C45*$J45,IF(FD45&gt;0,FD45*$K45,BE45*$J45))*IF(13=$R45,$S45,12)/12,6)+$B$4),BE45-$I45)))))</f>
        <v/>
      </c>
      <c r="BG45" s="68">
        <f>IF($U45=0,0,IF($F45=4,0,IF($F45=3,0,IF(OR(14&gt;$R45,BF45&lt;=$I45),BF45,BF45-MIN(INT(ROUND(IF($F45=1,$C45*$J45,IF(FE45&gt;0,FE45*$K45,BF45*$J45))*IF(14=$R45,$S45,12)/12,6)+$B$4),BF45-$I45)))))</f>
        <v/>
      </c>
      <c r="BH45" s="68">
        <f>IF($U45=0,0,IF($F45=4,0,IF($F45=3,0,IF(OR(15&gt;$R45,BG45&lt;=$I45),BG45,BG45-MIN(INT(ROUND(IF($F45=1,$C45*$J45,IF(FF45&gt;0,FF45*$K45,BG45*$J45))*IF(15=$R45,$S45,12)/12,6)+$B$4),BG45-$I45)))))</f>
        <v/>
      </c>
      <c r="BI45" s="68">
        <f>IF($U45=0,0,IF($F45=4,0,IF($F45=3,0,IF(OR(16&gt;$R45,BH45&lt;=$I45),BH45,BH45-MIN(INT(ROUND(IF($F45=1,$C45*$J45,IF(FG45&gt;0,FG45*$K45,BH45*$J45))*IF(16=$R45,$S45,12)/12,6)+$B$4),BH45-$I45)))))</f>
        <v/>
      </c>
      <c r="BJ45" s="68">
        <f>IF($U45=0,0,IF($F45=4,0,IF($F45=3,0,IF(OR(17&gt;$R45,BI45&lt;=$I45),BI45,BI45-MIN(INT(ROUND(IF($F45=1,$C45*$J45,IF(FH45&gt;0,FH45*$K45,BI45*$J45))*IF(17=$R45,$S45,12)/12,6)+$B$4),BI45-$I45)))))</f>
        <v/>
      </c>
      <c r="BK45" s="68">
        <f>IF($U45=0,0,IF($F45=4,0,IF($F45=3,0,IF(OR(18&gt;$R45,BJ45&lt;=$I45),BJ45,BJ45-MIN(INT(ROUND(IF($F45=1,$C45*$J45,IF(FI45&gt;0,FI45*$K45,BJ45*$J45))*IF(18=$R45,$S45,12)/12,6)+$B$4),BJ45-$I45)))))</f>
        <v/>
      </c>
      <c r="BL45" s="68">
        <f>IF($U45=0,0,IF($F45=4,0,IF($F45=3,0,IF(OR(19&gt;$R45,BK45&lt;=$I45),BK45,BK45-MIN(INT(ROUND(IF($F45=1,$C45*$J45,IF(FJ45&gt;0,FJ45*$K45,BK45*$J45))*IF(19=$R45,$S45,12)/12,6)+$B$4),BK45-$I45)))))</f>
        <v/>
      </c>
      <c r="BM45" s="68">
        <f>IF($U45=0,0,IF($F45=4,0,IF($F45=3,0,IF(OR(20&gt;$R45,BL45&lt;=$I45),BL45,BL45-MIN(INT(ROUND(IF($F45=1,$C45*$J45,IF(FK45&gt;0,FK45*$K45,BL45*$J45))*IF(20=$R45,$S45,12)/12,6)+$B$4),BL45-$I45)))))</f>
        <v/>
      </c>
      <c r="BN45" s="68">
        <f>IF($U45=0,0,IF($F45=4,0,IF($F45=3,0,IF(OR(21&gt;$R45,BM45&lt;=$I45),BM45,BM45-MIN(INT(ROUND(IF($F45=1,$C45*$J45,IF(FL45&gt;0,FL45*$K45,BM45*$J45))*IF(21=$R45,$S45,12)/12,6)+$B$4),BM45-$I45)))))</f>
        <v/>
      </c>
      <c r="BO45" s="68">
        <f>IF($U45=0,0,IF($F45=4,0,IF($F45=3,0,IF(OR(22&gt;$R45,BN45&lt;=$I45),BN45,BN45-MIN(INT(ROUND(IF($F45=1,$C45*$J45,IF(FM45&gt;0,FM45*$K45,BN45*$J45))*IF(22=$R45,$S45,12)/12,6)+$B$4),BN45-$I45)))))</f>
        <v/>
      </c>
      <c r="BP45" s="68">
        <f>IF($U45=0,0,IF($F45=4,0,IF($F45=3,0,IF(OR(23&gt;$R45,BO45&lt;=$I45),BO45,BO45-MIN(INT(ROUND(IF($F45=1,$C45*$J45,IF(FN45&gt;0,FN45*$K45,BO45*$J45))*IF(23=$R45,$S45,12)/12,6)+$B$4),BO45-$I45)))))</f>
        <v/>
      </c>
      <c r="BQ45" s="68">
        <f>IF($U45=0,0,IF($F45=4,0,IF($F45=3,0,IF(OR(24&gt;$R45,BP45&lt;=$I45),BP45,BP45-MIN(INT(ROUND(IF($F45=1,$C45*$J45,IF(FO45&gt;0,FO45*$K45,BP45*$J45))*IF(24=$R45,$S45,12)/12,6)+$B$4),BP45-$I45)))))</f>
        <v/>
      </c>
      <c r="BR45" s="68">
        <f>IF($U45=0,0,IF($F45=4,0,IF($F45=3,0,IF(OR(25&gt;$R45,BQ45&lt;=$I45),BQ45,BQ45-MIN(INT(ROUND(IF($F45=1,$C45*$J45,IF(FP45&gt;0,FP45*$K45,BQ45*$J45))*IF(25=$R45,$S45,12)/12,6)+$B$4),BQ45-$I45)))))</f>
        <v/>
      </c>
      <c r="BS45" s="68">
        <f>IF($U45=0,0,IF($F45=4,0,IF($F45=3,0,IF(OR(26&gt;$R45,BR45&lt;=$I45),BR45,BR45-MIN(INT(ROUND(IF($F45=1,$C45*$J45,IF(FQ45&gt;0,FQ45*$K45,BR45*$J45))*IF(26=$R45,$S45,12)/12,6)+$B$4),BR45-$I45)))))</f>
        <v/>
      </c>
      <c r="BT45" s="68">
        <f>IF($U45=0,0,IF($F45=4,0,IF($F45=3,0,IF(OR(27&gt;$R45,BS45&lt;=$I45),BS45,BS45-MIN(INT(ROUND(IF($F45=1,$C45*$J45,IF(FR45&gt;0,FR45*$K45,BS45*$J45))*IF(27=$R45,$S45,12)/12,6)+$B$4),BS45-$I45)))))</f>
        <v/>
      </c>
      <c r="BU45" s="68">
        <f>IF($U45=0,0,IF($F45=4,0,IF($F45=3,0,IF(OR(28&gt;$R45,BT45&lt;=$I45),BT45,BT45-MIN(INT(ROUND(IF($F45=1,$C45*$J45,IF(FS45&gt;0,FS45*$K45,BT45*$J45))*IF(28=$R45,$S45,12)/12,6)+$B$4),BT45-$I45)))))</f>
        <v/>
      </c>
      <c r="BV45" s="68">
        <f>IF($U45=0,0,IF($F45=4,0,IF($F45=3,0,IF(OR(29&gt;$R45,BU45&lt;=$I45),BU45,BU45-MIN(INT(ROUND(IF($F45=1,$C45*$J45,IF(FT45&gt;0,FT45*$K45,BU45*$J45))*IF(29=$R45,$S45,12)/12,6)+$B$4),BU45-$I45)))))</f>
        <v/>
      </c>
      <c r="BW45" s="68">
        <f>IF($U45=0,0,IF($F45=4,0,IF($F45=3,0,IF(OR(30&gt;$R45,BV45&lt;=$I45),BV45,BV45-MIN(INT(ROUND(IF($F45=1,$C45*$J45,IF(FU45&gt;0,FU45*$K45,BV45*$J45))*IF(30=$R45,$S45,12)/12,6)+$B$4),BV45-$I45)))))</f>
        <v/>
      </c>
      <c r="BX45" s="68">
        <f>IF($U45=0,0,IF($F45=4,0,IF($F45=3,0,IF(OR(31&gt;$R45,BW45&lt;=$I45),BW45,BW45-MIN(INT(ROUND(IF($F45=1,$C45*$J45,IF(FV45&gt;0,FV45*$K45,BW45*$J45))*IF(31=$R45,$S45,12)/12,6)+$B$4),BW45-$I45)))))</f>
        <v/>
      </c>
      <c r="BY45" s="68">
        <f>IF($U45=0,0,IF($F45=4,0,IF($F45=3,0,IF(OR(32&gt;$R45,BX45&lt;=$I45),BX45,BX45-MIN(INT(ROUND(IF($F45=1,$C45*$J45,IF(FW45&gt;0,FW45*$K45,BX45*$J45))*IF(32=$R45,$S45,12)/12,6)+$B$4),BX45-$I45)))))</f>
        <v/>
      </c>
      <c r="BZ45" s="68">
        <f>IF($U45=0,0,IF($F45=4,0,IF($F45=3,0,IF(OR(33&gt;$R45,BY45&lt;=$I45),BY45,BY45-MIN(INT(ROUND(IF($F45=1,$C45*$J45,IF(FX45&gt;0,FX45*$K45,BY45*$J45))*IF(33=$R45,$S45,12)/12,6)+$B$4),BY45-$I45)))))</f>
        <v/>
      </c>
      <c r="CA45" s="68">
        <f>IF($U45=0,0,IF($F45=4,0,IF($F45=3,0,IF(OR(34&gt;$R45,BZ45&lt;=$I45),BZ45,BZ45-MIN(INT(ROUND(IF($F45=1,$C45*$J45,IF(FY45&gt;0,FY45*$K45,BZ45*$J45))*IF(34=$R45,$S45,12)/12,6)+$B$4),BZ45-$I45)))))</f>
        <v/>
      </c>
      <c r="CB45" s="68">
        <f>IF($U45=0,0,IF($F45=4,0,IF($F45=3,0,IF(OR(35&gt;$R45,CA45&lt;=$I45),CA45,CA45-MIN(INT(ROUND(IF($F45=1,$C45*$J45,IF(FZ45&gt;0,FZ45*$K45,CA45*$J45))*IF(35=$R45,$S45,12)/12,6)+$B$4),CA45-$I45)))))</f>
        <v/>
      </c>
      <c r="CC45" s="68">
        <f>IF($U45=0,0,IF($F45=4,0,IF($F45=3,0,IF(OR(36&gt;$R45,CB45&lt;=$I45),CB45,CB45-MIN(INT(ROUND(IF($F45=1,$C45*$J45,IF(GA45&gt;0,GA45*$K45,CB45*$J45))*IF(36=$R45,$S45,12)/12,6)+$B$4),CB45-$I45)))))</f>
        <v/>
      </c>
      <c r="CD45" s="68">
        <f>IF($U45=0,0,IF($F45=4,0,IF($F45=3,0,IF(OR(37&gt;$R45,CC45&lt;=$I45),CC45,CC45-MIN(INT(ROUND(IF($F45=1,$C45*$J45,IF(GB45&gt;0,GB45*$K45,CC45*$J45))*IF(37=$R45,$S45,12)/12,6)+$B$4),CC45-$I45)))))</f>
        <v/>
      </c>
      <c r="CE45" s="68">
        <f>IF($U45=0,0,IF($F45=4,0,IF($F45=3,0,IF(OR(38&gt;$R45,CD45&lt;=$I45),CD45,CD45-MIN(INT(ROUND(IF($F45=1,$C45*$J45,IF(GC45&gt;0,GC45*$K45,CD45*$J45))*IF(38=$R45,$S45,12)/12,6)+$B$4),CD45-$I45)))))</f>
        <v/>
      </c>
      <c r="CF45" s="68">
        <f>IF($U45=0,0,IF($F45=4,0,IF($F45=3,0,IF(OR(39&gt;$R45,CE45&lt;=$I45),CE45,CE45-MIN(INT(ROUND(IF($F45=1,$C45*$J45,IF(GD45&gt;0,GD45*$K45,CE45*$J45))*IF(39=$R45,$S45,12)/12,6)+$B$4),CE45-$I45)))))</f>
        <v/>
      </c>
      <c r="CG45" s="68">
        <f>IF($U45=0,0,IF($F45=4,0,IF($F45=3,0,IF(OR(40&gt;$R45,CF45&lt;=$I45),CF45,CF45-MIN(INT(ROUND(IF($F45=1,$C45*$J45,IF(GE45&gt;0,GE45*$K45,CF45*$J45))*IF(40=$R45,$S45,12)/12,6)+$B$4),CF45-$I45)))))</f>
        <v/>
      </c>
      <c r="CH45" s="68">
        <f>IF($U45=0,0,IF($F45=4,0,IF($F45=3,0,IF(OR(41&gt;$R45,CG45&lt;=$I45),CG45,CG45-MIN(INT(ROUND(IF($F45=1,$C45*$J45,IF(GF45&gt;0,GF45*$K45,CG45*$J45))*IF(41=$R45,$S45,12)/12,6)+$B$4),CG45-$I45)))))</f>
        <v/>
      </c>
      <c r="CI45" s="68">
        <f>IF($U45=0,0,IF($F45=4,0,IF($F45=3,0,IF(OR(42&gt;$R45,CH45&lt;=$I45),CH45,CH45-MIN(INT(ROUND(IF($F45=1,$C45*$J45,IF(GG45&gt;0,GG45*$K45,CH45*$J45))*IF(42=$R45,$S45,12)/12,6)+$B$4),CH45-$I45)))))</f>
        <v/>
      </c>
      <c r="CJ45" s="68">
        <f>IF($U45=0,0,IF($F45=4,0,IF($F45=3,0,IF(OR(43&gt;$R45,CI45&lt;=$I45),CI45,CI45-MIN(INT(ROUND(IF($F45=1,$C45*$J45,IF(GH45&gt;0,GH45*$K45,CI45*$J45))*IF(43=$R45,$S45,12)/12,6)+$B$4),CI45-$I45)))))</f>
        <v/>
      </c>
      <c r="CK45" s="68">
        <f>IF($U45=0,0,IF($F45=4,0,IF($F45=3,0,IF(OR(44&gt;$R45,CJ45&lt;=$I45),CJ45,CJ45-MIN(INT(ROUND(IF($F45=1,$C45*$J45,IF(GI45&gt;0,GI45*$K45,CJ45*$J45))*IF(44=$R45,$S45,12)/12,6)+$B$4),CJ45-$I45)))))</f>
        <v/>
      </c>
      <c r="CL45" s="68">
        <f>IF($U45=0,0,IF($F45=4,0,IF($F45=3,0,IF(OR(45&gt;$R45,CK45&lt;=$I45),CK45,CK45-MIN(INT(ROUND(IF($F45=1,$C45*$J45,IF(GJ45&gt;0,GJ45*$K45,CK45*$J45))*IF(45=$R45,$S45,12)/12,6)+$B$4),CK45-$I45)))))</f>
        <v/>
      </c>
      <c r="CM45" s="68">
        <f>IF($U45=0,0,IF($F45=4,0,IF($F45=3,0,IF(OR(46&gt;$R45,CL45&lt;=$I45),CL45,CL45-MIN(INT(ROUND(IF($F45=1,$C45*$J45,IF(GK45&gt;0,GK45*$K45,CL45*$J45))*IF(46=$R45,$S45,12)/12,6)+$B$4),CL45-$I45)))))</f>
        <v/>
      </c>
      <c r="CN45" s="68">
        <f>IF($U45=0,0,IF($F45=4,0,IF($F45=3,0,IF(OR(47&gt;$R45,CM45&lt;=$I45),CM45,CM45-MIN(INT(ROUND(IF($F45=1,$C45*$J45,IF(GL45&gt;0,GL45*$K45,CM45*$J45))*IF(47=$R45,$S45,12)/12,6)+$B$4),CM45-$I45)))))</f>
        <v/>
      </c>
      <c r="CO45" s="68">
        <f>IF($U45=0,0,IF($F45=4,0,IF($F45=3,0,IF(OR(48&gt;$R45,CN45&lt;=$I45),CN45,CN45-MIN(INT(ROUND(IF($F45=1,$C45*$J45,IF(GM45&gt;0,GM45*$K45,CN45*$J45))*IF(48=$R45,$S45,12)/12,6)+$B$4),CN45-$I45)))))</f>
        <v/>
      </c>
      <c r="CP45" s="68">
        <f>IF($U45=0,0,IF($F45=4,0,IF($F45=3,0,IF(OR(49&gt;$R45,CO45&lt;=$I45),CO45,CO45-MIN(INT(ROUND(IF($F45=1,$C45*$J45,IF(GN45&gt;0,GN45*$K45,CO45*$J45))*IF(49=$R45,$S45,12)/12,6)+$B$4),CO45-$I45)))))</f>
        <v/>
      </c>
      <c r="CQ45" s="68">
        <f>IF($U45=0,0,IF($F45=4,0,IF($F45=3,0,IF(OR(50&gt;$R45,CP45&lt;=$I45),CP45,CP45-MIN(INT(ROUND(IF($F45=1,$C45*$J45,IF(GO45&gt;0,GO45*$K45,CP45*$J45))*IF(50=$R45,$S45,12)/12,6)+$B$4),CP45-$I45)))))</f>
        <v/>
      </c>
      <c r="CR45" s="68">
        <f>IF($U45=0,0,IF($F45=4,0,IF($F45=3,0,IF(OR(51&gt;$R45,CQ45&lt;=$I45),CQ45,CQ45-MIN(INT(ROUND(IF($F45=1,$C45*$J45,IF(GP45&gt;0,GP45*$K45,CQ45*$J45))*IF(51=$R45,$S45,12)/12,6)+$B$4),CQ45-$I45)))))</f>
        <v/>
      </c>
      <c r="CS45" s="68">
        <f>IF($U45=0,0,IF($F45=4,0,IF($F45=3,0,IF(OR(52&gt;$R45,CR45&lt;=$I45),CR45,CR45-MIN(INT(ROUND(IF($F45=1,$C45*$J45,IF(GQ45&gt;0,GQ45*$K45,CR45*$J45))*IF(52=$R45,$S45,12)/12,6)+$B$4),CR45-$I45)))))</f>
        <v/>
      </c>
      <c r="CT45" s="68">
        <f>IF($U45=0,0,IF($F45=4,0,IF($F45=3,0,IF(OR(53&gt;$R45,CS45&lt;=$I45),CS45,CS45-MIN(INT(ROUND(IF($F45=1,$C45*$J45,IF(GR45&gt;0,GR45*$K45,CS45*$J45))*IF(53=$R45,$S45,12)/12,6)+$B$4),CS45-$I45)))))</f>
        <v/>
      </c>
      <c r="CU45" s="68">
        <f>IF($U45=0,0,IF($F45=4,0,IF($F45=3,0,IF(OR(54&gt;$R45,CT45&lt;=$I45),CT45,CT45-MIN(INT(ROUND(IF($F45=1,$C45*$J45,IF(GS45&gt;0,GS45*$K45,CT45*$J45))*IF(54=$R45,$S45,12)/12,6)+$B$4),CT45-$I45)))))</f>
        <v/>
      </c>
      <c r="CV45" s="68">
        <f>IF($U45=0,0,IF($F45=4,0,IF($F45=3,0,IF(OR(55&gt;$R45,CU45&lt;=$I45),CU45,CU45-MIN(INT(ROUND(IF($F45=1,$C45*$J45,IF(GT45&gt;0,GT45*$K45,CU45*$J45))*IF(55=$R45,$S45,12)/12,6)+$B$4),CU45-$I45)))))</f>
        <v/>
      </c>
      <c r="CW45" s="68">
        <f>IF($U45=0,0,IF($F45=4,0,IF($F45=3,0,IF(OR(56&gt;$R45,CV45&lt;=$I45),CV45,CV45-MIN(INT(ROUND(IF($F45=1,$C45*$J45,IF(GU45&gt;0,GU45*$K45,CV45*$J45))*IF(56=$R45,$S45,12)/12,6)+$B$4),CV45-$I45)))))</f>
        <v/>
      </c>
      <c r="CX45" s="68">
        <f>IF($U45=0,0,IF($F45=4,0,IF($F45=3,0,IF(OR(57&gt;$R45,CW45&lt;=$I45),CW45,CW45-MIN(INT(ROUND(IF($F45=1,$C45*$J45,IF(GV45&gt;0,GV45*$K45,CW45*$J45))*IF(57=$R45,$S45,12)/12,6)+$B$4),CW45-$I45)))))</f>
        <v/>
      </c>
      <c r="CY45" s="68">
        <f>IF($U45=0,0,IF($F45=4,0,IF($F45=3,0,IF(OR(58&gt;$R45,CX45&lt;=$I45),CX45,CX45-MIN(INT(ROUND(IF($F45=1,$C45*$J45,IF(GW45&gt;0,GW45*$K45,CX45*$J45))*IF(58=$R45,$S45,12)/12,6)+$B$4),CX45-$I45)))))</f>
        <v/>
      </c>
      <c r="CZ45" s="68">
        <f>IF($U45=0,0,IF($F45=4,0,IF($F45=3,0,IF(OR(59&gt;$R45,CY45&lt;=$I45),CY45,CY45-MIN(INT(ROUND(IF($F45=1,$C45*$J45,IF(GX45&gt;0,GX45*$K45,CY45*$J45))*IF(59=$R45,$S45,12)/12,6)+$B$4),CY45-$I45)))))</f>
        <v/>
      </c>
      <c r="DA45" s="68">
        <f>IF($U45=0,0,IF($F45=4,0,IF($F45=3,0,IF(OR(60&gt;$R45,CZ45&lt;=$I45),CZ45,CZ45-MIN(INT(ROUND(IF($F45=1,$C45*$J45,IF(GY45&gt;0,GY45*$K45,CZ45*$J45))*IF(60=$R45,$S45,12)/12,6)+$B$4),CZ45-$I45)))))</f>
        <v/>
      </c>
      <c r="DB45" s="68">
        <f>IF($U45=0,0,IF($F45=4,0,IF($F45=3,0,IF(OR(61&gt;$R45,DA45&lt;=$I45),DA45,DA45-MIN(INT(ROUND(IF($F45=1,$C45*$J45,IF(GZ45&gt;0,GZ45*$K45,DA45*$J45))*IF(61=$R45,$S45,12)/12,6)+$B$4),DA45-$I45)))))</f>
        <v/>
      </c>
      <c r="DC45" s="68">
        <f>IF($U45=0,0,IF($F45=4,0,IF($F45=3,0,IF(OR(62&gt;$R45,DB45&lt;=$I45),DB45,DB45-MIN(INT(ROUND(IF($F45=1,$C45*$J45,IF(HA45&gt;0,HA45*$K45,DB45*$J45))*IF(62=$R45,$S45,12)/12,6)+$B$4),DB45-$I45)))))</f>
        <v/>
      </c>
      <c r="DD45" s="68">
        <f>IF($U45=0,0,IF($F45=4,0,IF($F45=3,0,IF(OR(63&gt;$R45,DC45&lt;=$I45),DC45,DC45-MIN(INT(ROUND(IF($F45=1,$C45*$J45,IF(HB45&gt;0,HB45*$K45,DC45*$J45))*IF(63=$R45,$S45,12)/12,6)+$B$4),DC45-$I45)))))</f>
        <v/>
      </c>
      <c r="DE45" s="68">
        <f>IF($U45=0,0,IF($F45=4,0,IF($F45=3,0,IF(OR(64&gt;$R45,DD45&lt;=$I45),DD45,DD45-MIN(INT(ROUND(IF($F45=1,$C45*$J45,IF(HC45&gt;0,HC45*$K45,DD45*$J45))*IF(64=$R45,$S45,12)/12,6)+$B$4),DD45-$I45)))))</f>
        <v/>
      </c>
      <c r="DF45" s="68">
        <f>IF($U45=0,0,IF($F45=4,0,IF($F45=3,0,IF(OR(65&gt;$R45,DE45&lt;=$I45),DE45,DE45-MIN(INT(ROUND(IF($F45=1,$C45*$J45,IF(HD45&gt;0,HD45*$K45,DE45*$J45))*IF(65=$R45,$S45,12)/12,6)+$B$4),DE45-$I45)))))</f>
        <v/>
      </c>
      <c r="DG45" s="68">
        <f>IF($U45=0,0,IF($F45=4,0,IF($F45=3,0,IF(OR(66&gt;$R45,DF45&lt;=$I45),DF45,DF45-MIN(INT(ROUND(IF($F45=1,$C45*$J45,IF(HE45&gt;0,HE45*$K45,DF45*$J45))*IF(66=$R45,$S45,12)/12,6)+$B$4),DF45-$I45)))))</f>
        <v/>
      </c>
      <c r="DH45" s="68">
        <f>IF($U45=0,0,IF($F45=4,0,IF($F45=3,0,IF(OR(67&gt;$R45,DG45&lt;=$I45),DG45,DG45-MIN(INT(ROUND(IF($F45=1,$C45*$J45,IF(HF45&gt;0,HF45*$K45,DG45*$J45))*IF(67=$R45,$S45,12)/12,6)+$B$4),DG45-$I45)))))</f>
        <v/>
      </c>
      <c r="DI45" s="68">
        <f>IF($U45=0,0,IF($F45=4,0,IF($F45=3,0,IF(OR(68&gt;$R45,DH45&lt;=$I45),DH45,DH45-MIN(INT(ROUND(IF($F45=1,$C45*$J45,IF(HG45&gt;0,HG45*$K45,DH45*$J45))*IF(68=$R45,$S45,12)/12,6)+$B$4),DH45-$I45)))))</f>
        <v/>
      </c>
      <c r="DJ45" s="68">
        <f>IF($U45=0,0,IF($F45=4,0,IF($F45=3,0,IF(OR(69&gt;$R45,DI45&lt;=$I45),DI45,DI45-MIN(INT(ROUND(IF($F45=1,$C45*$J45,IF(HH45&gt;0,HH45*$K45,DI45*$J45))*IF(69=$R45,$S45,12)/12,6)+$B$4),DI45-$I45)))))</f>
        <v/>
      </c>
      <c r="DK45" s="68">
        <f>IF($U45=0,0,IF($F45=4,0,IF($F45=3,0,IF(OR(70&gt;$R45,DJ45&lt;=$I45),DJ45,DJ45-MIN(INT(ROUND(IF($F45=1,$C45*$J45,IF(HI45&gt;0,HI45*$K45,DJ45*$J45))*IF(70=$R45,$S45,12)/12,6)+$B$4),DJ45-$I45)))))</f>
        <v/>
      </c>
      <c r="DL45" s="68">
        <f>IF($U45=0,0,IF($F45=4,0,IF($F45=3,0,IF(OR(71&gt;$R45,DK45&lt;=$I45),DK45,DK45-MIN(INT(ROUND(IF($F45=1,$C45*$J45,IF(HJ45&gt;0,HJ45*$K45,DK45*$J45))*IF(71=$R45,$S45,12)/12,6)+$B$4),DK45-$I45)))))</f>
        <v/>
      </c>
      <c r="DM45" s="68">
        <f>IF($U45=0,0,IF($F45=4,0,IF($F45=3,0,IF(OR(72&gt;$R45,DL45&lt;=$I45),DL45,DL45-MIN(INT(ROUND(IF($F45=1,$C45*$J45,IF(HK45&gt;0,HK45*$K45,DL45*$J45))*IF(72=$R45,$S45,12)/12,6)+$B$4),DL45-$I45)))))</f>
        <v/>
      </c>
      <c r="DN45" s="68">
        <f>IF($U45=0,0,IF($F45=4,0,IF($F45=3,0,IF(OR(73&gt;$R45,DM45&lt;=$I45),DM45,DM45-MIN(INT(ROUND(IF($F45=1,$C45*$J45,IF(HL45&gt;0,HL45*$K45,DM45*$J45))*IF(73=$R45,$S45,12)/12,6)+$B$4),DM45-$I45)))))</f>
        <v/>
      </c>
      <c r="DO45" s="68">
        <f>IF($U45=0,0,IF($F45=4,0,IF($F45=3,0,IF(OR(74&gt;$R45,DN45&lt;=$I45),DN45,DN45-MIN(INT(ROUND(IF($F45=1,$C45*$J45,IF(HM45&gt;0,HM45*$K45,DN45*$J45))*IF(74=$R45,$S45,12)/12,6)+$B$4),DN45-$I45)))))</f>
        <v/>
      </c>
      <c r="DP45" s="68">
        <f>IF($U45=0,0,IF($F45=4,0,IF($F45=3,0,IF(OR(75&gt;$R45,DO45&lt;=$I45),DO45,DO45-MIN(INT(ROUND(IF($F45=1,$C45*$J45,IF(HN45&gt;0,HN45*$K45,DO45*$J45))*IF(75=$R45,$S45,12)/12,6)+$B$4),DO45-$I45)))))</f>
        <v/>
      </c>
      <c r="DQ45" s="68">
        <f>IF($U45=0,0,IF($F45=4,0,IF($F45=3,0,IF(OR(76&gt;$R45,DP45&lt;=$I45),DP45,DP45-MIN(INT(ROUND(IF($F45=1,$C45*$J45,IF(HO45&gt;0,HO45*$K45,DP45*$J45))*IF(76=$R45,$S45,12)/12,6)+$B$4),DP45-$I45)))))</f>
        <v/>
      </c>
      <c r="DR45" s="68">
        <f>IF($U45=0,0,IF($F45=4,0,IF($F45=3,0,IF(OR(77&gt;$R45,DQ45&lt;=$I45),DQ45,DQ45-MIN(INT(ROUND(IF($F45=1,$C45*$J45,IF(HP45&gt;0,HP45*$K45,DQ45*$J45))*IF(77=$R45,$S45,12)/12,6)+$B$4),DQ45-$I45)))))</f>
        <v/>
      </c>
      <c r="DS45" s="68">
        <f>IF($U45=0,0,IF($F45=4,0,IF($F45=3,0,IF(OR(78&gt;$R45,DR45&lt;=$I45),DR45,DR45-MIN(INT(ROUND(IF($F45=1,$C45*$J45,IF(HQ45&gt;0,HQ45*$K45,DR45*$J45))*IF(78=$R45,$S45,12)/12,6)+$B$4),DR45-$I45)))))</f>
        <v/>
      </c>
      <c r="DT45" s="68">
        <f>IF($U45=0,0,IF($F45=4,0,IF($F45=3,0,IF(OR(79&gt;$R45,DS45&lt;=$I45),DS45,DS45-MIN(INT(ROUND(IF($F45=1,$C45*$J45,IF(HR45&gt;0,HR45*$K45,DS45*$J45))*IF(79=$R45,$S45,12)/12,6)+$B$4),DS45-$I45)))))</f>
        <v/>
      </c>
      <c r="DU45" s="68">
        <f>IF($U45=0,0,IF($F45=4,0,IF($F45=3,0,IF(OR(80&gt;$R45,DT45&lt;=$I45),DT45,DT45-MIN(INT(ROUND(IF($F45=1,$C45*$J45,IF(HS45&gt;0,HS45*$K45,DT45*$J45))*IF(80=$R45,$S45,12)/12,6)+$B$4),DT45-$I45)))))</f>
        <v/>
      </c>
      <c r="DV45" s="68">
        <f>IF($U45=0,0,IF($F45=4,0,IF($F45=3,0,IF(OR(81&gt;$R45,DU45&lt;=$I45),DU45,DU45-MIN(INT(ROUND(IF($F45=1,$C45*$J45,IF(HT45&gt;0,HT45*$K45,DU45*$J45))*IF(81=$R45,$S45,12)/12,6)+$B$4),DU45-$I45)))))</f>
        <v/>
      </c>
      <c r="DW45" s="68">
        <f>IF($U45=0,0,IF($F45=4,0,IF($F45=3,0,IF(OR(82&gt;$R45,DV45&lt;=$I45),DV45,DV45-MIN(INT(ROUND(IF($F45=1,$C45*$J45,IF(HU45&gt;0,HU45*$K45,DV45*$J45))*IF(82=$R45,$S45,12)/12,6)+$B$4),DV45-$I45)))))</f>
        <v/>
      </c>
      <c r="DX45" s="68">
        <f>IF($U45=0,0,IF($F45=4,0,IF($F45=3,0,IF(OR(83&gt;$R45,DW45&lt;=$I45),DW45,DW45-MIN(INT(ROUND(IF($F45=1,$C45*$J45,IF(HV45&gt;0,HV45*$K45,DW45*$J45))*IF(83=$R45,$S45,12)/12,6)+$B$4),DW45-$I45)))))</f>
        <v/>
      </c>
      <c r="DY45" s="68">
        <f>IF($U45=0,0,IF($F45=4,0,IF($F45=3,0,IF(OR(84&gt;$R45,DX45&lt;=$I45),DX45,DX45-MIN(INT(ROUND(IF($F45=1,$C45*$J45,IF(HW45&gt;0,HW45*$K45,DX45*$J45))*IF(84=$R45,$S45,12)/12,6)+$B$4),DX45-$I45)))))</f>
        <v/>
      </c>
      <c r="DZ45" s="68">
        <f>IF($U45=0,0,IF($F45=4,0,IF($F45=3,0,IF(OR(85&gt;$R45,DY45&lt;=$I45),DY45,DY45-MIN(INT(ROUND(IF($F45=1,$C45*$J45,IF(HX45&gt;0,HX45*$K45,DY45*$J45))*IF(85=$R45,$S45,12)/12,6)+$B$4),DY45-$I45)))))</f>
        <v/>
      </c>
      <c r="EA45" s="68">
        <f>IF($U45=0,0,IF($F45=4,0,IF($F45=3,0,IF(OR(86&gt;$R45,DZ45&lt;=$I45),DZ45,DZ45-MIN(INT(ROUND(IF($F45=1,$C45*$J45,IF(HY45&gt;0,HY45*$K45,DZ45*$J45))*IF(86=$R45,$S45,12)/12,6)+$B$4),DZ45-$I45)))))</f>
        <v/>
      </c>
      <c r="EB45" s="68">
        <f>IF($U45=0,0,IF($F45=4,0,IF($F45=3,0,IF(OR(87&gt;$R45,EA45&lt;=$I45),EA45,EA45-MIN(INT(ROUND(IF($F45=1,$C45*$J45,IF(HZ45&gt;0,HZ45*$K45,EA45*$J45))*IF(87=$R45,$S45,12)/12,6)+$B$4),EA45-$I45)))))</f>
        <v/>
      </c>
      <c r="EC45" s="68">
        <f>IF($U45=0,0,IF($F45=4,0,IF($F45=3,0,IF(OR(88&gt;$R45,EB45&lt;=$I45),EB45,EB45-MIN(INT(ROUND(IF($F45=1,$C45*$J45,IF(IA45&gt;0,IA45*$K45,EB45*$J45))*IF(88=$R45,$S45,12)/12,6)+$B$4),EB45-$I45)))))</f>
        <v/>
      </c>
      <c r="ED45" s="68">
        <f>IF($U45=0,0,IF($F45=4,0,IF($F45=3,0,IF(OR(89&gt;$R45,EC45&lt;=$I45),EC45,EC45-MIN(INT(ROUND(IF($F45=1,$C45*$J45,IF(IB45&gt;0,IB45*$K45,EC45*$J45))*IF(89=$R45,$S45,12)/12,6)+$B$4),EC45-$I45)))))</f>
        <v/>
      </c>
      <c r="EE45" s="68">
        <f>IF($U45=0,0,IF($F45=4,0,IF($F45=3,0,IF(OR(90&gt;$R45,ED45&lt;=$I45),ED45,ED45-MIN(INT(ROUND(IF($F45=1,$C45*$J45,IF(IC45&gt;0,IC45*$K45,ED45*$J45))*IF(90=$R45,$S45,12)/12,6)+$B$4),ED45-$I45)))))</f>
        <v/>
      </c>
      <c r="EF45" s="68">
        <f>IF($U45=0,0,IF($F45=4,0,IF($F45=3,0,IF(OR(91&gt;$R45,EE45&lt;=$I45),EE45,EE45-MIN(INT(ROUND(IF($F45=1,$C45*$J45,IF(ID45&gt;0,ID45*$K45,EE45*$J45))*IF(91=$R45,$S45,12)/12,6)+$B$4),EE45-$I45)))))</f>
        <v/>
      </c>
      <c r="EG45" s="68">
        <f>IF($U45=0,0,IF($F45=4,0,IF($F45=3,0,IF(OR(92&gt;$R45,EF45&lt;=$I45),EF45,EF45-MIN(INT(ROUND(IF($F45=1,$C45*$J45,IF(IE45&gt;0,IE45*$K45,EF45*$J45))*IF(92=$R45,$S45,12)/12,6)+$B$4),EF45-$I45)))))</f>
        <v/>
      </c>
      <c r="EH45" s="68">
        <f>IF($U45=0,0,IF($F45=4,0,IF($F45=3,0,IF(OR(93&gt;$R45,EG45&lt;=$I45),EG45,EG45-MIN(INT(ROUND(IF($F45=1,$C45*$J45,IF(IF45&gt;0,IF45*$K45,EG45*$J45))*IF(93=$R45,$S45,12)/12,6)+$B$4),EG45-$I45)))))</f>
        <v/>
      </c>
      <c r="EI45" s="68">
        <f>IF($U45=0,0,IF($F45=4,0,IF($F45=3,0,IF(OR(94&gt;$R45,EH45&lt;=$I45),EH45,EH45-MIN(INT(ROUND(IF($F45=1,$C45*$J45,IF(IG45&gt;0,IG45*$K45,EH45*$J45))*IF(94=$R45,$S45,12)/12,6)+$B$4),EH45-$I45)))))</f>
        <v/>
      </c>
      <c r="EJ45" s="68">
        <f>IF($U45=0,0,IF($F45=4,0,IF($F45=3,0,IF(OR(95&gt;$R45,EI45&lt;=$I45),EI45,EI45-MIN(INT(ROUND(IF($F45=1,$C45*$J45,IF(IH45&gt;0,IH45*$K45,EI45*$J45))*IF(95=$R45,$S45,12)/12,6)+$B$4),EI45-$I45)))))</f>
        <v/>
      </c>
      <c r="EK45" s="68">
        <f>IF($U45=0,0,IF($F45=4,0,IF($F45=3,0,IF(OR(96&gt;$R45,EJ45&lt;=$I45),EJ45,EJ45-MIN(INT(ROUND(IF($F45=1,$C45*$J45,IF(II45&gt;0,II45*$K45,EJ45*$J45))*IF(96=$R45,$S45,12)/12,6)+$B$4),EJ45-$I45)))))</f>
        <v/>
      </c>
      <c r="EL45" s="68">
        <f>IF($U45=0,0,IF($F45=4,0,IF($F45=3,0,IF(OR(97&gt;$R45,EK45&lt;=$I45),EK45,EK45-MIN(INT(ROUND(IF($F45=1,$C45*$J45,IF(IJ45&gt;0,IJ45*$K45,EK45*$J45))*IF(97=$R45,$S45,12)/12,6)+$B$4),EK45-$I45)))))</f>
        <v/>
      </c>
      <c r="EM45" s="68">
        <f>IF($U45=0,0,IF($F45=4,0,IF($F45=3,0,IF(OR(98&gt;$R45,EL45&lt;=$I45),EL45,EL45-MIN(INT(ROUND(IF($F45=1,$C45*$J45,IF(IK45&gt;0,IK45*$K45,EL45*$J45))*IF(98=$R45,$S45,12)/12,6)+$B$4),EL45-$I45)))))</f>
        <v/>
      </c>
      <c r="EN45" s="68">
        <f>IF($U45=0,0,IF($F45=4,0,IF($F45=3,0,IF(OR(99&gt;$R45,EM45&lt;=$I45),EM45,EM45-MIN(INT(ROUND(IF($F45=1,$C45*$J45,IF(IL45&gt;0,IL45*$K45,EM45*$J45))*IF(99=$R45,$S45,12)/12,6)+$B$4),EM45-$I45)))))</f>
        <v/>
      </c>
      <c r="EO45" s="68">
        <f>IF($U45=0,0,IF($F45=4,0,IF($F45=3,0,IF(OR(100&gt;$R45,EN45&lt;=$I45),EN45,EN45-MIN(INT(ROUND(IF($F45=1,$C45*$J45,IF(IM45&gt;0,IM45*$K45,EN45*$J45))*IF(100=$R45,$S45,12)/12,6)+$B$4),EN45-$I45)))))</f>
        <v/>
      </c>
      <c r="EP45" s="68">
        <f>IF($U45=0,0,IF($F45=4,0,IF($F45=3,0,IF(OR(101&gt;$R45,EO45&lt;=$I45),EO45,EO45-MIN(INT(ROUND(IF($F45=1,$C45*$J45,IF(IN45&gt;0,IN45*$K45,EO45*$J45))*IF(101=$R45,$S45,12)/12,6)+$B$4),EO45-$I45)))))</f>
        <v/>
      </c>
      <c r="EQ45" s="68" t="n"/>
      <c r="ER45" s="68">
        <f>IF(OR($U45=0,$F45&lt;&gt;2),0,IF(ROUND(AS45*$J45,6)&lt;ROUND($M45,6),AS45,0))</f>
        <v/>
      </c>
      <c r="ES45" s="68">
        <f>IF(OR($U45=0,$F45&lt;&gt;2),0,IF(ER45&gt;0,ER45,IF(ROUND(AT45*$J45,6)&lt;ROUND($M45,6),AT45,0)))</f>
        <v/>
      </c>
      <c r="ET45" s="68">
        <f>IF(OR($U45=0,$F45&lt;&gt;2),0,IF(ES45&gt;0,ES45,IF(ROUND(AU45*$J45,6)&lt;ROUND($M45,6),AU45,0)))</f>
        <v/>
      </c>
      <c r="EU45" s="68">
        <f>IF(OR($U45=0,$F45&lt;&gt;2),0,IF(ET45&gt;0,ET45,IF(ROUND(AV45*$J45,6)&lt;ROUND($M45,6),AV45,0)))</f>
        <v/>
      </c>
      <c r="EV45" s="68">
        <f>IF(OR($U45=0,$F45&lt;&gt;2),0,IF(EU45&gt;0,EU45,IF(ROUND(AW45*$J45,6)&lt;ROUND($M45,6),AW45,0)))</f>
        <v/>
      </c>
      <c r="EW45" s="68">
        <f>IF(OR($U45=0,$F45&lt;&gt;2),0,IF(EV45&gt;0,EV45,IF(ROUND(AX45*$J45,6)&lt;ROUND($M45,6),AX45,0)))</f>
        <v/>
      </c>
      <c r="EX45" s="68">
        <f>IF(OR($U45=0,$F45&lt;&gt;2),0,IF(EW45&gt;0,EW45,IF(ROUND(AY45*$J45,6)&lt;ROUND($M45,6),AY45,0)))</f>
        <v/>
      </c>
      <c r="EY45" s="68">
        <f>IF(OR($U45=0,$F45&lt;&gt;2),0,IF(EX45&gt;0,EX45,IF(ROUND(AZ45*$J45,6)&lt;ROUND($M45,6),AZ45,0)))</f>
        <v/>
      </c>
      <c r="EZ45" s="68">
        <f>IF(OR($U45=0,$F45&lt;&gt;2),0,IF(EY45&gt;0,EY45,IF(ROUND(BA45*$J45,6)&lt;ROUND($M45,6),BA45,0)))</f>
        <v/>
      </c>
      <c r="FA45" s="68">
        <f>IF(OR($U45=0,$F45&lt;&gt;2),0,IF(EZ45&gt;0,EZ45,IF(ROUND(BB45*$J45,6)&lt;ROUND($M45,6),BB45,0)))</f>
        <v/>
      </c>
      <c r="FB45" s="68">
        <f>IF(OR($U45=0,$F45&lt;&gt;2),0,IF(FA45&gt;0,FA45,IF(ROUND(BC45*$J45,6)&lt;ROUND($M45,6),BC45,0)))</f>
        <v/>
      </c>
      <c r="FC45" s="68">
        <f>IF(OR($U45=0,$F45&lt;&gt;2),0,IF(FB45&gt;0,FB45,IF(ROUND(BD45*$J45,6)&lt;ROUND($M45,6),BD45,0)))</f>
        <v/>
      </c>
      <c r="FD45" s="68">
        <f>IF(OR($U45=0,$F45&lt;&gt;2),0,IF(FC45&gt;0,FC45,IF(ROUND(BE45*$J45,6)&lt;ROUND($M45,6),BE45,0)))</f>
        <v/>
      </c>
      <c r="FE45" s="68">
        <f>IF(OR($U45=0,$F45&lt;&gt;2),0,IF(FD45&gt;0,FD45,IF(ROUND(BF45*$J45,6)&lt;ROUND($M45,6),BF45,0)))</f>
        <v/>
      </c>
      <c r="FF45" s="68">
        <f>IF(OR($U45=0,$F45&lt;&gt;2),0,IF(FE45&gt;0,FE45,IF(ROUND(BG45*$J45,6)&lt;ROUND($M45,6),BG45,0)))</f>
        <v/>
      </c>
      <c r="FG45" s="68">
        <f>IF(OR($U45=0,$F45&lt;&gt;2),0,IF(FF45&gt;0,FF45,IF(ROUND(BH45*$J45,6)&lt;ROUND($M45,6),BH45,0)))</f>
        <v/>
      </c>
      <c r="FH45" s="68">
        <f>IF(OR($U45=0,$F45&lt;&gt;2),0,IF(FG45&gt;0,FG45,IF(ROUND(BI45*$J45,6)&lt;ROUND($M45,6),BI45,0)))</f>
        <v/>
      </c>
      <c r="FI45" s="68">
        <f>IF(OR($U45=0,$F45&lt;&gt;2),0,IF(FH45&gt;0,FH45,IF(ROUND(BJ45*$J45,6)&lt;ROUND($M45,6),BJ45,0)))</f>
        <v/>
      </c>
      <c r="FJ45" s="68">
        <f>IF(OR($U45=0,$F45&lt;&gt;2),0,IF(FI45&gt;0,FI45,IF(ROUND(BK45*$J45,6)&lt;ROUND($M45,6),BK45,0)))</f>
        <v/>
      </c>
      <c r="FK45" s="68">
        <f>IF(OR($U45=0,$F45&lt;&gt;2),0,IF(FJ45&gt;0,FJ45,IF(ROUND(BL45*$J45,6)&lt;ROUND($M45,6),BL45,0)))</f>
        <v/>
      </c>
      <c r="FL45" s="68">
        <f>IF(OR($U45=0,$F45&lt;&gt;2),0,IF(FK45&gt;0,FK45,IF(ROUND(BM45*$J45,6)&lt;ROUND($M45,6),BM45,0)))</f>
        <v/>
      </c>
      <c r="FM45" s="68">
        <f>IF(OR($U45=0,$F45&lt;&gt;2),0,IF(FL45&gt;0,FL45,IF(ROUND(BN45*$J45,6)&lt;ROUND($M45,6),BN45,0)))</f>
        <v/>
      </c>
      <c r="FN45" s="68">
        <f>IF(OR($U45=0,$F45&lt;&gt;2),0,IF(FM45&gt;0,FM45,IF(ROUND(BO45*$J45,6)&lt;ROUND($M45,6),BO45,0)))</f>
        <v/>
      </c>
      <c r="FO45" s="68">
        <f>IF(OR($U45=0,$F45&lt;&gt;2),0,IF(FN45&gt;0,FN45,IF(ROUND(BP45*$J45,6)&lt;ROUND($M45,6),BP45,0)))</f>
        <v/>
      </c>
      <c r="FP45" s="68">
        <f>IF(OR($U45=0,$F45&lt;&gt;2),0,IF(FO45&gt;0,FO45,IF(ROUND(BQ45*$J45,6)&lt;ROUND($M45,6),BQ45,0)))</f>
        <v/>
      </c>
      <c r="FQ45" s="68">
        <f>IF(OR($U45=0,$F45&lt;&gt;2),0,IF(FP45&gt;0,FP45,IF(ROUND(BR45*$J45,6)&lt;ROUND($M45,6),BR45,0)))</f>
        <v/>
      </c>
      <c r="FR45" s="68">
        <f>IF(OR($U45=0,$F45&lt;&gt;2),0,IF(FQ45&gt;0,FQ45,IF(ROUND(BS45*$J45,6)&lt;ROUND($M45,6),BS45,0)))</f>
        <v/>
      </c>
      <c r="FS45" s="68">
        <f>IF(OR($U45=0,$F45&lt;&gt;2),0,IF(FR45&gt;0,FR45,IF(ROUND(BT45*$J45,6)&lt;ROUND($M45,6),BT45,0)))</f>
        <v/>
      </c>
      <c r="FT45" s="68">
        <f>IF(OR($U45=0,$F45&lt;&gt;2),0,IF(FS45&gt;0,FS45,IF(ROUND(BU45*$J45,6)&lt;ROUND($M45,6),BU45,0)))</f>
        <v/>
      </c>
      <c r="FU45" s="68">
        <f>IF(OR($U45=0,$F45&lt;&gt;2),0,IF(FT45&gt;0,FT45,IF(ROUND(BV45*$J45,6)&lt;ROUND($M45,6),BV45,0)))</f>
        <v/>
      </c>
      <c r="FV45" s="68">
        <f>IF(OR($U45=0,$F45&lt;&gt;2),0,IF(FU45&gt;0,FU45,IF(ROUND(BW45*$J45,6)&lt;ROUND($M45,6),BW45,0)))</f>
        <v/>
      </c>
      <c r="FW45" s="68">
        <f>IF(OR($U45=0,$F45&lt;&gt;2),0,IF(FV45&gt;0,FV45,IF(ROUND(BX45*$J45,6)&lt;ROUND($M45,6),BX45,0)))</f>
        <v/>
      </c>
      <c r="FX45" s="68">
        <f>IF(OR($U45=0,$F45&lt;&gt;2),0,IF(FW45&gt;0,FW45,IF(ROUND(BY45*$J45,6)&lt;ROUND($M45,6),BY45,0)))</f>
        <v/>
      </c>
      <c r="FY45" s="68">
        <f>IF(OR($U45=0,$F45&lt;&gt;2),0,IF(FX45&gt;0,FX45,IF(ROUND(BZ45*$J45,6)&lt;ROUND($M45,6),BZ45,0)))</f>
        <v/>
      </c>
      <c r="FZ45" s="68">
        <f>IF(OR($U45=0,$F45&lt;&gt;2),0,IF(FY45&gt;0,FY45,IF(ROUND(CA45*$J45,6)&lt;ROUND($M45,6),CA45,0)))</f>
        <v/>
      </c>
      <c r="GA45" s="68">
        <f>IF(OR($U45=0,$F45&lt;&gt;2),0,IF(FZ45&gt;0,FZ45,IF(ROUND(CB45*$J45,6)&lt;ROUND($M45,6),CB45,0)))</f>
        <v/>
      </c>
      <c r="GB45" s="68">
        <f>IF(OR($U45=0,$F45&lt;&gt;2),0,IF(GA45&gt;0,GA45,IF(ROUND(CC45*$J45,6)&lt;ROUND($M45,6),CC45,0)))</f>
        <v/>
      </c>
      <c r="GC45" s="68">
        <f>IF(OR($U45=0,$F45&lt;&gt;2),0,IF(GB45&gt;0,GB45,IF(ROUND(CD45*$J45,6)&lt;ROUND($M45,6),CD45,0)))</f>
        <v/>
      </c>
      <c r="GD45" s="68">
        <f>IF(OR($U45=0,$F45&lt;&gt;2),0,IF(GC45&gt;0,GC45,IF(ROUND(CE45*$J45,6)&lt;ROUND($M45,6),CE45,0)))</f>
        <v/>
      </c>
      <c r="GE45" s="68">
        <f>IF(OR($U45=0,$F45&lt;&gt;2),0,IF(GD45&gt;0,GD45,IF(ROUND(CF45*$J45,6)&lt;ROUND($M45,6),CF45,0)))</f>
        <v/>
      </c>
      <c r="GF45" s="68">
        <f>IF(OR($U45=0,$F45&lt;&gt;2),0,IF(GE45&gt;0,GE45,IF(ROUND(CG45*$J45,6)&lt;ROUND($M45,6),CG45,0)))</f>
        <v/>
      </c>
      <c r="GG45" s="68">
        <f>IF(OR($U45=0,$F45&lt;&gt;2),0,IF(GF45&gt;0,GF45,IF(ROUND(CH45*$J45,6)&lt;ROUND($M45,6),CH45,0)))</f>
        <v/>
      </c>
      <c r="GH45" s="68">
        <f>IF(OR($U45=0,$F45&lt;&gt;2),0,IF(GG45&gt;0,GG45,IF(ROUND(CI45*$J45,6)&lt;ROUND($M45,6),CI45,0)))</f>
        <v/>
      </c>
      <c r="GI45" s="68">
        <f>IF(OR($U45=0,$F45&lt;&gt;2),0,IF(GH45&gt;0,GH45,IF(ROUND(CJ45*$J45,6)&lt;ROUND($M45,6),CJ45,0)))</f>
        <v/>
      </c>
      <c r="GJ45" s="68">
        <f>IF(OR($U45=0,$F45&lt;&gt;2),0,IF(GI45&gt;0,GI45,IF(ROUND(CK45*$J45,6)&lt;ROUND($M45,6),CK45,0)))</f>
        <v/>
      </c>
      <c r="GK45" s="68">
        <f>IF(OR($U45=0,$F45&lt;&gt;2),0,IF(GJ45&gt;0,GJ45,IF(ROUND(CL45*$J45,6)&lt;ROUND($M45,6),CL45,0)))</f>
        <v/>
      </c>
      <c r="GL45" s="68">
        <f>IF(OR($U45=0,$F45&lt;&gt;2),0,IF(GK45&gt;0,GK45,IF(ROUND(CM45*$J45,6)&lt;ROUND($M45,6),CM45,0)))</f>
        <v/>
      </c>
      <c r="GM45" s="68">
        <f>IF(OR($U45=0,$F45&lt;&gt;2),0,IF(GL45&gt;0,GL45,IF(ROUND(CN45*$J45,6)&lt;ROUND($M45,6),CN45,0)))</f>
        <v/>
      </c>
      <c r="GN45" s="68">
        <f>IF(OR($U45=0,$F45&lt;&gt;2),0,IF(GM45&gt;0,GM45,IF(ROUND(CO45*$J45,6)&lt;ROUND($M45,6),CO45,0)))</f>
        <v/>
      </c>
      <c r="GO45" s="68">
        <f>IF(OR($U45=0,$F45&lt;&gt;2),0,IF(GN45&gt;0,GN45,IF(ROUND(CP45*$J45,6)&lt;ROUND($M45,6),CP45,0)))</f>
        <v/>
      </c>
      <c r="GP45" s="68">
        <f>IF(OR($U45=0,$F45&lt;&gt;2),0,IF(GO45&gt;0,GO45,IF(ROUND(CQ45*$J45,6)&lt;ROUND($M45,6),CQ45,0)))</f>
        <v/>
      </c>
      <c r="GQ45" s="68">
        <f>IF(OR($U45=0,$F45&lt;&gt;2),0,IF(GP45&gt;0,GP45,IF(ROUND(CR45*$J45,6)&lt;ROUND($M45,6),CR45,0)))</f>
        <v/>
      </c>
      <c r="GR45" s="68">
        <f>IF(OR($U45=0,$F45&lt;&gt;2),0,IF(GQ45&gt;0,GQ45,IF(ROUND(CS45*$J45,6)&lt;ROUND($M45,6),CS45,0)))</f>
        <v/>
      </c>
      <c r="GS45" s="68">
        <f>IF(OR($U45=0,$F45&lt;&gt;2),0,IF(GR45&gt;0,GR45,IF(ROUND(CT45*$J45,6)&lt;ROUND($M45,6),CT45,0)))</f>
        <v/>
      </c>
      <c r="GT45" s="68">
        <f>IF(OR($U45=0,$F45&lt;&gt;2),0,IF(GS45&gt;0,GS45,IF(ROUND(CU45*$J45,6)&lt;ROUND($M45,6),CU45,0)))</f>
        <v/>
      </c>
      <c r="GU45" s="68">
        <f>IF(OR($U45=0,$F45&lt;&gt;2),0,IF(GT45&gt;0,GT45,IF(ROUND(CV45*$J45,6)&lt;ROUND($M45,6),CV45,0)))</f>
        <v/>
      </c>
      <c r="GV45" s="68">
        <f>IF(OR($U45=0,$F45&lt;&gt;2),0,IF(GU45&gt;0,GU45,IF(ROUND(CW45*$J45,6)&lt;ROUND($M45,6),CW45,0)))</f>
        <v/>
      </c>
      <c r="GW45" s="68">
        <f>IF(OR($U45=0,$F45&lt;&gt;2),0,IF(GV45&gt;0,GV45,IF(ROUND(CX45*$J45,6)&lt;ROUND($M45,6),CX45,0)))</f>
        <v/>
      </c>
      <c r="GX45" s="68">
        <f>IF(OR($U45=0,$F45&lt;&gt;2),0,IF(GW45&gt;0,GW45,IF(ROUND(CY45*$J45,6)&lt;ROUND($M45,6),CY45,0)))</f>
        <v/>
      </c>
      <c r="GY45" s="68">
        <f>IF(OR($U45=0,$F45&lt;&gt;2),0,IF(GX45&gt;0,GX45,IF(ROUND(CZ45*$J45,6)&lt;ROUND($M45,6),CZ45,0)))</f>
        <v/>
      </c>
      <c r="GZ45" s="68">
        <f>IF(OR($U45=0,$F45&lt;&gt;2),0,IF(GY45&gt;0,GY45,IF(ROUND(DA45*$J45,6)&lt;ROUND($M45,6),DA45,0)))</f>
        <v/>
      </c>
      <c r="HA45" s="68">
        <f>IF(OR($U45=0,$F45&lt;&gt;2),0,IF(GZ45&gt;0,GZ45,IF(ROUND(DB45*$J45,6)&lt;ROUND($M45,6),DB45,0)))</f>
        <v/>
      </c>
      <c r="HB45" s="68">
        <f>IF(OR($U45=0,$F45&lt;&gt;2),0,IF(HA45&gt;0,HA45,IF(ROUND(DC45*$J45,6)&lt;ROUND($M45,6),DC45,0)))</f>
        <v/>
      </c>
      <c r="HC45" s="68">
        <f>IF(OR($U45=0,$F45&lt;&gt;2),0,IF(HB45&gt;0,HB45,IF(ROUND(DD45*$J45,6)&lt;ROUND($M45,6),DD45,0)))</f>
        <v/>
      </c>
      <c r="HD45" s="68">
        <f>IF(OR($U45=0,$F45&lt;&gt;2),0,IF(HC45&gt;0,HC45,IF(ROUND(DE45*$J45,6)&lt;ROUND($M45,6),DE45,0)))</f>
        <v/>
      </c>
      <c r="HE45" s="68">
        <f>IF(OR($U45=0,$F45&lt;&gt;2),0,IF(HD45&gt;0,HD45,IF(ROUND(DF45*$J45,6)&lt;ROUND($M45,6),DF45,0)))</f>
        <v/>
      </c>
      <c r="HF45" s="68">
        <f>IF(OR($U45=0,$F45&lt;&gt;2),0,IF(HE45&gt;0,HE45,IF(ROUND(DG45*$J45,6)&lt;ROUND($M45,6),DG45,0)))</f>
        <v/>
      </c>
      <c r="HG45" s="68">
        <f>IF(OR($U45=0,$F45&lt;&gt;2),0,IF(HF45&gt;0,HF45,IF(ROUND(DH45*$J45,6)&lt;ROUND($M45,6),DH45,0)))</f>
        <v/>
      </c>
      <c r="HH45" s="68">
        <f>IF(OR($U45=0,$F45&lt;&gt;2),0,IF(HG45&gt;0,HG45,IF(ROUND(DI45*$J45,6)&lt;ROUND($M45,6),DI45,0)))</f>
        <v/>
      </c>
      <c r="HI45" s="68">
        <f>IF(OR($U45=0,$F45&lt;&gt;2),0,IF(HH45&gt;0,HH45,IF(ROUND(DJ45*$J45,6)&lt;ROUND($M45,6),DJ45,0)))</f>
        <v/>
      </c>
      <c r="HJ45" s="68">
        <f>IF(OR($U45=0,$F45&lt;&gt;2),0,IF(HI45&gt;0,HI45,IF(ROUND(DK45*$J45,6)&lt;ROUND($M45,6),DK45,0)))</f>
        <v/>
      </c>
      <c r="HK45" s="68">
        <f>IF(OR($U45=0,$F45&lt;&gt;2),0,IF(HJ45&gt;0,HJ45,IF(ROUND(DL45*$J45,6)&lt;ROUND($M45,6),DL45,0)))</f>
        <v/>
      </c>
      <c r="HL45" s="68">
        <f>IF(OR($U45=0,$F45&lt;&gt;2),0,IF(HK45&gt;0,HK45,IF(ROUND(DM45*$J45,6)&lt;ROUND($M45,6),DM45,0)))</f>
        <v/>
      </c>
      <c r="HM45" s="68">
        <f>IF(OR($U45=0,$F45&lt;&gt;2),0,IF(HL45&gt;0,HL45,IF(ROUND(DN45*$J45,6)&lt;ROUND($M45,6),DN45,0)))</f>
        <v/>
      </c>
      <c r="HN45" s="68">
        <f>IF(OR($U45=0,$F45&lt;&gt;2),0,IF(HM45&gt;0,HM45,IF(ROUND(DO45*$J45,6)&lt;ROUND($M45,6),DO45,0)))</f>
        <v/>
      </c>
      <c r="HO45" s="68">
        <f>IF(OR($U45=0,$F45&lt;&gt;2),0,IF(HN45&gt;0,HN45,IF(ROUND(DP45*$J45,6)&lt;ROUND($M45,6),DP45,0)))</f>
        <v/>
      </c>
      <c r="HP45" s="68">
        <f>IF(OR($U45=0,$F45&lt;&gt;2),0,IF(HO45&gt;0,HO45,IF(ROUND(DQ45*$J45,6)&lt;ROUND($M45,6),DQ45,0)))</f>
        <v/>
      </c>
      <c r="HQ45" s="68">
        <f>IF(OR($U45=0,$F45&lt;&gt;2),0,IF(HP45&gt;0,HP45,IF(ROUND(DR45*$J45,6)&lt;ROUND($M45,6),DR45,0)))</f>
        <v/>
      </c>
      <c r="HR45" s="68">
        <f>IF(OR($U45=0,$F45&lt;&gt;2),0,IF(HQ45&gt;0,HQ45,IF(ROUND(DS45*$J45,6)&lt;ROUND($M45,6),DS45,0)))</f>
        <v/>
      </c>
      <c r="HS45" s="68">
        <f>IF(OR($U45=0,$F45&lt;&gt;2),0,IF(HR45&gt;0,HR45,IF(ROUND(DT45*$J45,6)&lt;ROUND($M45,6),DT45,0)))</f>
        <v/>
      </c>
      <c r="HT45" s="68">
        <f>IF(OR($U45=0,$F45&lt;&gt;2),0,IF(HS45&gt;0,HS45,IF(ROUND(DU45*$J45,6)&lt;ROUND($M45,6),DU45,0)))</f>
        <v/>
      </c>
      <c r="HU45" s="68">
        <f>IF(OR($U45=0,$F45&lt;&gt;2),0,IF(HT45&gt;0,HT45,IF(ROUND(DV45*$J45,6)&lt;ROUND($M45,6),DV45,0)))</f>
        <v/>
      </c>
      <c r="HV45" s="68">
        <f>IF(OR($U45=0,$F45&lt;&gt;2),0,IF(HU45&gt;0,HU45,IF(ROUND(DW45*$J45,6)&lt;ROUND($M45,6),DW45,0)))</f>
        <v/>
      </c>
      <c r="HW45" s="68">
        <f>IF(OR($U45=0,$F45&lt;&gt;2),0,IF(HV45&gt;0,HV45,IF(ROUND(DX45*$J45,6)&lt;ROUND($M45,6),DX45,0)))</f>
        <v/>
      </c>
      <c r="HX45" s="68">
        <f>IF(OR($U45=0,$F45&lt;&gt;2),0,IF(HW45&gt;0,HW45,IF(ROUND(DY45*$J45,6)&lt;ROUND($M45,6),DY45,0)))</f>
        <v/>
      </c>
      <c r="HY45" s="68">
        <f>IF(OR($U45=0,$F45&lt;&gt;2),0,IF(HX45&gt;0,HX45,IF(ROUND(DZ45*$J45,6)&lt;ROUND($M45,6),DZ45,0)))</f>
        <v/>
      </c>
      <c r="HZ45" s="68">
        <f>IF(OR($U45=0,$F45&lt;&gt;2),0,IF(HY45&gt;0,HY45,IF(ROUND(EA45*$J45,6)&lt;ROUND($M45,6),EA45,0)))</f>
        <v/>
      </c>
      <c r="IA45" s="68">
        <f>IF(OR($U45=0,$F45&lt;&gt;2),0,IF(HZ45&gt;0,HZ45,IF(ROUND(EB45*$J45,6)&lt;ROUND($M45,6),EB45,0)))</f>
        <v/>
      </c>
      <c r="IB45" s="68">
        <f>IF(OR($U45=0,$F45&lt;&gt;2),0,IF(IA45&gt;0,IA45,IF(ROUND(EC45*$J45,6)&lt;ROUND($M45,6),EC45,0)))</f>
        <v/>
      </c>
      <c r="IC45" s="68">
        <f>IF(OR($U45=0,$F45&lt;&gt;2),0,IF(IB45&gt;0,IB45,IF(ROUND(ED45*$J45,6)&lt;ROUND($M45,6),ED45,0)))</f>
        <v/>
      </c>
      <c r="ID45" s="68">
        <f>IF(OR($U45=0,$F45&lt;&gt;2),0,IF(IC45&gt;0,IC45,IF(ROUND(EE45*$J45,6)&lt;ROUND($M45,6),EE45,0)))</f>
        <v/>
      </c>
      <c r="IE45" s="68">
        <f>IF(OR($U45=0,$F45&lt;&gt;2),0,IF(ID45&gt;0,ID45,IF(ROUND(EF45*$J45,6)&lt;ROUND($M45,6),EF45,0)))</f>
        <v/>
      </c>
      <c r="IF45" s="68">
        <f>IF(OR($U45=0,$F45&lt;&gt;2),0,IF(IE45&gt;0,IE45,IF(ROUND(EG45*$J45,6)&lt;ROUND($M45,6),EG45,0)))</f>
        <v/>
      </c>
      <c r="IG45" s="68">
        <f>IF(OR($U45=0,$F45&lt;&gt;2),0,IF(IF45&gt;0,IF45,IF(ROUND(EH45*$J45,6)&lt;ROUND($M45,6),EH45,0)))</f>
        <v/>
      </c>
      <c r="IH45" s="68">
        <f>IF(OR($U45=0,$F45&lt;&gt;2),0,IF(IG45&gt;0,IG45,IF(ROUND(EI45*$J45,6)&lt;ROUND($M45,6),EI45,0)))</f>
        <v/>
      </c>
      <c r="II45" s="68">
        <f>IF(OR($U45=0,$F45&lt;&gt;2),0,IF(IH45&gt;0,IH45,IF(ROUND(EJ45*$J45,6)&lt;ROUND($M45,6),EJ45,0)))</f>
        <v/>
      </c>
      <c r="IJ45" s="68">
        <f>IF(OR($U45=0,$F45&lt;&gt;2),0,IF(II45&gt;0,II45,IF(ROUND(EK45*$J45,6)&lt;ROUND($M45,6),EK45,0)))</f>
        <v/>
      </c>
      <c r="IK45" s="68">
        <f>IF(OR($U45=0,$F45&lt;&gt;2),0,IF(IJ45&gt;0,IJ45,IF(ROUND(EL45*$J45,6)&lt;ROUND($M45,6),EL45,0)))</f>
        <v/>
      </c>
      <c r="IL45" s="68">
        <f>IF(OR($U45=0,$F45&lt;&gt;2),0,IF(IK45&gt;0,IK45,IF(ROUND(EM45*$J45,6)&lt;ROUND($M45,6),EM45,0)))</f>
        <v/>
      </c>
      <c r="IM45" s="68">
        <f>IF(OR($U45=0,$F45&lt;&gt;2),0,IF(IL45&gt;0,IL45,IF(ROUND(EN45*$J45,6)&lt;ROUND($M45,6),EN45,0)))</f>
        <v/>
      </c>
      <c r="IN45" s="68">
        <f>IF(OR($U45=0,$F45&lt;&gt;2),0,IF(IM45&gt;0,IM45,IF(ROUND(EO45*$J45,6)&lt;ROUND($M45,6),EO45,0)))</f>
        <v/>
      </c>
    </row>
    <row r="46">
      <c r="A46" s="68" t="n">
        <v>41</v>
      </c>
      <c r="B46" s="68">
        <f>IF(OR(TRIM('固定資産台帳'!$B46)&lt;&gt;"",'固定資産台帳'!$E46&lt;&gt;"",'固定資産台帳'!$G46&lt;&gt;"",'固定資産台帳'!$H46&lt;&gt;""),1,0)</f>
        <v/>
      </c>
      <c r="C46" s="68">
        <f>IF(ISNUMBER('固定資産台帳'!$G46),MAX(ROUND('固定資産台帳'!$G46,0),0),0)</f>
        <v/>
      </c>
      <c r="D46" s="84">
        <f>IF(ISNUMBER('固定資産台帳'!$E46),INT('固定資産台帳'!$E46),0)</f>
        <v/>
      </c>
      <c r="E46" s="84">
        <f>IF(ISNUMBER('固定資産台帳'!$F46),INT('固定資産台帳'!$F46),$D46)</f>
        <v/>
      </c>
      <c r="F46" s="68">
        <f>IF('固定資産台帳'!$H46="定額法",1,IF(OR('固定資産台帳'!$H46="定率法",'固定資産台帳'!$H46="定率法（200%）",'固定資産台帳'!$H46="定率法（250%）"),2,IF('固定資産台帳'!$H46="一括償却（3年）",3,IF('固定資産台帳'!$H46="少額特例",4,0))))</f>
        <v/>
      </c>
      <c r="G46" s="68">
        <f>IF('固定資産台帳'!$H46="定率法（250%）",250,IF('固定資産台帳'!$H46="定率法（200%）",200,IF($D46&gt;=DATE(2012,4,1),200,250)))</f>
        <v/>
      </c>
      <c r="H46" s="68">
        <f>IF(ISNUMBER('固定資産台帳'!$I46),IF(AND('固定資産台帳'!$I46&gt;=2,'固定資産台帳'!$I46&lt;=100,'固定資産台帳'!$I46=INT('固定資産台帳'!$I46)),'固定資産台帳'!$I46,0),0)</f>
        <v/>
      </c>
      <c r="I46" s="68">
        <f>IF('固定資産台帳'!$C46="無形固定資産",0,1)</f>
        <v/>
      </c>
      <c r="J46" s="68">
        <f>IF(OR($H46=0,$F46=0,$F46&gt;2),0,IF($F46=1,INDEX('償却率表'!$B$6:$B$104,$H46-1),IF($G46=200,INDEX('償却率表'!$C$6:$C$104,$H46-1),INDEX('償却率表'!$F$6:$F$104,$H46-1))))</f>
        <v/>
      </c>
      <c r="K46" s="68">
        <f>IF(AND($F46=2,$H46&gt;0),IF($G46=200,INDEX('償却率表'!$D$6:$D$104,$H46-1),INDEX('償却率表'!$G$6:$G$104,$H46-1)),0)</f>
        <v/>
      </c>
      <c r="L46" s="68">
        <f>IF(AND($F46=2,$H46&gt;0),IF($G46=200,INDEX('償却率表'!$E$6:$E$104,$H46-1),INDEX('償却率表'!$H$6:$H$104,$H46-1)),0)</f>
        <v/>
      </c>
      <c r="M46" s="68">
        <f>$C46*$L46</f>
        <v/>
      </c>
      <c r="N46" s="68">
        <f>IF($B$1=1,1,IF('固定資産台帳'!$J46="",1,IF(ISNUMBER('固定資産台帳'!$J46),IF(AND('固定資産台帳'!$J46&gt;0,'固定資産台帳'!$J46&lt;=1),'固定資産台帳'!$J46,0),0)))</f>
        <v/>
      </c>
      <c r="O46" s="68">
        <f>IF($E46=0,0,YEAR($E46)-IF(MONTH($E46)&lt;$B$2,1,0))</f>
        <v/>
      </c>
      <c r="P46" s="68">
        <f>IF($E46=0,0,12-MOD(MONTH($E46)-$B$2,12))</f>
        <v/>
      </c>
      <c r="Q46" s="84">
        <f>IF(ISNUMBER('固定資産台帳'!$K46),INT('固定資産台帳'!$K46),0)</f>
        <v/>
      </c>
      <c r="R46" s="68">
        <f>IF(OR($Q46=0,$E46=0),999,YEAR($Q46)-IF(MONTH($Q46)&lt;$B$2,1,0)-$O46)</f>
        <v/>
      </c>
      <c r="S46" s="68">
        <f>IF($R46=999,0,MOD(MONTH($Q46)-$B$2,12)+1-IF($R46=0,12-$P46,0))</f>
        <v/>
      </c>
      <c r="T46" s="68">
        <f>IF($B46=0,0,IF($C46&lt;=0,1,IF($D46=0,2,IF($F46=0,3,IF(AND($F46&lt;=2,$H46=0),4,IF(AND($F46&lt;=2,$D46&lt;DATE(2007,4,1)),5,IF($E46&lt;$D46,6,IF(AND($Q46&gt;0,$Q46&lt;$E46),7,IF($N46=0,8,IF($B$3=0,9,0))))))))))</f>
        <v/>
      </c>
      <c r="U46" s="68">
        <f>IF(AND($B46=1,$T46=0),1,0)</f>
        <v/>
      </c>
      <c r="V46" s="68">
        <f>$B$3-$O46</f>
        <v/>
      </c>
      <c r="W46" s="68">
        <f>IF(AND($U46=1,$V46&gt;=0),1,0)</f>
        <v/>
      </c>
      <c r="X46" s="68">
        <f>IF($W46=0,0,IF($V46=0,$C46,INDEX($AS46:$EP46,MIN($V46,102))))</f>
        <v/>
      </c>
      <c r="Y46" s="68">
        <f>IF($W46=0,0,INDEX($AS46:$EP46,MIN($V46,101)+1))</f>
        <v/>
      </c>
      <c r="Z46" s="68">
        <f>$X46-$Y46</f>
        <v/>
      </c>
      <c r="AA46" s="68">
        <f>IF(AND($W46=1,$F46=2,$V46&gt;=1),INDEX($ER46:$IN46,MIN($V46,101)),0)</f>
        <v/>
      </c>
      <c r="AB46" s="68">
        <f>IF(OR($W46=0,$F46&gt;2,$Z46=0),0,IF($V46=0,IF($R46=0,$S46,$P46),IF($V46=$R46,$S46,12)))</f>
        <v/>
      </c>
      <c r="AC46" s="68">
        <f>IF($W46=0,0,INT(ROUND($Z46*$N46,6)+$B$4))</f>
        <v/>
      </c>
      <c r="AD46" s="68">
        <f>IF(AND($W46=1,$F46&lt;=2,$V46=$R46),1,0)</f>
        <v/>
      </c>
      <c r="AE46" s="68">
        <f>IF(AND($W46=1,$F46&lt;=2,$V46&gt;$R46),1,0)</f>
        <v/>
      </c>
      <c r="AF46" s="68">
        <f>IF(AND($W46=1,$AE46=0,OR($Z46&gt;0,$AD46=1)),1,0)</f>
        <v/>
      </c>
      <c r="AG46" s="68">
        <f>IF($AF46=1,SUM($AF$6:$AF46),0)</f>
        <v/>
      </c>
      <c r="AH46" s="68">
        <f>IF($T46=0,"",CHOOSE($T46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46" s="68">
        <f>IF(AND($F46=2,OR('固定資産台帳'!$C46="建物",'固定資産台帳'!$C46="無形固定資産",AND(OR('固定資産台帳'!$C46="建物附属設備",'固定資産台帳'!$C46="構築物"),$D46&gt;=DATE(2016,4,1)))),"この資産は定額法だけです（定率法は使えません）。","")&amp;IF(AND($F46=3,$C46&gt;=200000),"一括償却は20万円未満の資産だけです。","")&amp;IF(AND($F46=3,$B$1=0,$C46&lt;100000),"10万円未満は一括償却にせず、全額をその年の経費にします。","")&amp;IF(AND($F46=4,$C46&lt;100000),"10万円未満は少額特例ではなく、全額をその年の経費にします。","")&amp;IF(AND($F46=4,$D46&lt;DATE(2026,4,1),$C46&gt;=300000),"2026年3月31日までの取得で少額特例が使えるのは30万円未満です。","")&amp;IF(AND($F46=4,$D46&gt;=DATE(2026,4,1),$C46&gt;=400000),"少額特例は40万円未満の資産だけです。","")&amp;IF(AND($F46=4,OR($D46&lt;DATE(2006,4,1),$D46&gt;DATE(2029,3,31))),"少額特例は2006年4月1日〜2029年3月31日に取得した資産だけです。","")&amp;IF(AND($F46=2,$G46=250,$D46&gt;DATE(2012,12,31)),"250%定率法は2012年12月31日までの取得だけです。","")</f>
        <v/>
      </c>
      <c r="AJ46" s="68">
        <f>IF(AND($F46=2,'固定資産台帳'!$H46="定率法（200%）",$D46&lt;DATE(2012,4,1)),"2012年3月31日までの取得に200%を使うのは、経過措置の届出をした場合です。","")&amp;IF(AND($F46=2,'固定資産台帳'!$H46="定率法（250%）",$D46&gt;=DATE(2012,4,1),$D46&lt;=DATE(2012,12,31)),"2012年4〜12月の取得に250%を使うのは、経過措置を選んだ場合です。","")</f>
        <v/>
      </c>
      <c r="AK46" s="68">
        <f>IF($U46=0,"",IF($V46&lt;0,"表示している年より後に使い始める資産です。",IF($AE46=1,"売却・除却済みです。",IF($AD46=1,"この年に売却・除却。期末の帳簿価額 "&amp;TEXT($Y46,"#,##0")&amp;"円を帳簿から外します。",IF($F46=4,IF($V46=0,"少額特例：この年に全額を経費にします。","少額特例で経費にした資産です。"),IF($F46=3,IF($V46&gt;2,"一括償却は終わっています。","一括償却 "&amp;($V46+1)&amp;"年目（3年のうち）。"),IF($Z46=0,"償却済み（帳簿価額 "&amp;TEXT($Y46,"#,##0")&amp;"円）。",IF($AA46&gt;0,"改定償却率で計算（改定取得価額 "&amp;TEXT($AA46,"#,##0")&amp;"円）。",IF($V46=0,"この年に使い始め（"&amp;$AB46&amp;"か月分）。","")))))))))</f>
        <v/>
      </c>
      <c r="AL46" s="68">
        <f>IF(AND($U46=1,$F46=4,$V46=0),$C46,0)</f>
        <v/>
      </c>
      <c r="AM46" s="68">
        <f>IF($F46=2,INT(ROUND($M46,6)+$B$4),0)</f>
        <v/>
      </c>
      <c r="AN46" s="68">
        <f>IF($W46=0,0,IF($F46=2,IF($AA46&gt;0,$AA46,$X46),$C46))</f>
        <v/>
      </c>
      <c r="AO46" s="68">
        <f>IF($W46=0,"",IF($F46=3,"1/3",IF($F46=4,"―",IF($AA46&gt;0,$K46,$J46))))</f>
        <v/>
      </c>
      <c r="AP46" s="68" t="n"/>
      <c r="AQ46" s="68" t="n"/>
      <c r="AR46" s="68" t="n"/>
      <c r="AS46" s="68">
        <f>IF($U46=0,0,IF($F46=4,0,IF($F46=3,MAX($C46-INT(ROUND($C46/3,6)+$B$4),0),$C46-MIN(INT(ROUND($C46*$J46*IF($R46=0,$S46,$P46)/12,6)+$B$4),MAX($C46-$I46,0)))))</f>
        <v/>
      </c>
      <c r="AT46" s="68">
        <f>IF($U46=0,0,IF($F46=4,0,IF($F46=3,AS46-MIN(INT(ROUND($C46/3,6)+$B$4),AS46),IF(OR(1&gt;$R46,AS46&lt;=$I46),AS46,AS46-MIN(INT(ROUND(IF($F46=1,$C46*$J46,IF(ER46&gt;0,ER46*$K46,AS46*$J46))*IF(1=$R46,$S46,12)/12,6)+$B$4),AS46-$I46)))))</f>
        <v/>
      </c>
      <c r="AU46" s="68">
        <f>IF($U46=0,0,IF($F46=4,0,IF($F46=3,0,IF(OR(2&gt;$R46,AT46&lt;=$I46),AT46,AT46-MIN(INT(ROUND(IF($F46=1,$C46*$J46,IF(ES46&gt;0,ES46*$K46,AT46*$J46))*IF(2=$R46,$S46,12)/12,6)+$B$4),AT46-$I46)))))</f>
        <v/>
      </c>
      <c r="AV46" s="68">
        <f>IF($U46=0,0,IF($F46=4,0,IF($F46=3,0,IF(OR(3&gt;$R46,AU46&lt;=$I46),AU46,AU46-MIN(INT(ROUND(IF($F46=1,$C46*$J46,IF(ET46&gt;0,ET46*$K46,AU46*$J46))*IF(3=$R46,$S46,12)/12,6)+$B$4),AU46-$I46)))))</f>
        <v/>
      </c>
      <c r="AW46" s="68">
        <f>IF($U46=0,0,IF($F46=4,0,IF($F46=3,0,IF(OR(4&gt;$R46,AV46&lt;=$I46),AV46,AV46-MIN(INT(ROUND(IF($F46=1,$C46*$J46,IF(EU46&gt;0,EU46*$K46,AV46*$J46))*IF(4=$R46,$S46,12)/12,6)+$B$4),AV46-$I46)))))</f>
        <v/>
      </c>
      <c r="AX46" s="68">
        <f>IF($U46=0,0,IF($F46=4,0,IF($F46=3,0,IF(OR(5&gt;$R46,AW46&lt;=$I46),AW46,AW46-MIN(INT(ROUND(IF($F46=1,$C46*$J46,IF(EV46&gt;0,EV46*$K46,AW46*$J46))*IF(5=$R46,$S46,12)/12,6)+$B$4),AW46-$I46)))))</f>
        <v/>
      </c>
      <c r="AY46" s="68">
        <f>IF($U46=0,0,IF($F46=4,0,IF($F46=3,0,IF(OR(6&gt;$R46,AX46&lt;=$I46),AX46,AX46-MIN(INT(ROUND(IF($F46=1,$C46*$J46,IF(EW46&gt;0,EW46*$K46,AX46*$J46))*IF(6=$R46,$S46,12)/12,6)+$B$4),AX46-$I46)))))</f>
        <v/>
      </c>
      <c r="AZ46" s="68">
        <f>IF($U46=0,0,IF($F46=4,0,IF($F46=3,0,IF(OR(7&gt;$R46,AY46&lt;=$I46),AY46,AY46-MIN(INT(ROUND(IF($F46=1,$C46*$J46,IF(EX46&gt;0,EX46*$K46,AY46*$J46))*IF(7=$R46,$S46,12)/12,6)+$B$4),AY46-$I46)))))</f>
        <v/>
      </c>
      <c r="BA46" s="68">
        <f>IF($U46=0,0,IF($F46=4,0,IF($F46=3,0,IF(OR(8&gt;$R46,AZ46&lt;=$I46),AZ46,AZ46-MIN(INT(ROUND(IF($F46=1,$C46*$J46,IF(EY46&gt;0,EY46*$K46,AZ46*$J46))*IF(8=$R46,$S46,12)/12,6)+$B$4),AZ46-$I46)))))</f>
        <v/>
      </c>
      <c r="BB46" s="68">
        <f>IF($U46=0,0,IF($F46=4,0,IF($F46=3,0,IF(OR(9&gt;$R46,BA46&lt;=$I46),BA46,BA46-MIN(INT(ROUND(IF($F46=1,$C46*$J46,IF(EZ46&gt;0,EZ46*$K46,BA46*$J46))*IF(9=$R46,$S46,12)/12,6)+$B$4),BA46-$I46)))))</f>
        <v/>
      </c>
      <c r="BC46" s="68">
        <f>IF($U46=0,0,IF($F46=4,0,IF($F46=3,0,IF(OR(10&gt;$R46,BB46&lt;=$I46),BB46,BB46-MIN(INT(ROUND(IF($F46=1,$C46*$J46,IF(FA46&gt;0,FA46*$K46,BB46*$J46))*IF(10=$R46,$S46,12)/12,6)+$B$4),BB46-$I46)))))</f>
        <v/>
      </c>
      <c r="BD46" s="68">
        <f>IF($U46=0,0,IF($F46=4,0,IF($F46=3,0,IF(OR(11&gt;$R46,BC46&lt;=$I46),BC46,BC46-MIN(INT(ROUND(IF($F46=1,$C46*$J46,IF(FB46&gt;0,FB46*$K46,BC46*$J46))*IF(11=$R46,$S46,12)/12,6)+$B$4),BC46-$I46)))))</f>
        <v/>
      </c>
      <c r="BE46" s="68">
        <f>IF($U46=0,0,IF($F46=4,0,IF($F46=3,0,IF(OR(12&gt;$R46,BD46&lt;=$I46),BD46,BD46-MIN(INT(ROUND(IF($F46=1,$C46*$J46,IF(FC46&gt;0,FC46*$K46,BD46*$J46))*IF(12=$R46,$S46,12)/12,6)+$B$4),BD46-$I46)))))</f>
        <v/>
      </c>
      <c r="BF46" s="68">
        <f>IF($U46=0,0,IF($F46=4,0,IF($F46=3,0,IF(OR(13&gt;$R46,BE46&lt;=$I46),BE46,BE46-MIN(INT(ROUND(IF($F46=1,$C46*$J46,IF(FD46&gt;0,FD46*$K46,BE46*$J46))*IF(13=$R46,$S46,12)/12,6)+$B$4),BE46-$I46)))))</f>
        <v/>
      </c>
      <c r="BG46" s="68">
        <f>IF($U46=0,0,IF($F46=4,0,IF($F46=3,0,IF(OR(14&gt;$R46,BF46&lt;=$I46),BF46,BF46-MIN(INT(ROUND(IF($F46=1,$C46*$J46,IF(FE46&gt;0,FE46*$K46,BF46*$J46))*IF(14=$R46,$S46,12)/12,6)+$B$4),BF46-$I46)))))</f>
        <v/>
      </c>
      <c r="BH46" s="68">
        <f>IF($U46=0,0,IF($F46=4,0,IF($F46=3,0,IF(OR(15&gt;$R46,BG46&lt;=$I46),BG46,BG46-MIN(INT(ROUND(IF($F46=1,$C46*$J46,IF(FF46&gt;0,FF46*$K46,BG46*$J46))*IF(15=$R46,$S46,12)/12,6)+$B$4),BG46-$I46)))))</f>
        <v/>
      </c>
      <c r="BI46" s="68">
        <f>IF($U46=0,0,IF($F46=4,0,IF($F46=3,0,IF(OR(16&gt;$R46,BH46&lt;=$I46),BH46,BH46-MIN(INT(ROUND(IF($F46=1,$C46*$J46,IF(FG46&gt;0,FG46*$K46,BH46*$J46))*IF(16=$R46,$S46,12)/12,6)+$B$4),BH46-$I46)))))</f>
        <v/>
      </c>
      <c r="BJ46" s="68">
        <f>IF($U46=0,0,IF($F46=4,0,IF($F46=3,0,IF(OR(17&gt;$R46,BI46&lt;=$I46),BI46,BI46-MIN(INT(ROUND(IF($F46=1,$C46*$J46,IF(FH46&gt;0,FH46*$K46,BI46*$J46))*IF(17=$R46,$S46,12)/12,6)+$B$4),BI46-$I46)))))</f>
        <v/>
      </c>
      <c r="BK46" s="68">
        <f>IF($U46=0,0,IF($F46=4,0,IF($F46=3,0,IF(OR(18&gt;$R46,BJ46&lt;=$I46),BJ46,BJ46-MIN(INT(ROUND(IF($F46=1,$C46*$J46,IF(FI46&gt;0,FI46*$K46,BJ46*$J46))*IF(18=$R46,$S46,12)/12,6)+$B$4),BJ46-$I46)))))</f>
        <v/>
      </c>
      <c r="BL46" s="68">
        <f>IF($U46=0,0,IF($F46=4,0,IF($F46=3,0,IF(OR(19&gt;$R46,BK46&lt;=$I46),BK46,BK46-MIN(INT(ROUND(IF($F46=1,$C46*$J46,IF(FJ46&gt;0,FJ46*$K46,BK46*$J46))*IF(19=$R46,$S46,12)/12,6)+$B$4),BK46-$I46)))))</f>
        <v/>
      </c>
      <c r="BM46" s="68">
        <f>IF($U46=0,0,IF($F46=4,0,IF($F46=3,0,IF(OR(20&gt;$R46,BL46&lt;=$I46),BL46,BL46-MIN(INT(ROUND(IF($F46=1,$C46*$J46,IF(FK46&gt;0,FK46*$K46,BL46*$J46))*IF(20=$R46,$S46,12)/12,6)+$B$4),BL46-$I46)))))</f>
        <v/>
      </c>
      <c r="BN46" s="68">
        <f>IF($U46=0,0,IF($F46=4,0,IF($F46=3,0,IF(OR(21&gt;$R46,BM46&lt;=$I46),BM46,BM46-MIN(INT(ROUND(IF($F46=1,$C46*$J46,IF(FL46&gt;0,FL46*$K46,BM46*$J46))*IF(21=$R46,$S46,12)/12,6)+$B$4),BM46-$I46)))))</f>
        <v/>
      </c>
      <c r="BO46" s="68">
        <f>IF($U46=0,0,IF($F46=4,0,IF($F46=3,0,IF(OR(22&gt;$R46,BN46&lt;=$I46),BN46,BN46-MIN(INT(ROUND(IF($F46=1,$C46*$J46,IF(FM46&gt;0,FM46*$K46,BN46*$J46))*IF(22=$R46,$S46,12)/12,6)+$B$4),BN46-$I46)))))</f>
        <v/>
      </c>
      <c r="BP46" s="68">
        <f>IF($U46=0,0,IF($F46=4,0,IF($F46=3,0,IF(OR(23&gt;$R46,BO46&lt;=$I46),BO46,BO46-MIN(INT(ROUND(IF($F46=1,$C46*$J46,IF(FN46&gt;0,FN46*$K46,BO46*$J46))*IF(23=$R46,$S46,12)/12,6)+$B$4),BO46-$I46)))))</f>
        <v/>
      </c>
      <c r="BQ46" s="68">
        <f>IF($U46=0,0,IF($F46=4,0,IF($F46=3,0,IF(OR(24&gt;$R46,BP46&lt;=$I46),BP46,BP46-MIN(INT(ROUND(IF($F46=1,$C46*$J46,IF(FO46&gt;0,FO46*$K46,BP46*$J46))*IF(24=$R46,$S46,12)/12,6)+$B$4),BP46-$I46)))))</f>
        <v/>
      </c>
      <c r="BR46" s="68">
        <f>IF($U46=0,0,IF($F46=4,0,IF($F46=3,0,IF(OR(25&gt;$R46,BQ46&lt;=$I46),BQ46,BQ46-MIN(INT(ROUND(IF($F46=1,$C46*$J46,IF(FP46&gt;0,FP46*$K46,BQ46*$J46))*IF(25=$R46,$S46,12)/12,6)+$B$4),BQ46-$I46)))))</f>
        <v/>
      </c>
      <c r="BS46" s="68">
        <f>IF($U46=0,0,IF($F46=4,0,IF($F46=3,0,IF(OR(26&gt;$R46,BR46&lt;=$I46),BR46,BR46-MIN(INT(ROUND(IF($F46=1,$C46*$J46,IF(FQ46&gt;0,FQ46*$K46,BR46*$J46))*IF(26=$R46,$S46,12)/12,6)+$B$4),BR46-$I46)))))</f>
        <v/>
      </c>
      <c r="BT46" s="68">
        <f>IF($U46=0,0,IF($F46=4,0,IF($F46=3,0,IF(OR(27&gt;$R46,BS46&lt;=$I46),BS46,BS46-MIN(INT(ROUND(IF($F46=1,$C46*$J46,IF(FR46&gt;0,FR46*$K46,BS46*$J46))*IF(27=$R46,$S46,12)/12,6)+$B$4),BS46-$I46)))))</f>
        <v/>
      </c>
      <c r="BU46" s="68">
        <f>IF($U46=0,0,IF($F46=4,0,IF($F46=3,0,IF(OR(28&gt;$R46,BT46&lt;=$I46),BT46,BT46-MIN(INT(ROUND(IF($F46=1,$C46*$J46,IF(FS46&gt;0,FS46*$K46,BT46*$J46))*IF(28=$R46,$S46,12)/12,6)+$B$4),BT46-$I46)))))</f>
        <v/>
      </c>
      <c r="BV46" s="68">
        <f>IF($U46=0,0,IF($F46=4,0,IF($F46=3,0,IF(OR(29&gt;$R46,BU46&lt;=$I46),BU46,BU46-MIN(INT(ROUND(IF($F46=1,$C46*$J46,IF(FT46&gt;0,FT46*$K46,BU46*$J46))*IF(29=$R46,$S46,12)/12,6)+$B$4),BU46-$I46)))))</f>
        <v/>
      </c>
      <c r="BW46" s="68">
        <f>IF($U46=0,0,IF($F46=4,0,IF($F46=3,0,IF(OR(30&gt;$R46,BV46&lt;=$I46),BV46,BV46-MIN(INT(ROUND(IF($F46=1,$C46*$J46,IF(FU46&gt;0,FU46*$K46,BV46*$J46))*IF(30=$R46,$S46,12)/12,6)+$B$4),BV46-$I46)))))</f>
        <v/>
      </c>
      <c r="BX46" s="68">
        <f>IF($U46=0,0,IF($F46=4,0,IF($F46=3,0,IF(OR(31&gt;$R46,BW46&lt;=$I46),BW46,BW46-MIN(INT(ROUND(IF($F46=1,$C46*$J46,IF(FV46&gt;0,FV46*$K46,BW46*$J46))*IF(31=$R46,$S46,12)/12,6)+$B$4),BW46-$I46)))))</f>
        <v/>
      </c>
      <c r="BY46" s="68">
        <f>IF($U46=0,0,IF($F46=4,0,IF($F46=3,0,IF(OR(32&gt;$R46,BX46&lt;=$I46),BX46,BX46-MIN(INT(ROUND(IF($F46=1,$C46*$J46,IF(FW46&gt;0,FW46*$K46,BX46*$J46))*IF(32=$R46,$S46,12)/12,6)+$B$4),BX46-$I46)))))</f>
        <v/>
      </c>
      <c r="BZ46" s="68">
        <f>IF($U46=0,0,IF($F46=4,0,IF($F46=3,0,IF(OR(33&gt;$R46,BY46&lt;=$I46),BY46,BY46-MIN(INT(ROUND(IF($F46=1,$C46*$J46,IF(FX46&gt;0,FX46*$K46,BY46*$J46))*IF(33=$R46,$S46,12)/12,6)+$B$4),BY46-$I46)))))</f>
        <v/>
      </c>
      <c r="CA46" s="68">
        <f>IF($U46=0,0,IF($F46=4,0,IF($F46=3,0,IF(OR(34&gt;$R46,BZ46&lt;=$I46),BZ46,BZ46-MIN(INT(ROUND(IF($F46=1,$C46*$J46,IF(FY46&gt;0,FY46*$K46,BZ46*$J46))*IF(34=$R46,$S46,12)/12,6)+$B$4),BZ46-$I46)))))</f>
        <v/>
      </c>
      <c r="CB46" s="68">
        <f>IF($U46=0,0,IF($F46=4,0,IF($F46=3,0,IF(OR(35&gt;$R46,CA46&lt;=$I46),CA46,CA46-MIN(INT(ROUND(IF($F46=1,$C46*$J46,IF(FZ46&gt;0,FZ46*$K46,CA46*$J46))*IF(35=$R46,$S46,12)/12,6)+$B$4),CA46-$I46)))))</f>
        <v/>
      </c>
      <c r="CC46" s="68">
        <f>IF($U46=0,0,IF($F46=4,0,IF($F46=3,0,IF(OR(36&gt;$R46,CB46&lt;=$I46),CB46,CB46-MIN(INT(ROUND(IF($F46=1,$C46*$J46,IF(GA46&gt;0,GA46*$K46,CB46*$J46))*IF(36=$R46,$S46,12)/12,6)+$B$4),CB46-$I46)))))</f>
        <v/>
      </c>
      <c r="CD46" s="68">
        <f>IF($U46=0,0,IF($F46=4,0,IF($F46=3,0,IF(OR(37&gt;$R46,CC46&lt;=$I46),CC46,CC46-MIN(INT(ROUND(IF($F46=1,$C46*$J46,IF(GB46&gt;0,GB46*$K46,CC46*$J46))*IF(37=$R46,$S46,12)/12,6)+$B$4),CC46-$I46)))))</f>
        <v/>
      </c>
      <c r="CE46" s="68">
        <f>IF($U46=0,0,IF($F46=4,0,IF($F46=3,0,IF(OR(38&gt;$R46,CD46&lt;=$I46),CD46,CD46-MIN(INT(ROUND(IF($F46=1,$C46*$J46,IF(GC46&gt;0,GC46*$K46,CD46*$J46))*IF(38=$R46,$S46,12)/12,6)+$B$4),CD46-$I46)))))</f>
        <v/>
      </c>
      <c r="CF46" s="68">
        <f>IF($U46=0,0,IF($F46=4,0,IF($F46=3,0,IF(OR(39&gt;$R46,CE46&lt;=$I46),CE46,CE46-MIN(INT(ROUND(IF($F46=1,$C46*$J46,IF(GD46&gt;0,GD46*$K46,CE46*$J46))*IF(39=$R46,$S46,12)/12,6)+$B$4),CE46-$I46)))))</f>
        <v/>
      </c>
      <c r="CG46" s="68">
        <f>IF($U46=0,0,IF($F46=4,0,IF($F46=3,0,IF(OR(40&gt;$R46,CF46&lt;=$I46),CF46,CF46-MIN(INT(ROUND(IF($F46=1,$C46*$J46,IF(GE46&gt;0,GE46*$K46,CF46*$J46))*IF(40=$R46,$S46,12)/12,6)+$B$4),CF46-$I46)))))</f>
        <v/>
      </c>
      <c r="CH46" s="68">
        <f>IF($U46=0,0,IF($F46=4,0,IF($F46=3,0,IF(OR(41&gt;$R46,CG46&lt;=$I46),CG46,CG46-MIN(INT(ROUND(IF($F46=1,$C46*$J46,IF(GF46&gt;0,GF46*$K46,CG46*$J46))*IF(41=$R46,$S46,12)/12,6)+$B$4),CG46-$I46)))))</f>
        <v/>
      </c>
      <c r="CI46" s="68">
        <f>IF($U46=0,0,IF($F46=4,0,IF($F46=3,0,IF(OR(42&gt;$R46,CH46&lt;=$I46),CH46,CH46-MIN(INT(ROUND(IF($F46=1,$C46*$J46,IF(GG46&gt;0,GG46*$K46,CH46*$J46))*IF(42=$R46,$S46,12)/12,6)+$B$4),CH46-$I46)))))</f>
        <v/>
      </c>
      <c r="CJ46" s="68">
        <f>IF($U46=0,0,IF($F46=4,0,IF($F46=3,0,IF(OR(43&gt;$R46,CI46&lt;=$I46),CI46,CI46-MIN(INT(ROUND(IF($F46=1,$C46*$J46,IF(GH46&gt;0,GH46*$K46,CI46*$J46))*IF(43=$R46,$S46,12)/12,6)+$B$4),CI46-$I46)))))</f>
        <v/>
      </c>
      <c r="CK46" s="68">
        <f>IF($U46=0,0,IF($F46=4,0,IF($F46=3,0,IF(OR(44&gt;$R46,CJ46&lt;=$I46),CJ46,CJ46-MIN(INT(ROUND(IF($F46=1,$C46*$J46,IF(GI46&gt;0,GI46*$K46,CJ46*$J46))*IF(44=$R46,$S46,12)/12,6)+$B$4),CJ46-$I46)))))</f>
        <v/>
      </c>
      <c r="CL46" s="68">
        <f>IF($U46=0,0,IF($F46=4,0,IF($F46=3,0,IF(OR(45&gt;$R46,CK46&lt;=$I46),CK46,CK46-MIN(INT(ROUND(IF($F46=1,$C46*$J46,IF(GJ46&gt;0,GJ46*$K46,CK46*$J46))*IF(45=$R46,$S46,12)/12,6)+$B$4),CK46-$I46)))))</f>
        <v/>
      </c>
      <c r="CM46" s="68">
        <f>IF($U46=0,0,IF($F46=4,0,IF($F46=3,0,IF(OR(46&gt;$R46,CL46&lt;=$I46),CL46,CL46-MIN(INT(ROUND(IF($F46=1,$C46*$J46,IF(GK46&gt;0,GK46*$K46,CL46*$J46))*IF(46=$R46,$S46,12)/12,6)+$B$4),CL46-$I46)))))</f>
        <v/>
      </c>
      <c r="CN46" s="68">
        <f>IF($U46=0,0,IF($F46=4,0,IF($F46=3,0,IF(OR(47&gt;$R46,CM46&lt;=$I46),CM46,CM46-MIN(INT(ROUND(IF($F46=1,$C46*$J46,IF(GL46&gt;0,GL46*$K46,CM46*$J46))*IF(47=$R46,$S46,12)/12,6)+$B$4),CM46-$I46)))))</f>
        <v/>
      </c>
      <c r="CO46" s="68">
        <f>IF($U46=0,0,IF($F46=4,0,IF($F46=3,0,IF(OR(48&gt;$R46,CN46&lt;=$I46),CN46,CN46-MIN(INT(ROUND(IF($F46=1,$C46*$J46,IF(GM46&gt;0,GM46*$K46,CN46*$J46))*IF(48=$R46,$S46,12)/12,6)+$B$4),CN46-$I46)))))</f>
        <v/>
      </c>
      <c r="CP46" s="68">
        <f>IF($U46=0,0,IF($F46=4,0,IF($F46=3,0,IF(OR(49&gt;$R46,CO46&lt;=$I46),CO46,CO46-MIN(INT(ROUND(IF($F46=1,$C46*$J46,IF(GN46&gt;0,GN46*$K46,CO46*$J46))*IF(49=$R46,$S46,12)/12,6)+$B$4),CO46-$I46)))))</f>
        <v/>
      </c>
      <c r="CQ46" s="68">
        <f>IF($U46=0,0,IF($F46=4,0,IF($F46=3,0,IF(OR(50&gt;$R46,CP46&lt;=$I46),CP46,CP46-MIN(INT(ROUND(IF($F46=1,$C46*$J46,IF(GO46&gt;0,GO46*$K46,CP46*$J46))*IF(50=$R46,$S46,12)/12,6)+$B$4),CP46-$I46)))))</f>
        <v/>
      </c>
      <c r="CR46" s="68">
        <f>IF($U46=0,0,IF($F46=4,0,IF($F46=3,0,IF(OR(51&gt;$R46,CQ46&lt;=$I46),CQ46,CQ46-MIN(INT(ROUND(IF($F46=1,$C46*$J46,IF(GP46&gt;0,GP46*$K46,CQ46*$J46))*IF(51=$R46,$S46,12)/12,6)+$B$4),CQ46-$I46)))))</f>
        <v/>
      </c>
      <c r="CS46" s="68">
        <f>IF($U46=0,0,IF($F46=4,0,IF($F46=3,0,IF(OR(52&gt;$R46,CR46&lt;=$I46),CR46,CR46-MIN(INT(ROUND(IF($F46=1,$C46*$J46,IF(GQ46&gt;0,GQ46*$K46,CR46*$J46))*IF(52=$R46,$S46,12)/12,6)+$B$4),CR46-$I46)))))</f>
        <v/>
      </c>
      <c r="CT46" s="68">
        <f>IF($U46=0,0,IF($F46=4,0,IF($F46=3,0,IF(OR(53&gt;$R46,CS46&lt;=$I46),CS46,CS46-MIN(INT(ROUND(IF($F46=1,$C46*$J46,IF(GR46&gt;0,GR46*$K46,CS46*$J46))*IF(53=$R46,$S46,12)/12,6)+$B$4),CS46-$I46)))))</f>
        <v/>
      </c>
      <c r="CU46" s="68">
        <f>IF($U46=0,0,IF($F46=4,0,IF($F46=3,0,IF(OR(54&gt;$R46,CT46&lt;=$I46),CT46,CT46-MIN(INT(ROUND(IF($F46=1,$C46*$J46,IF(GS46&gt;0,GS46*$K46,CT46*$J46))*IF(54=$R46,$S46,12)/12,6)+$B$4),CT46-$I46)))))</f>
        <v/>
      </c>
      <c r="CV46" s="68">
        <f>IF($U46=0,0,IF($F46=4,0,IF($F46=3,0,IF(OR(55&gt;$R46,CU46&lt;=$I46),CU46,CU46-MIN(INT(ROUND(IF($F46=1,$C46*$J46,IF(GT46&gt;0,GT46*$K46,CU46*$J46))*IF(55=$R46,$S46,12)/12,6)+$B$4),CU46-$I46)))))</f>
        <v/>
      </c>
      <c r="CW46" s="68">
        <f>IF($U46=0,0,IF($F46=4,0,IF($F46=3,0,IF(OR(56&gt;$R46,CV46&lt;=$I46),CV46,CV46-MIN(INT(ROUND(IF($F46=1,$C46*$J46,IF(GU46&gt;0,GU46*$K46,CV46*$J46))*IF(56=$R46,$S46,12)/12,6)+$B$4),CV46-$I46)))))</f>
        <v/>
      </c>
      <c r="CX46" s="68">
        <f>IF($U46=0,0,IF($F46=4,0,IF($F46=3,0,IF(OR(57&gt;$R46,CW46&lt;=$I46),CW46,CW46-MIN(INT(ROUND(IF($F46=1,$C46*$J46,IF(GV46&gt;0,GV46*$K46,CW46*$J46))*IF(57=$R46,$S46,12)/12,6)+$B$4),CW46-$I46)))))</f>
        <v/>
      </c>
      <c r="CY46" s="68">
        <f>IF($U46=0,0,IF($F46=4,0,IF($F46=3,0,IF(OR(58&gt;$R46,CX46&lt;=$I46),CX46,CX46-MIN(INT(ROUND(IF($F46=1,$C46*$J46,IF(GW46&gt;0,GW46*$K46,CX46*$J46))*IF(58=$R46,$S46,12)/12,6)+$B$4),CX46-$I46)))))</f>
        <v/>
      </c>
      <c r="CZ46" s="68">
        <f>IF($U46=0,0,IF($F46=4,0,IF($F46=3,0,IF(OR(59&gt;$R46,CY46&lt;=$I46),CY46,CY46-MIN(INT(ROUND(IF($F46=1,$C46*$J46,IF(GX46&gt;0,GX46*$K46,CY46*$J46))*IF(59=$R46,$S46,12)/12,6)+$B$4),CY46-$I46)))))</f>
        <v/>
      </c>
      <c r="DA46" s="68">
        <f>IF($U46=0,0,IF($F46=4,0,IF($F46=3,0,IF(OR(60&gt;$R46,CZ46&lt;=$I46),CZ46,CZ46-MIN(INT(ROUND(IF($F46=1,$C46*$J46,IF(GY46&gt;0,GY46*$K46,CZ46*$J46))*IF(60=$R46,$S46,12)/12,6)+$B$4),CZ46-$I46)))))</f>
        <v/>
      </c>
      <c r="DB46" s="68">
        <f>IF($U46=0,0,IF($F46=4,0,IF($F46=3,0,IF(OR(61&gt;$R46,DA46&lt;=$I46),DA46,DA46-MIN(INT(ROUND(IF($F46=1,$C46*$J46,IF(GZ46&gt;0,GZ46*$K46,DA46*$J46))*IF(61=$R46,$S46,12)/12,6)+$B$4),DA46-$I46)))))</f>
        <v/>
      </c>
      <c r="DC46" s="68">
        <f>IF($U46=0,0,IF($F46=4,0,IF($F46=3,0,IF(OR(62&gt;$R46,DB46&lt;=$I46),DB46,DB46-MIN(INT(ROUND(IF($F46=1,$C46*$J46,IF(HA46&gt;0,HA46*$K46,DB46*$J46))*IF(62=$R46,$S46,12)/12,6)+$B$4),DB46-$I46)))))</f>
        <v/>
      </c>
      <c r="DD46" s="68">
        <f>IF($U46=0,0,IF($F46=4,0,IF($F46=3,0,IF(OR(63&gt;$R46,DC46&lt;=$I46),DC46,DC46-MIN(INT(ROUND(IF($F46=1,$C46*$J46,IF(HB46&gt;0,HB46*$K46,DC46*$J46))*IF(63=$R46,$S46,12)/12,6)+$B$4),DC46-$I46)))))</f>
        <v/>
      </c>
      <c r="DE46" s="68">
        <f>IF($U46=0,0,IF($F46=4,0,IF($F46=3,0,IF(OR(64&gt;$R46,DD46&lt;=$I46),DD46,DD46-MIN(INT(ROUND(IF($F46=1,$C46*$J46,IF(HC46&gt;0,HC46*$K46,DD46*$J46))*IF(64=$R46,$S46,12)/12,6)+$B$4),DD46-$I46)))))</f>
        <v/>
      </c>
      <c r="DF46" s="68">
        <f>IF($U46=0,0,IF($F46=4,0,IF($F46=3,0,IF(OR(65&gt;$R46,DE46&lt;=$I46),DE46,DE46-MIN(INT(ROUND(IF($F46=1,$C46*$J46,IF(HD46&gt;0,HD46*$K46,DE46*$J46))*IF(65=$R46,$S46,12)/12,6)+$B$4),DE46-$I46)))))</f>
        <v/>
      </c>
      <c r="DG46" s="68">
        <f>IF($U46=0,0,IF($F46=4,0,IF($F46=3,0,IF(OR(66&gt;$R46,DF46&lt;=$I46),DF46,DF46-MIN(INT(ROUND(IF($F46=1,$C46*$J46,IF(HE46&gt;0,HE46*$K46,DF46*$J46))*IF(66=$R46,$S46,12)/12,6)+$B$4),DF46-$I46)))))</f>
        <v/>
      </c>
      <c r="DH46" s="68">
        <f>IF($U46=0,0,IF($F46=4,0,IF($F46=3,0,IF(OR(67&gt;$R46,DG46&lt;=$I46),DG46,DG46-MIN(INT(ROUND(IF($F46=1,$C46*$J46,IF(HF46&gt;0,HF46*$K46,DG46*$J46))*IF(67=$R46,$S46,12)/12,6)+$B$4),DG46-$I46)))))</f>
        <v/>
      </c>
      <c r="DI46" s="68">
        <f>IF($U46=0,0,IF($F46=4,0,IF($F46=3,0,IF(OR(68&gt;$R46,DH46&lt;=$I46),DH46,DH46-MIN(INT(ROUND(IF($F46=1,$C46*$J46,IF(HG46&gt;0,HG46*$K46,DH46*$J46))*IF(68=$R46,$S46,12)/12,6)+$B$4),DH46-$I46)))))</f>
        <v/>
      </c>
      <c r="DJ46" s="68">
        <f>IF($U46=0,0,IF($F46=4,0,IF($F46=3,0,IF(OR(69&gt;$R46,DI46&lt;=$I46),DI46,DI46-MIN(INT(ROUND(IF($F46=1,$C46*$J46,IF(HH46&gt;0,HH46*$K46,DI46*$J46))*IF(69=$R46,$S46,12)/12,6)+$B$4),DI46-$I46)))))</f>
        <v/>
      </c>
      <c r="DK46" s="68">
        <f>IF($U46=0,0,IF($F46=4,0,IF($F46=3,0,IF(OR(70&gt;$R46,DJ46&lt;=$I46),DJ46,DJ46-MIN(INT(ROUND(IF($F46=1,$C46*$J46,IF(HI46&gt;0,HI46*$K46,DJ46*$J46))*IF(70=$R46,$S46,12)/12,6)+$B$4),DJ46-$I46)))))</f>
        <v/>
      </c>
      <c r="DL46" s="68">
        <f>IF($U46=0,0,IF($F46=4,0,IF($F46=3,0,IF(OR(71&gt;$R46,DK46&lt;=$I46),DK46,DK46-MIN(INT(ROUND(IF($F46=1,$C46*$J46,IF(HJ46&gt;0,HJ46*$K46,DK46*$J46))*IF(71=$R46,$S46,12)/12,6)+$B$4),DK46-$I46)))))</f>
        <v/>
      </c>
      <c r="DM46" s="68">
        <f>IF($U46=0,0,IF($F46=4,0,IF($F46=3,0,IF(OR(72&gt;$R46,DL46&lt;=$I46),DL46,DL46-MIN(INT(ROUND(IF($F46=1,$C46*$J46,IF(HK46&gt;0,HK46*$K46,DL46*$J46))*IF(72=$R46,$S46,12)/12,6)+$B$4),DL46-$I46)))))</f>
        <v/>
      </c>
      <c r="DN46" s="68">
        <f>IF($U46=0,0,IF($F46=4,0,IF($F46=3,0,IF(OR(73&gt;$R46,DM46&lt;=$I46),DM46,DM46-MIN(INT(ROUND(IF($F46=1,$C46*$J46,IF(HL46&gt;0,HL46*$K46,DM46*$J46))*IF(73=$R46,$S46,12)/12,6)+$B$4),DM46-$I46)))))</f>
        <v/>
      </c>
      <c r="DO46" s="68">
        <f>IF($U46=0,0,IF($F46=4,0,IF($F46=3,0,IF(OR(74&gt;$R46,DN46&lt;=$I46),DN46,DN46-MIN(INT(ROUND(IF($F46=1,$C46*$J46,IF(HM46&gt;0,HM46*$K46,DN46*$J46))*IF(74=$R46,$S46,12)/12,6)+$B$4),DN46-$I46)))))</f>
        <v/>
      </c>
      <c r="DP46" s="68">
        <f>IF($U46=0,0,IF($F46=4,0,IF($F46=3,0,IF(OR(75&gt;$R46,DO46&lt;=$I46),DO46,DO46-MIN(INT(ROUND(IF($F46=1,$C46*$J46,IF(HN46&gt;0,HN46*$K46,DO46*$J46))*IF(75=$R46,$S46,12)/12,6)+$B$4),DO46-$I46)))))</f>
        <v/>
      </c>
      <c r="DQ46" s="68">
        <f>IF($U46=0,0,IF($F46=4,0,IF($F46=3,0,IF(OR(76&gt;$R46,DP46&lt;=$I46),DP46,DP46-MIN(INT(ROUND(IF($F46=1,$C46*$J46,IF(HO46&gt;0,HO46*$K46,DP46*$J46))*IF(76=$R46,$S46,12)/12,6)+$B$4),DP46-$I46)))))</f>
        <v/>
      </c>
      <c r="DR46" s="68">
        <f>IF($U46=0,0,IF($F46=4,0,IF($F46=3,0,IF(OR(77&gt;$R46,DQ46&lt;=$I46),DQ46,DQ46-MIN(INT(ROUND(IF($F46=1,$C46*$J46,IF(HP46&gt;0,HP46*$K46,DQ46*$J46))*IF(77=$R46,$S46,12)/12,6)+$B$4),DQ46-$I46)))))</f>
        <v/>
      </c>
      <c r="DS46" s="68">
        <f>IF($U46=0,0,IF($F46=4,0,IF($F46=3,0,IF(OR(78&gt;$R46,DR46&lt;=$I46),DR46,DR46-MIN(INT(ROUND(IF($F46=1,$C46*$J46,IF(HQ46&gt;0,HQ46*$K46,DR46*$J46))*IF(78=$R46,$S46,12)/12,6)+$B$4),DR46-$I46)))))</f>
        <v/>
      </c>
      <c r="DT46" s="68">
        <f>IF($U46=0,0,IF($F46=4,0,IF($F46=3,0,IF(OR(79&gt;$R46,DS46&lt;=$I46),DS46,DS46-MIN(INT(ROUND(IF($F46=1,$C46*$J46,IF(HR46&gt;0,HR46*$K46,DS46*$J46))*IF(79=$R46,$S46,12)/12,6)+$B$4),DS46-$I46)))))</f>
        <v/>
      </c>
      <c r="DU46" s="68">
        <f>IF($U46=0,0,IF($F46=4,0,IF($F46=3,0,IF(OR(80&gt;$R46,DT46&lt;=$I46),DT46,DT46-MIN(INT(ROUND(IF($F46=1,$C46*$J46,IF(HS46&gt;0,HS46*$K46,DT46*$J46))*IF(80=$R46,$S46,12)/12,6)+$B$4),DT46-$I46)))))</f>
        <v/>
      </c>
      <c r="DV46" s="68">
        <f>IF($U46=0,0,IF($F46=4,0,IF($F46=3,0,IF(OR(81&gt;$R46,DU46&lt;=$I46),DU46,DU46-MIN(INT(ROUND(IF($F46=1,$C46*$J46,IF(HT46&gt;0,HT46*$K46,DU46*$J46))*IF(81=$R46,$S46,12)/12,6)+$B$4),DU46-$I46)))))</f>
        <v/>
      </c>
      <c r="DW46" s="68">
        <f>IF($U46=0,0,IF($F46=4,0,IF($F46=3,0,IF(OR(82&gt;$R46,DV46&lt;=$I46),DV46,DV46-MIN(INT(ROUND(IF($F46=1,$C46*$J46,IF(HU46&gt;0,HU46*$K46,DV46*$J46))*IF(82=$R46,$S46,12)/12,6)+$B$4),DV46-$I46)))))</f>
        <v/>
      </c>
      <c r="DX46" s="68">
        <f>IF($U46=0,0,IF($F46=4,0,IF($F46=3,0,IF(OR(83&gt;$R46,DW46&lt;=$I46),DW46,DW46-MIN(INT(ROUND(IF($F46=1,$C46*$J46,IF(HV46&gt;0,HV46*$K46,DW46*$J46))*IF(83=$R46,$S46,12)/12,6)+$B$4),DW46-$I46)))))</f>
        <v/>
      </c>
      <c r="DY46" s="68">
        <f>IF($U46=0,0,IF($F46=4,0,IF($F46=3,0,IF(OR(84&gt;$R46,DX46&lt;=$I46),DX46,DX46-MIN(INT(ROUND(IF($F46=1,$C46*$J46,IF(HW46&gt;0,HW46*$K46,DX46*$J46))*IF(84=$R46,$S46,12)/12,6)+$B$4),DX46-$I46)))))</f>
        <v/>
      </c>
      <c r="DZ46" s="68">
        <f>IF($U46=0,0,IF($F46=4,0,IF($F46=3,0,IF(OR(85&gt;$R46,DY46&lt;=$I46),DY46,DY46-MIN(INT(ROUND(IF($F46=1,$C46*$J46,IF(HX46&gt;0,HX46*$K46,DY46*$J46))*IF(85=$R46,$S46,12)/12,6)+$B$4),DY46-$I46)))))</f>
        <v/>
      </c>
      <c r="EA46" s="68">
        <f>IF($U46=0,0,IF($F46=4,0,IF($F46=3,0,IF(OR(86&gt;$R46,DZ46&lt;=$I46),DZ46,DZ46-MIN(INT(ROUND(IF($F46=1,$C46*$J46,IF(HY46&gt;0,HY46*$K46,DZ46*$J46))*IF(86=$R46,$S46,12)/12,6)+$B$4),DZ46-$I46)))))</f>
        <v/>
      </c>
      <c r="EB46" s="68">
        <f>IF($U46=0,0,IF($F46=4,0,IF($F46=3,0,IF(OR(87&gt;$R46,EA46&lt;=$I46),EA46,EA46-MIN(INT(ROUND(IF($F46=1,$C46*$J46,IF(HZ46&gt;0,HZ46*$K46,EA46*$J46))*IF(87=$R46,$S46,12)/12,6)+$B$4),EA46-$I46)))))</f>
        <v/>
      </c>
      <c r="EC46" s="68">
        <f>IF($U46=0,0,IF($F46=4,0,IF($F46=3,0,IF(OR(88&gt;$R46,EB46&lt;=$I46),EB46,EB46-MIN(INT(ROUND(IF($F46=1,$C46*$J46,IF(IA46&gt;0,IA46*$K46,EB46*$J46))*IF(88=$R46,$S46,12)/12,6)+$B$4),EB46-$I46)))))</f>
        <v/>
      </c>
      <c r="ED46" s="68">
        <f>IF($U46=0,0,IF($F46=4,0,IF($F46=3,0,IF(OR(89&gt;$R46,EC46&lt;=$I46),EC46,EC46-MIN(INT(ROUND(IF($F46=1,$C46*$J46,IF(IB46&gt;0,IB46*$K46,EC46*$J46))*IF(89=$R46,$S46,12)/12,6)+$B$4),EC46-$I46)))))</f>
        <v/>
      </c>
      <c r="EE46" s="68">
        <f>IF($U46=0,0,IF($F46=4,0,IF($F46=3,0,IF(OR(90&gt;$R46,ED46&lt;=$I46),ED46,ED46-MIN(INT(ROUND(IF($F46=1,$C46*$J46,IF(IC46&gt;0,IC46*$K46,ED46*$J46))*IF(90=$R46,$S46,12)/12,6)+$B$4),ED46-$I46)))))</f>
        <v/>
      </c>
      <c r="EF46" s="68">
        <f>IF($U46=0,0,IF($F46=4,0,IF($F46=3,0,IF(OR(91&gt;$R46,EE46&lt;=$I46),EE46,EE46-MIN(INT(ROUND(IF($F46=1,$C46*$J46,IF(ID46&gt;0,ID46*$K46,EE46*$J46))*IF(91=$R46,$S46,12)/12,6)+$B$4),EE46-$I46)))))</f>
        <v/>
      </c>
      <c r="EG46" s="68">
        <f>IF($U46=0,0,IF($F46=4,0,IF($F46=3,0,IF(OR(92&gt;$R46,EF46&lt;=$I46),EF46,EF46-MIN(INT(ROUND(IF($F46=1,$C46*$J46,IF(IE46&gt;0,IE46*$K46,EF46*$J46))*IF(92=$R46,$S46,12)/12,6)+$B$4),EF46-$I46)))))</f>
        <v/>
      </c>
      <c r="EH46" s="68">
        <f>IF($U46=0,0,IF($F46=4,0,IF($F46=3,0,IF(OR(93&gt;$R46,EG46&lt;=$I46),EG46,EG46-MIN(INT(ROUND(IF($F46=1,$C46*$J46,IF(IF46&gt;0,IF46*$K46,EG46*$J46))*IF(93=$R46,$S46,12)/12,6)+$B$4),EG46-$I46)))))</f>
        <v/>
      </c>
      <c r="EI46" s="68">
        <f>IF($U46=0,0,IF($F46=4,0,IF($F46=3,0,IF(OR(94&gt;$R46,EH46&lt;=$I46),EH46,EH46-MIN(INT(ROUND(IF($F46=1,$C46*$J46,IF(IG46&gt;0,IG46*$K46,EH46*$J46))*IF(94=$R46,$S46,12)/12,6)+$B$4),EH46-$I46)))))</f>
        <v/>
      </c>
      <c r="EJ46" s="68">
        <f>IF($U46=0,0,IF($F46=4,0,IF($F46=3,0,IF(OR(95&gt;$R46,EI46&lt;=$I46),EI46,EI46-MIN(INT(ROUND(IF($F46=1,$C46*$J46,IF(IH46&gt;0,IH46*$K46,EI46*$J46))*IF(95=$R46,$S46,12)/12,6)+$B$4),EI46-$I46)))))</f>
        <v/>
      </c>
      <c r="EK46" s="68">
        <f>IF($U46=0,0,IF($F46=4,0,IF($F46=3,0,IF(OR(96&gt;$R46,EJ46&lt;=$I46),EJ46,EJ46-MIN(INT(ROUND(IF($F46=1,$C46*$J46,IF(II46&gt;0,II46*$K46,EJ46*$J46))*IF(96=$R46,$S46,12)/12,6)+$B$4),EJ46-$I46)))))</f>
        <v/>
      </c>
      <c r="EL46" s="68">
        <f>IF($U46=0,0,IF($F46=4,0,IF($F46=3,0,IF(OR(97&gt;$R46,EK46&lt;=$I46),EK46,EK46-MIN(INT(ROUND(IF($F46=1,$C46*$J46,IF(IJ46&gt;0,IJ46*$K46,EK46*$J46))*IF(97=$R46,$S46,12)/12,6)+$B$4),EK46-$I46)))))</f>
        <v/>
      </c>
      <c r="EM46" s="68">
        <f>IF($U46=0,0,IF($F46=4,0,IF($F46=3,0,IF(OR(98&gt;$R46,EL46&lt;=$I46),EL46,EL46-MIN(INT(ROUND(IF($F46=1,$C46*$J46,IF(IK46&gt;0,IK46*$K46,EL46*$J46))*IF(98=$R46,$S46,12)/12,6)+$B$4),EL46-$I46)))))</f>
        <v/>
      </c>
      <c r="EN46" s="68">
        <f>IF($U46=0,0,IF($F46=4,0,IF($F46=3,0,IF(OR(99&gt;$R46,EM46&lt;=$I46),EM46,EM46-MIN(INT(ROUND(IF($F46=1,$C46*$J46,IF(IL46&gt;0,IL46*$K46,EM46*$J46))*IF(99=$R46,$S46,12)/12,6)+$B$4),EM46-$I46)))))</f>
        <v/>
      </c>
      <c r="EO46" s="68">
        <f>IF($U46=0,0,IF($F46=4,0,IF($F46=3,0,IF(OR(100&gt;$R46,EN46&lt;=$I46),EN46,EN46-MIN(INT(ROUND(IF($F46=1,$C46*$J46,IF(IM46&gt;0,IM46*$K46,EN46*$J46))*IF(100=$R46,$S46,12)/12,6)+$B$4),EN46-$I46)))))</f>
        <v/>
      </c>
      <c r="EP46" s="68">
        <f>IF($U46=0,0,IF($F46=4,0,IF($F46=3,0,IF(OR(101&gt;$R46,EO46&lt;=$I46),EO46,EO46-MIN(INT(ROUND(IF($F46=1,$C46*$J46,IF(IN46&gt;0,IN46*$K46,EO46*$J46))*IF(101=$R46,$S46,12)/12,6)+$B$4),EO46-$I46)))))</f>
        <v/>
      </c>
      <c r="EQ46" s="68" t="n"/>
      <c r="ER46" s="68">
        <f>IF(OR($U46=0,$F46&lt;&gt;2),0,IF(ROUND(AS46*$J46,6)&lt;ROUND($M46,6),AS46,0))</f>
        <v/>
      </c>
      <c r="ES46" s="68">
        <f>IF(OR($U46=0,$F46&lt;&gt;2),0,IF(ER46&gt;0,ER46,IF(ROUND(AT46*$J46,6)&lt;ROUND($M46,6),AT46,0)))</f>
        <v/>
      </c>
      <c r="ET46" s="68">
        <f>IF(OR($U46=0,$F46&lt;&gt;2),0,IF(ES46&gt;0,ES46,IF(ROUND(AU46*$J46,6)&lt;ROUND($M46,6),AU46,0)))</f>
        <v/>
      </c>
      <c r="EU46" s="68">
        <f>IF(OR($U46=0,$F46&lt;&gt;2),0,IF(ET46&gt;0,ET46,IF(ROUND(AV46*$J46,6)&lt;ROUND($M46,6),AV46,0)))</f>
        <v/>
      </c>
      <c r="EV46" s="68">
        <f>IF(OR($U46=0,$F46&lt;&gt;2),0,IF(EU46&gt;0,EU46,IF(ROUND(AW46*$J46,6)&lt;ROUND($M46,6),AW46,0)))</f>
        <v/>
      </c>
      <c r="EW46" s="68">
        <f>IF(OR($U46=0,$F46&lt;&gt;2),0,IF(EV46&gt;0,EV46,IF(ROUND(AX46*$J46,6)&lt;ROUND($M46,6),AX46,0)))</f>
        <v/>
      </c>
      <c r="EX46" s="68">
        <f>IF(OR($U46=0,$F46&lt;&gt;2),0,IF(EW46&gt;0,EW46,IF(ROUND(AY46*$J46,6)&lt;ROUND($M46,6),AY46,0)))</f>
        <v/>
      </c>
      <c r="EY46" s="68">
        <f>IF(OR($U46=0,$F46&lt;&gt;2),0,IF(EX46&gt;0,EX46,IF(ROUND(AZ46*$J46,6)&lt;ROUND($M46,6),AZ46,0)))</f>
        <v/>
      </c>
      <c r="EZ46" s="68">
        <f>IF(OR($U46=0,$F46&lt;&gt;2),0,IF(EY46&gt;0,EY46,IF(ROUND(BA46*$J46,6)&lt;ROUND($M46,6),BA46,0)))</f>
        <v/>
      </c>
      <c r="FA46" s="68">
        <f>IF(OR($U46=0,$F46&lt;&gt;2),0,IF(EZ46&gt;0,EZ46,IF(ROUND(BB46*$J46,6)&lt;ROUND($M46,6),BB46,0)))</f>
        <v/>
      </c>
      <c r="FB46" s="68">
        <f>IF(OR($U46=0,$F46&lt;&gt;2),0,IF(FA46&gt;0,FA46,IF(ROUND(BC46*$J46,6)&lt;ROUND($M46,6),BC46,0)))</f>
        <v/>
      </c>
      <c r="FC46" s="68">
        <f>IF(OR($U46=0,$F46&lt;&gt;2),0,IF(FB46&gt;0,FB46,IF(ROUND(BD46*$J46,6)&lt;ROUND($M46,6),BD46,0)))</f>
        <v/>
      </c>
      <c r="FD46" s="68">
        <f>IF(OR($U46=0,$F46&lt;&gt;2),0,IF(FC46&gt;0,FC46,IF(ROUND(BE46*$J46,6)&lt;ROUND($M46,6),BE46,0)))</f>
        <v/>
      </c>
      <c r="FE46" s="68">
        <f>IF(OR($U46=0,$F46&lt;&gt;2),0,IF(FD46&gt;0,FD46,IF(ROUND(BF46*$J46,6)&lt;ROUND($M46,6),BF46,0)))</f>
        <v/>
      </c>
      <c r="FF46" s="68">
        <f>IF(OR($U46=0,$F46&lt;&gt;2),0,IF(FE46&gt;0,FE46,IF(ROUND(BG46*$J46,6)&lt;ROUND($M46,6),BG46,0)))</f>
        <v/>
      </c>
      <c r="FG46" s="68">
        <f>IF(OR($U46=0,$F46&lt;&gt;2),0,IF(FF46&gt;0,FF46,IF(ROUND(BH46*$J46,6)&lt;ROUND($M46,6),BH46,0)))</f>
        <v/>
      </c>
      <c r="FH46" s="68">
        <f>IF(OR($U46=0,$F46&lt;&gt;2),0,IF(FG46&gt;0,FG46,IF(ROUND(BI46*$J46,6)&lt;ROUND($M46,6),BI46,0)))</f>
        <v/>
      </c>
      <c r="FI46" s="68">
        <f>IF(OR($U46=0,$F46&lt;&gt;2),0,IF(FH46&gt;0,FH46,IF(ROUND(BJ46*$J46,6)&lt;ROUND($M46,6),BJ46,0)))</f>
        <v/>
      </c>
      <c r="FJ46" s="68">
        <f>IF(OR($U46=0,$F46&lt;&gt;2),0,IF(FI46&gt;0,FI46,IF(ROUND(BK46*$J46,6)&lt;ROUND($M46,6),BK46,0)))</f>
        <v/>
      </c>
      <c r="FK46" s="68">
        <f>IF(OR($U46=0,$F46&lt;&gt;2),0,IF(FJ46&gt;0,FJ46,IF(ROUND(BL46*$J46,6)&lt;ROUND($M46,6),BL46,0)))</f>
        <v/>
      </c>
      <c r="FL46" s="68">
        <f>IF(OR($U46=0,$F46&lt;&gt;2),0,IF(FK46&gt;0,FK46,IF(ROUND(BM46*$J46,6)&lt;ROUND($M46,6),BM46,0)))</f>
        <v/>
      </c>
      <c r="FM46" s="68">
        <f>IF(OR($U46=0,$F46&lt;&gt;2),0,IF(FL46&gt;0,FL46,IF(ROUND(BN46*$J46,6)&lt;ROUND($M46,6),BN46,0)))</f>
        <v/>
      </c>
      <c r="FN46" s="68">
        <f>IF(OR($U46=0,$F46&lt;&gt;2),0,IF(FM46&gt;0,FM46,IF(ROUND(BO46*$J46,6)&lt;ROUND($M46,6),BO46,0)))</f>
        <v/>
      </c>
      <c r="FO46" s="68">
        <f>IF(OR($U46=0,$F46&lt;&gt;2),0,IF(FN46&gt;0,FN46,IF(ROUND(BP46*$J46,6)&lt;ROUND($M46,6),BP46,0)))</f>
        <v/>
      </c>
      <c r="FP46" s="68">
        <f>IF(OR($U46=0,$F46&lt;&gt;2),0,IF(FO46&gt;0,FO46,IF(ROUND(BQ46*$J46,6)&lt;ROUND($M46,6),BQ46,0)))</f>
        <v/>
      </c>
      <c r="FQ46" s="68">
        <f>IF(OR($U46=0,$F46&lt;&gt;2),0,IF(FP46&gt;0,FP46,IF(ROUND(BR46*$J46,6)&lt;ROUND($M46,6),BR46,0)))</f>
        <v/>
      </c>
      <c r="FR46" s="68">
        <f>IF(OR($U46=0,$F46&lt;&gt;2),0,IF(FQ46&gt;0,FQ46,IF(ROUND(BS46*$J46,6)&lt;ROUND($M46,6),BS46,0)))</f>
        <v/>
      </c>
      <c r="FS46" s="68">
        <f>IF(OR($U46=0,$F46&lt;&gt;2),0,IF(FR46&gt;0,FR46,IF(ROUND(BT46*$J46,6)&lt;ROUND($M46,6),BT46,0)))</f>
        <v/>
      </c>
      <c r="FT46" s="68">
        <f>IF(OR($U46=0,$F46&lt;&gt;2),0,IF(FS46&gt;0,FS46,IF(ROUND(BU46*$J46,6)&lt;ROUND($M46,6),BU46,0)))</f>
        <v/>
      </c>
      <c r="FU46" s="68">
        <f>IF(OR($U46=0,$F46&lt;&gt;2),0,IF(FT46&gt;0,FT46,IF(ROUND(BV46*$J46,6)&lt;ROUND($M46,6),BV46,0)))</f>
        <v/>
      </c>
      <c r="FV46" s="68">
        <f>IF(OR($U46=0,$F46&lt;&gt;2),0,IF(FU46&gt;0,FU46,IF(ROUND(BW46*$J46,6)&lt;ROUND($M46,6),BW46,0)))</f>
        <v/>
      </c>
      <c r="FW46" s="68">
        <f>IF(OR($U46=0,$F46&lt;&gt;2),0,IF(FV46&gt;0,FV46,IF(ROUND(BX46*$J46,6)&lt;ROUND($M46,6),BX46,0)))</f>
        <v/>
      </c>
      <c r="FX46" s="68">
        <f>IF(OR($U46=0,$F46&lt;&gt;2),0,IF(FW46&gt;0,FW46,IF(ROUND(BY46*$J46,6)&lt;ROUND($M46,6),BY46,0)))</f>
        <v/>
      </c>
      <c r="FY46" s="68">
        <f>IF(OR($U46=0,$F46&lt;&gt;2),0,IF(FX46&gt;0,FX46,IF(ROUND(BZ46*$J46,6)&lt;ROUND($M46,6),BZ46,0)))</f>
        <v/>
      </c>
      <c r="FZ46" s="68">
        <f>IF(OR($U46=0,$F46&lt;&gt;2),0,IF(FY46&gt;0,FY46,IF(ROUND(CA46*$J46,6)&lt;ROUND($M46,6),CA46,0)))</f>
        <v/>
      </c>
      <c r="GA46" s="68">
        <f>IF(OR($U46=0,$F46&lt;&gt;2),0,IF(FZ46&gt;0,FZ46,IF(ROUND(CB46*$J46,6)&lt;ROUND($M46,6),CB46,0)))</f>
        <v/>
      </c>
      <c r="GB46" s="68">
        <f>IF(OR($U46=0,$F46&lt;&gt;2),0,IF(GA46&gt;0,GA46,IF(ROUND(CC46*$J46,6)&lt;ROUND($M46,6),CC46,0)))</f>
        <v/>
      </c>
      <c r="GC46" s="68">
        <f>IF(OR($U46=0,$F46&lt;&gt;2),0,IF(GB46&gt;0,GB46,IF(ROUND(CD46*$J46,6)&lt;ROUND($M46,6),CD46,0)))</f>
        <v/>
      </c>
      <c r="GD46" s="68">
        <f>IF(OR($U46=0,$F46&lt;&gt;2),0,IF(GC46&gt;0,GC46,IF(ROUND(CE46*$J46,6)&lt;ROUND($M46,6),CE46,0)))</f>
        <v/>
      </c>
      <c r="GE46" s="68">
        <f>IF(OR($U46=0,$F46&lt;&gt;2),0,IF(GD46&gt;0,GD46,IF(ROUND(CF46*$J46,6)&lt;ROUND($M46,6),CF46,0)))</f>
        <v/>
      </c>
      <c r="GF46" s="68">
        <f>IF(OR($U46=0,$F46&lt;&gt;2),0,IF(GE46&gt;0,GE46,IF(ROUND(CG46*$J46,6)&lt;ROUND($M46,6),CG46,0)))</f>
        <v/>
      </c>
      <c r="GG46" s="68">
        <f>IF(OR($U46=0,$F46&lt;&gt;2),0,IF(GF46&gt;0,GF46,IF(ROUND(CH46*$J46,6)&lt;ROUND($M46,6),CH46,0)))</f>
        <v/>
      </c>
      <c r="GH46" s="68">
        <f>IF(OR($U46=0,$F46&lt;&gt;2),0,IF(GG46&gt;0,GG46,IF(ROUND(CI46*$J46,6)&lt;ROUND($M46,6),CI46,0)))</f>
        <v/>
      </c>
      <c r="GI46" s="68">
        <f>IF(OR($U46=0,$F46&lt;&gt;2),0,IF(GH46&gt;0,GH46,IF(ROUND(CJ46*$J46,6)&lt;ROUND($M46,6),CJ46,0)))</f>
        <v/>
      </c>
      <c r="GJ46" s="68">
        <f>IF(OR($U46=0,$F46&lt;&gt;2),0,IF(GI46&gt;0,GI46,IF(ROUND(CK46*$J46,6)&lt;ROUND($M46,6),CK46,0)))</f>
        <v/>
      </c>
      <c r="GK46" s="68">
        <f>IF(OR($U46=0,$F46&lt;&gt;2),0,IF(GJ46&gt;0,GJ46,IF(ROUND(CL46*$J46,6)&lt;ROUND($M46,6),CL46,0)))</f>
        <v/>
      </c>
      <c r="GL46" s="68">
        <f>IF(OR($U46=0,$F46&lt;&gt;2),0,IF(GK46&gt;0,GK46,IF(ROUND(CM46*$J46,6)&lt;ROUND($M46,6),CM46,0)))</f>
        <v/>
      </c>
      <c r="GM46" s="68">
        <f>IF(OR($U46=0,$F46&lt;&gt;2),0,IF(GL46&gt;0,GL46,IF(ROUND(CN46*$J46,6)&lt;ROUND($M46,6),CN46,0)))</f>
        <v/>
      </c>
      <c r="GN46" s="68">
        <f>IF(OR($U46=0,$F46&lt;&gt;2),0,IF(GM46&gt;0,GM46,IF(ROUND(CO46*$J46,6)&lt;ROUND($M46,6),CO46,0)))</f>
        <v/>
      </c>
      <c r="GO46" s="68">
        <f>IF(OR($U46=0,$F46&lt;&gt;2),0,IF(GN46&gt;0,GN46,IF(ROUND(CP46*$J46,6)&lt;ROUND($M46,6),CP46,0)))</f>
        <v/>
      </c>
      <c r="GP46" s="68">
        <f>IF(OR($U46=0,$F46&lt;&gt;2),0,IF(GO46&gt;0,GO46,IF(ROUND(CQ46*$J46,6)&lt;ROUND($M46,6),CQ46,0)))</f>
        <v/>
      </c>
      <c r="GQ46" s="68">
        <f>IF(OR($U46=0,$F46&lt;&gt;2),0,IF(GP46&gt;0,GP46,IF(ROUND(CR46*$J46,6)&lt;ROUND($M46,6),CR46,0)))</f>
        <v/>
      </c>
      <c r="GR46" s="68">
        <f>IF(OR($U46=0,$F46&lt;&gt;2),0,IF(GQ46&gt;0,GQ46,IF(ROUND(CS46*$J46,6)&lt;ROUND($M46,6),CS46,0)))</f>
        <v/>
      </c>
      <c r="GS46" s="68">
        <f>IF(OR($U46=0,$F46&lt;&gt;2),0,IF(GR46&gt;0,GR46,IF(ROUND(CT46*$J46,6)&lt;ROUND($M46,6),CT46,0)))</f>
        <v/>
      </c>
      <c r="GT46" s="68">
        <f>IF(OR($U46=0,$F46&lt;&gt;2),0,IF(GS46&gt;0,GS46,IF(ROUND(CU46*$J46,6)&lt;ROUND($M46,6),CU46,0)))</f>
        <v/>
      </c>
      <c r="GU46" s="68">
        <f>IF(OR($U46=0,$F46&lt;&gt;2),0,IF(GT46&gt;0,GT46,IF(ROUND(CV46*$J46,6)&lt;ROUND($M46,6),CV46,0)))</f>
        <v/>
      </c>
      <c r="GV46" s="68">
        <f>IF(OR($U46=0,$F46&lt;&gt;2),0,IF(GU46&gt;0,GU46,IF(ROUND(CW46*$J46,6)&lt;ROUND($M46,6),CW46,0)))</f>
        <v/>
      </c>
      <c r="GW46" s="68">
        <f>IF(OR($U46=0,$F46&lt;&gt;2),0,IF(GV46&gt;0,GV46,IF(ROUND(CX46*$J46,6)&lt;ROUND($M46,6),CX46,0)))</f>
        <v/>
      </c>
      <c r="GX46" s="68">
        <f>IF(OR($U46=0,$F46&lt;&gt;2),0,IF(GW46&gt;0,GW46,IF(ROUND(CY46*$J46,6)&lt;ROUND($M46,6),CY46,0)))</f>
        <v/>
      </c>
      <c r="GY46" s="68">
        <f>IF(OR($U46=0,$F46&lt;&gt;2),0,IF(GX46&gt;0,GX46,IF(ROUND(CZ46*$J46,6)&lt;ROUND($M46,6),CZ46,0)))</f>
        <v/>
      </c>
      <c r="GZ46" s="68">
        <f>IF(OR($U46=0,$F46&lt;&gt;2),0,IF(GY46&gt;0,GY46,IF(ROUND(DA46*$J46,6)&lt;ROUND($M46,6),DA46,0)))</f>
        <v/>
      </c>
      <c r="HA46" s="68">
        <f>IF(OR($U46=0,$F46&lt;&gt;2),0,IF(GZ46&gt;0,GZ46,IF(ROUND(DB46*$J46,6)&lt;ROUND($M46,6),DB46,0)))</f>
        <v/>
      </c>
      <c r="HB46" s="68">
        <f>IF(OR($U46=0,$F46&lt;&gt;2),0,IF(HA46&gt;0,HA46,IF(ROUND(DC46*$J46,6)&lt;ROUND($M46,6),DC46,0)))</f>
        <v/>
      </c>
      <c r="HC46" s="68">
        <f>IF(OR($U46=0,$F46&lt;&gt;2),0,IF(HB46&gt;0,HB46,IF(ROUND(DD46*$J46,6)&lt;ROUND($M46,6),DD46,0)))</f>
        <v/>
      </c>
      <c r="HD46" s="68">
        <f>IF(OR($U46=0,$F46&lt;&gt;2),0,IF(HC46&gt;0,HC46,IF(ROUND(DE46*$J46,6)&lt;ROUND($M46,6),DE46,0)))</f>
        <v/>
      </c>
      <c r="HE46" s="68">
        <f>IF(OR($U46=0,$F46&lt;&gt;2),0,IF(HD46&gt;0,HD46,IF(ROUND(DF46*$J46,6)&lt;ROUND($M46,6),DF46,0)))</f>
        <v/>
      </c>
      <c r="HF46" s="68">
        <f>IF(OR($U46=0,$F46&lt;&gt;2),0,IF(HE46&gt;0,HE46,IF(ROUND(DG46*$J46,6)&lt;ROUND($M46,6),DG46,0)))</f>
        <v/>
      </c>
      <c r="HG46" s="68">
        <f>IF(OR($U46=0,$F46&lt;&gt;2),0,IF(HF46&gt;0,HF46,IF(ROUND(DH46*$J46,6)&lt;ROUND($M46,6),DH46,0)))</f>
        <v/>
      </c>
      <c r="HH46" s="68">
        <f>IF(OR($U46=0,$F46&lt;&gt;2),0,IF(HG46&gt;0,HG46,IF(ROUND(DI46*$J46,6)&lt;ROUND($M46,6),DI46,0)))</f>
        <v/>
      </c>
      <c r="HI46" s="68">
        <f>IF(OR($U46=0,$F46&lt;&gt;2),0,IF(HH46&gt;0,HH46,IF(ROUND(DJ46*$J46,6)&lt;ROUND($M46,6),DJ46,0)))</f>
        <v/>
      </c>
      <c r="HJ46" s="68">
        <f>IF(OR($U46=0,$F46&lt;&gt;2),0,IF(HI46&gt;0,HI46,IF(ROUND(DK46*$J46,6)&lt;ROUND($M46,6),DK46,0)))</f>
        <v/>
      </c>
      <c r="HK46" s="68">
        <f>IF(OR($U46=0,$F46&lt;&gt;2),0,IF(HJ46&gt;0,HJ46,IF(ROUND(DL46*$J46,6)&lt;ROUND($M46,6),DL46,0)))</f>
        <v/>
      </c>
      <c r="HL46" s="68">
        <f>IF(OR($U46=0,$F46&lt;&gt;2),0,IF(HK46&gt;0,HK46,IF(ROUND(DM46*$J46,6)&lt;ROUND($M46,6),DM46,0)))</f>
        <v/>
      </c>
      <c r="HM46" s="68">
        <f>IF(OR($U46=0,$F46&lt;&gt;2),0,IF(HL46&gt;0,HL46,IF(ROUND(DN46*$J46,6)&lt;ROUND($M46,6),DN46,0)))</f>
        <v/>
      </c>
      <c r="HN46" s="68">
        <f>IF(OR($U46=0,$F46&lt;&gt;2),0,IF(HM46&gt;0,HM46,IF(ROUND(DO46*$J46,6)&lt;ROUND($M46,6),DO46,0)))</f>
        <v/>
      </c>
      <c r="HO46" s="68">
        <f>IF(OR($U46=0,$F46&lt;&gt;2),0,IF(HN46&gt;0,HN46,IF(ROUND(DP46*$J46,6)&lt;ROUND($M46,6),DP46,0)))</f>
        <v/>
      </c>
      <c r="HP46" s="68">
        <f>IF(OR($U46=0,$F46&lt;&gt;2),0,IF(HO46&gt;0,HO46,IF(ROUND(DQ46*$J46,6)&lt;ROUND($M46,6),DQ46,0)))</f>
        <v/>
      </c>
      <c r="HQ46" s="68">
        <f>IF(OR($U46=0,$F46&lt;&gt;2),0,IF(HP46&gt;0,HP46,IF(ROUND(DR46*$J46,6)&lt;ROUND($M46,6),DR46,0)))</f>
        <v/>
      </c>
      <c r="HR46" s="68">
        <f>IF(OR($U46=0,$F46&lt;&gt;2),0,IF(HQ46&gt;0,HQ46,IF(ROUND(DS46*$J46,6)&lt;ROUND($M46,6),DS46,0)))</f>
        <v/>
      </c>
      <c r="HS46" s="68">
        <f>IF(OR($U46=0,$F46&lt;&gt;2),0,IF(HR46&gt;0,HR46,IF(ROUND(DT46*$J46,6)&lt;ROUND($M46,6),DT46,0)))</f>
        <v/>
      </c>
      <c r="HT46" s="68">
        <f>IF(OR($U46=0,$F46&lt;&gt;2),0,IF(HS46&gt;0,HS46,IF(ROUND(DU46*$J46,6)&lt;ROUND($M46,6),DU46,0)))</f>
        <v/>
      </c>
      <c r="HU46" s="68">
        <f>IF(OR($U46=0,$F46&lt;&gt;2),0,IF(HT46&gt;0,HT46,IF(ROUND(DV46*$J46,6)&lt;ROUND($M46,6),DV46,0)))</f>
        <v/>
      </c>
      <c r="HV46" s="68">
        <f>IF(OR($U46=0,$F46&lt;&gt;2),0,IF(HU46&gt;0,HU46,IF(ROUND(DW46*$J46,6)&lt;ROUND($M46,6),DW46,0)))</f>
        <v/>
      </c>
      <c r="HW46" s="68">
        <f>IF(OR($U46=0,$F46&lt;&gt;2),0,IF(HV46&gt;0,HV46,IF(ROUND(DX46*$J46,6)&lt;ROUND($M46,6),DX46,0)))</f>
        <v/>
      </c>
      <c r="HX46" s="68">
        <f>IF(OR($U46=0,$F46&lt;&gt;2),0,IF(HW46&gt;0,HW46,IF(ROUND(DY46*$J46,6)&lt;ROUND($M46,6),DY46,0)))</f>
        <v/>
      </c>
      <c r="HY46" s="68">
        <f>IF(OR($U46=0,$F46&lt;&gt;2),0,IF(HX46&gt;0,HX46,IF(ROUND(DZ46*$J46,6)&lt;ROUND($M46,6),DZ46,0)))</f>
        <v/>
      </c>
      <c r="HZ46" s="68">
        <f>IF(OR($U46=0,$F46&lt;&gt;2),0,IF(HY46&gt;0,HY46,IF(ROUND(EA46*$J46,6)&lt;ROUND($M46,6),EA46,0)))</f>
        <v/>
      </c>
      <c r="IA46" s="68">
        <f>IF(OR($U46=0,$F46&lt;&gt;2),0,IF(HZ46&gt;0,HZ46,IF(ROUND(EB46*$J46,6)&lt;ROUND($M46,6),EB46,0)))</f>
        <v/>
      </c>
      <c r="IB46" s="68">
        <f>IF(OR($U46=0,$F46&lt;&gt;2),0,IF(IA46&gt;0,IA46,IF(ROUND(EC46*$J46,6)&lt;ROUND($M46,6),EC46,0)))</f>
        <v/>
      </c>
      <c r="IC46" s="68">
        <f>IF(OR($U46=0,$F46&lt;&gt;2),0,IF(IB46&gt;0,IB46,IF(ROUND(ED46*$J46,6)&lt;ROUND($M46,6),ED46,0)))</f>
        <v/>
      </c>
      <c r="ID46" s="68">
        <f>IF(OR($U46=0,$F46&lt;&gt;2),0,IF(IC46&gt;0,IC46,IF(ROUND(EE46*$J46,6)&lt;ROUND($M46,6),EE46,0)))</f>
        <v/>
      </c>
      <c r="IE46" s="68">
        <f>IF(OR($U46=0,$F46&lt;&gt;2),0,IF(ID46&gt;0,ID46,IF(ROUND(EF46*$J46,6)&lt;ROUND($M46,6),EF46,0)))</f>
        <v/>
      </c>
      <c r="IF46" s="68">
        <f>IF(OR($U46=0,$F46&lt;&gt;2),0,IF(IE46&gt;0,IE46,IF(ROUND(EG46*$J46,6)&lt;ROUND($M46,6),EG46,0)))</f>
        <v/>
      </c>
      <c r="IG46" s="68">
        <f>IF(OR($U46=0,$F46&lt;&gt;2),0,IF(IF46&gt;0,IF46,IF(ROUND(EH46*$J46,6)&lt;ROUND($M46,6),EH46,0)))</f>
        <v/>
      </c>
      <c r="IH46" s="68">
        <f>IF(OR($U46=0,$F46&lt;&gt;2),0,IF(IG46&gt;0,IG46,IF(ROUND(EI46*$J46,6)&lt;ROUND($M46,6),EI46,0)))</f>
        <v/>
      </c>
      <c r="II46" s="68">
        <f>IF(OR($U46=0,$F46&lt;&gt;2),0,IF(IH46&gt;0,IH46,IF(ROUND(EJ46*$J46,6)&lt;ROUND($M46,6),EJ46,0)))</f>
        <v/>
      </c>
      <c r="IJ46" s="68">
        <f>IF(OR($U46=0,$F46&lt;&gt;2),0,IF(II46&gt;0,II46,IF(ROUND(EK46*$J46,6)&lt;ROUND($M46,6),EK46,0)))</f>
        <v/>
      </c>
      <c r="IK46" s="68">
        <f>IF(OR($U46=0,$F46&lt;&gt;2),0,IF(IJ46&gt;0,IJ46,IF(ROUND(EL46*$J46,6)&lt;ROUND($M46,6),EL46,0)))</f>
        <v/>
      </c>
      <c r="IL46" s="68">
        <f>IF(OR($U46=0,$F46&lt;&gt;2),0,IF(IK46&gt;0,IK46,IF(ROUND(EM46*$J46,6)&lt;ROUND($M46,6),EM46,0)))</f>
        <v/>
      </c>
      <c r="IM46" s="68">
        <f>IF(OR($U46=0,$F46&lt;&gt;2),0,IF(IL46&gt;0,IL46,IF(ROUND(EN46*$J46,6)&lt;ROUND($M46,6),EN46,0)))</f>
        <v/>
      </c>
      <c r="IN46" s="68">
        <f>IF(OR($U46=0,$F46&lt;&gt;2),0,IF(IM46&gt;0,IM46,IF(ROUND(EO46*$J46,6)&lt;ROUND($M46,6),EO46,0)))</f>
        <v/>
      </c>
    </row>
    <row r="47">
      <c r="A47" s="68" t="n">
        <v>42</v>
      </c>
      <c r="B47" s="68">
        <f>IF(OR(TRIM('固定資産台帳'!$B47)&lt;&gt;"",'固定資産台帳'!$E47&lt;&gt;"",'固定資産台帳'!$G47&lt;&gt;"",'固定資産台帳'!$H47&lt;&gt;""),1,0)</f>
        <v/>
      </c>
      <c r="C47" s="68">
        <f>IF(ISNUMBER('固定資産台帳'!$G47),MAX(ROUND('固定資産台帳'!$G47,0),0),0)</f>
        <v/>
      </c>
      <c r="D47" s="84">
        <f>IF(ISNUMBER('固定資産台帳'!$E47),INT('固定資産台帳'!$E47),0)</f>
        <v/>
      </c>
      <c r="E47" s="84">
        <f>IF(ISNUMBER('固定資産台帳'!$F47),INT('固定資産台帳'!$F47),$D47)</f>
        <v/>
      </c>
      <c r="F47" s="68">
        <f>IF('固定資産台帳'!$H47="定額法",1,IF(OR('固定資産台帳'!$H47="定率法",'固定資産台帳'!$H47="定率法（200%）",'固定資産台帳'!$H47="定率法（250%）"),2,IF('固定資産台帳'!$H47="一括償却（3年）",3,IF('固定資産台帳'!$H47="少額特例",4,0))))</f>
        <v/>
      </c>
      <c r="G47" s="68">
        <f>IF('固定資産台帳'!$H47="定率法（250%）",250,IF('固定資産台帳'!$H47="定率法（200%）",200,IF($D47&gt;=DATE(2012,4,1),200,250)))</f>
        <v/>
      </c>
      <c r="H47" s="68">
        <f>IF(ISNUMBER('固定資産台帳'!$I47),IF(AND('固定資産台帳'!$I47&gt;=2,'固定資産台帳'!$I47&lt;=100,'固定資産台帳'!$I47=INT('固定資産台帳'!$I47)),'固定資産台帳'!$I47,0),0)</f>
        <v/>
      </c>
      <c r="I47" s="68">
        <f>IF('固定資産台帳'!$C47="無形固定資産",0,1)</f>
        <v/>
      </c>
      <c r="J47" s="68">
        <f>IF(OR($H47=0,$F47=0,$F47&gt;2),0,IF($F47=1,INDEX('償却率表'!$B$6:$B$104,$H47-1),IF($G47=200,INDEX('償却率表'!$C$6:$C$104,$H47-1),INDEX('償却率表'!$F$6:$F$104,$H47-1))))</f>
        <v/>
      </c>
      <c r="K47" s="68">
        <f>IF(AND($F47=2,$H47&gt;0),IF($G47=200,INDEX('償却率表'!$D$6:$D$104,$H47-1),INDEX('償却率表'!$G$6:$G$104,$H47-1)),0)</f>
        <v/>
      </c>
      <c r="L47" s="68">
        <f>IF(AND($F47=2,$H47&gt;0),IF($G47=200,INDEX('償却率表'!$E$6:$E$104,$H47-1),INDEX('償却率表'!$H$6:$H$104,$H47-1)),0)</f>
        <v/>
      </c>
      <c r="M47" s="68">
        <f>$C47*$L47</f>
        <v/>
      </c>
      <c r="N47" s="68">
        <f>IF($B$1=1,1,IF('固定資産台帳'!$J47="",1,IF(ISNUMBER('固定資産台帳'!$J47),IF(AND('固定資産台帳'!$J47&gt;0,'固定資産台帳'!$J47&lt;=1),'固定資産台帳'!$J47,0),0)))</f>
        <v/>
      </c>
      <c r="O47" s="68">
        <f>IF($E47=0,0,YEAR($E47)-IF(MONTH($E47)&lt;$B$2,1,0))</f>
        <v/>
      </c>
      <c r="P47" s="68">
        <f>IF($E47=0,0,12-MOD(MONTH($E47)-$B$2,12))</f>
        <v/>
      </c>
      <c r="Q47" s="84">
        <f>IF(ISNUMBER('固定資産台帳'!$K47),INT('固定資産台帳'!$K47),0)</f>
        <v/>
      </c>
      <c r="R47" s="68">
        <f>IF(OR($Q47=0,$E47=0),999,YEAR($Q47)-IF(MONTH($Q47)&lt;$B$2,1,0)-$O47)</f>
        <v/>
      </c>
      <c r="S47" s="68">
        <f>IF($R47=999,0,MOD(MONTH($Q47)-$B$2,12)+1-IF($R47=0,12-$P47,0))</f>
        <v/>
      </c>
      <c r="T47" s="68">
        <f>IF($B47=0,0,IF($C47&lt;=0,1,IF($D47=0,2,IF($F47=0,3,IF(AND($F47&lt;=2,$H47=0),4,IF(AND($F47&lt;=2,$D47&lt;DATE(2007,4,1)),5,IF($E47&lt;$D47,6,IF(AND($Q47&gt;0,$Q47&lt;$E47),7,IF($N47=0,8,IF($B$3=0,9,0))))))))))</f>
        <v/>
      </c>
      <c r="U47" s="68">
        <f>IF(AND($B47=1,$T47=0),1,0)</f>
        <v/>
      </c>
      <c r="V47" s="68">
        <f>$B$3-$O47</f>
        <v/>
      </c>
      <c r="W47" s="68">
        <f>IF(AND($U47=1,$V47&gt;=0),1,0)</f>
        <v/>
      </c>
      <c r="X47" s="68">
        <f>IF($W47=0,0,IF($V47=0,$C47,INDEX($AS47:$EP47,MIN($V47,102))))</f>
        <v/>
      </c>
      <c r="Y47" s="68">
        <f>IF($W47=0,0,INDEX($AS47:$EP47,MIN($V47,101)+1))</f>
        <v/>
      </c>
      <c r="Z47" s="68">
        <f>$X47-$Y47</f>
        <v/>
      </c>
      <c r="AA47" s="68">
        <f>IF(AND($W47=1,$F47=2,$V47&gt;=1),INDEX($ER47:$IN47,MIN($V47,101)),0)</f>
        <v/>
      </c>
      <c r="AB47" s="68">
        <f>IF(OR($W47=0,$F47&gt;2,$Z47=0),0,IF($V47=0,IF($R47=0,$S47,$P47),IF($V47=$R47,$S47,12)))</f>
        <v/>
      </c>
      <c r="AC47" s="68">
        <f>IF($W47=0,0,INT(ROUND($Z47*$N47,6)+$B$4))</f>
        <v/>
      </c>
      <c r="AD47" s="68">
        <f>IF(AND($W47=1,$F47&lt;=2,$V47=$R47),1,0)</f>
        <v/>
      </c>
      <c r="AE47" s="68">
        <f>IF(AND($W47=1,$F47&lt;=2,$V47&gt;$R47),1,0)</f>
        <v/>
      </c>
      <c r="AF47" s="68">
        <f>IF(AND($W47=1,$AE47=0,OR($Z47&gt;0,$AD47=1)),1,0)</f>
        <v/>
      </c>
      <c r="AG47" s="68">
        <f>IF($AF47=1,SUM($AF$6:$AF47),0)</f>
        <v/>
      </c>
      <c r="AH47" s="68">
        <f>IF($T47=0,"",CHOOSE($T47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47" s="68">
        <f>IF(AND($F47=2,OR('固定資産台帳'!$C47="建物",'固定資産台帳'!$C47="無形固定資産",AND(OR('固定資産台帳'!$C47="建物附属設備",'固定資産台帳'!$C47="構築物"),$D47&gt;=DATE(2016,4,1)))),"この資産は定額法だけです（定率法は使えません）。","")&amp;IF(AND($F47=3,$C47&gt;=200000),"一括償却は20万円未満の資産だけです。","")&amp;IF(AND($F47=3,$B$1=0,$C47&lt;100000),"10万円未満は一括償却にせず、全額をその年の経費にします。","")&amp;IF(AND($F47=4,$C47&lt;100000),"10万円未満は少額特例ではなく、全額をその年の経費にします。","")&amp;IF(AND($F47=4,$D47&lt;DATE(2026,4,1),$C47&gt;=300000),"2026年3月31日までの取得で少額特例が使えるのは30万円未満です。","")&amp;IF(AND($F47=4,$D47&gt;=DATE(2026,4,1),$C47&gt;=400000),"少額特例は40万円未満の資産だけです。","")&amp;IF(AND($F47=4,OR($D47&lt;DATE(2006,4,1),$D47&gt;DATE(2029,3,31))),"少額特例は2006年4月1日〜2029年3月31日に取得した資産だけです。","")&amp;IF(AND($F47=2,$G47=250,$D47&gt;DATE(2012,12,31)),"250%定率法は2012年12月31日までの取得だけです。","")</f>
        <v/>
      </c>
      <c r="AJ47" s="68">
        <f>IF(AND($F47=2,'固定資産台帳'!$H47="定率法（200%）",$D47&lt;DATE(2012,4,1)),"2012年3月31日までの取得に200%を使うのは、経過措置の届出をした場合です。","")&amp;IF(AND($F47=2,'固定資産台帳'!$H47="定率法（250%）",$D47&gt;=DATE(2012,4,1),$D47&lt;=DATE(2012,12,31)),"2012年4〜12月の取得に250%を使うのは、経過措置を選んだ場合です。","")</f>
        <v/>
      </c>
      <c r="AK47" s="68">
        <f>IF($U47=0,"",IF($V47&lt;0,"表示している年より後に使い始める資産です。",IF($AE47=1,"売却・除却済みです。",IF($AD47=1,"この年に売却・除却。期末の帳簿価額 "&amp;TEXT($Y47,"#,##0")&amp;"円を帳簿から外します。",IF($F47=4,IF($V47=0,"少額特例：この年に全額を経費にします。","少額特例で経費にした資産です。"),IF($F47=3,IF($V47&gt;2,"一括償却は終わっています。","一括償却 "&amp;($V47+1)&amp;"年目（3年のうち）。"),IF($Z47=0,"償却済み（帳簿価額 "&amp;TEXT($Y47,"#,##0")&amp;"円）。",IF($AA47&gt;0,"改定償却率で計算（改定取得価額 "&amp;TEXT($AA47,"#,##0")&amp;"円）。",IF($V47=0,"この年に使い始め（"&amp;$AB47&amp;"か月分）。","")))))))))</f>
        <v/>
      </c>
      <c r="AL47" s="68">
        <f>IF(AND($U47=1,$F47=4,$V47=0),$C47,0)</f>
        <v/>
      </c>
      <c r="AM47" s="68">
        <f>IF($F47=2,INT(ROUND($M47,6)+$B$4),0)</f>
        <v/>
      </c>
      <c r="AN47" s="68">
        <f>IF($W47=0,0,IF($F47=2,IF($AA47&gt;0,$AA47,$X47),$C47))</f>
        <v/>
      </c>
      <c r="AO47" s="68">
        <f>IF($W47=0,"",IF($F47=3,"1/3",IF($F47=4,"―",IF($AA47&gt;0,$K47,$J47))))</f>
        <v/>
      </c>
      <c r="AP47" s="68" t="n"/>
      <c r="AQ47" s="68" t="n"/>
      <c r="AR47" s="68" t="n"/>
      <c r="AS47" s="68">
        <f>IF($U47=0,0,IF($F47=4,0,IF($F47=3,MAX($C47-INT(ROUND($C47/3,6)+$B$4),0),$C47-MIN(INT(ROUND($C47*$J47*IF($R47=0,$S47,$P47)/12,6)+$B$4),MAX($C47-$I47,0)))))</f>
        <v/>
      </c>
      <c r="AT47" s="68">
        <f>IF($U47=0,0,IF($F47=4,0,IF($F47=3,AS47-MIN(INT(ROUND($C47/3,6)+$B$4),AS47),IF(OR(1&gt;$R47,AS47&lt;=$I47),AS47,AS47-MIN(INT(ROUND(IF($F47=1,$C47*$J47,IF(ER47&gt;0,ER47*$K47,AS47*$J47))*IF(1=$R47,$S47,12)/12,6)+$B$4),AS47-$I47)))))</f>
        <v/>
      </c>
      <c r="AU47" s="68">
        <f>IF($U47=0,0,IF($F47=4,0,IF($F47=3,0,IF(OR(2&gt;$R47,AT47&lt;=$I47),AT47,AT47-MIN(INT(ROUND(IF($F47=1,$C47*$J47,IF(ES47&gt;0,ES47*$K47,AT47*$J47))*IF(2=$R47,$S47,12)/12,6)+$B$4),AT47-$I47)))))</f>
        <v/>
      </c>
      <c r="AV47" s="68">
        <f>IF($U47=0,0,IF($F47=4,0,IF($F47=3,0,IF(OR(3&gt;$R47,AU47&lt;=$I47),AU47,AU47-MIN(INT(ROUND(IF($F47=1,$C47*$J47,IF(ET47&gt;0,ET47*$K47,AU47*$J47))*IF(3=$R47,$S47,12)/12,6)+$B$4),AU47-$I47)))))</f>
        <v/>
      </c>
      <c r="AW47" s="68">
        <f>IF($U47=0,0,IF($F47=4,0,IF($F47=3,0,IF(OR(4&gt;$R47,AV47&lt;=$I47),AV47,AV47-MIN(INT(ROUND(IF($F47=1,$C47*$J47,IF(EU47&gt;0,EU47*$K47,AV47*$J47))*IF(4=$R47,$S47,12)/12,6)+$B$4),AV47-$I47)))))</f>
        <v/>
      </c>
      <c r="AX47" s="68">
        <f>IF($U47=0,0,IF($F47=4,0,IF($F47=3,0,IF(OR(5&gt;$R47,AW47&lt;=$I47),AW47,AW47-MIN(INT(ROUND(IF($F47=1,$C47*$J47,IF(EV47&gt;0,EV47*$K47,AW47*$J47))*IF(5=$R47,$S47,12)/12,6)+$B$4),AW47-$I47)))))</f>
        <v/>
      </c>
      <c r="AY47" s="68">
        <f>IF($U47=0,0,IF($F47=4,0,IF($F47=3,0,IF(OR(6&gt;$R47,AX47&lt;=$I47),AX47,AX47-MIN(INT(ROUND(IF($F47=1,$C47*$J47,IF(EW47&gt;0,EW47*$K47,AX47*$J47))*IF(6=$R47,$S47,12)/12,6)+$B$4),AX47-$I47)))))</f>
        <v/>
      </c>
      <c r="AZ47" s="68">
        <f>IF($U47=0,0,IF($F47=4,0,IF($F47=3,0,IF(OR(7&gt;$R47,AY47&lt;=$I47),AY47,AY47-MIN(INT(ROUND(IF($F47=1,$C47*$J47,IF(EX47&gt;0,EX47*$K47,AY47*$J47))*IF(7=$R47,$S47,12)/12,6)+$B$4),AY47-$I47)))))</f>
        <v/>
      </c>
      <c r="BA47" s="68">
        <f>IF($U47=0,0,IF($F47=4,0,IF($F47=3,0,IF(OR(8&gt;$R47,AZ47&lt;=$I47),AZ47,AZ47-MIN(INT(ROUND(IF($F47=1,$C47*$J47,IF(EY47&gt;0,EY47*$K47,AZ47*$J47))*IF(8=$R47,$S47,12)/12,6)+$B$4),AZ47-$I47)))))</f>
        <v/>
      </c>
      <c r="BB47" s="68">
        <f>IF($U47=0,0,IF($F47=4,0,IF($F47=3,0,IF(OR(9&gt;$R47,BA47&lt;=$I47),BA47,BA47-MIN(INT(ROUND(IF($F47=1,$C47*$J47,IF(EZ47&gt;0,EZ47*$K47,BA47*$J47))*IF(9=$R47,$S47,12)/12,6)+$B$4),BA47-$I47)))))</f>
        <v/>
      </c>
      <c r="BC47" s="68">
        <f>IF($U47=0,0,IF($F47=4,0,IF($F47=3,0,IF(OR(10&gt;$R47,BB47&lt;=$I47),BB47,BB47-MIN(INT(ROUND(IF($F47=1,$C47*$J47,IF(FA47&gt;0,FA47*$K47,BB47*$J47))*IF(10=$R47,$S47,12)/12,6)+$B$4),BB47-$I47)))))</f>
        <v/>
      </c>
      <c r="BD47" s="68">
        <f>IF($U47=0,0,IF($F47=4,0,IF($F47=3,0,IF(OR(11&gt;$R47,BC47&lt;=$I47),BC47,BC47-MIN(INT(ROUND(IF($F47=1,$C47*$J47,IF(FB47&gt;0,FB47*$K47,BC47*$J47))*IF(11=$R47,$S47,12)/12,6)+$B$4),BC47-$I47)))))</f>
        <v/>
      </c>
      <c r="BE47" s="68">
        <f>IF($U47=0,0,IF($F47=4,0,IF($F47=3,0,IF(OR(12&gt;$R47,BD47&lt;=$I47),BD47,BD47-MIN(INT(ROUND(IF($F47=1,$C47*$J47,IF(FC47&gt;0,FC47*$K47,BD47*$J47))*IF(12=$R47,$S47,12)/12,6)+$B$4),BD47-$I47)))))</f>
        <v/>
      </c>
      <c r="BF47" s="68">
        <f>IF($U47=0,0,IF($F47=4,0,IF($F47=3,0,IF(OR(13&gt;$R47,BE47&lt;=$I47),BE47,BE47-MIN(INT(ROUND(IF($F47=1,$C47*$J47,IF(FD47&gt;0,FD47*$K47,BE47*$J47))*IF(13=$R47,$S47,12)/12,6)+$B$4),BE47-$I47)))))</f>
        <v/>
      </c>
      <c r="BG47" s="68">
        <f>IF($U47=0,0,IF($F47=4,0,IF($F47=3,0,IF(OR(14&gt;$R47,BF47&lt;=$I47),BF47,BF47-MIN(INT(ROUND(IF($F47=1,$C47*$J47,IF(FE47&gt;0,FE47*$K47,BF47*$J47))*IF(14=$R47,$S47,12)/12,6)+$B$4),BF47-$I47)))))</f>
        <v/>
      </c>
      <c r="BH47" s="68">
        <f>IF($U47=0,0,IF($F47=4,0,IF($F47=3,0,IF(OR(15&gt;$R47,BG47&lt;=$I47),BG47,BG47-MIN(INT(ROUND(IF($F47=1,$C47*$J47,IF(FF47&gt;0,FF47*$K47,BG47*$J47))*IF(15=$R47,$S47,12)/12,6)+$B$4),BG47-$I47)))))</f>
        <v/>
      </c>
      <c r="BI47" s="68">
        <f>IF($U47=0,0,IF($F47=4,0,IF($F47=3,0,IF(OR(16&gt;$R47,BH47&lt;=$I47),BH47,BH47-MIN(INT(ROUND(IF($F47=1,$C47*$J47,IF(FG47&gt;0,FG47*$K47,BH47*$J47))*IF(16=$R47,$S47,12)/12,6)+$B$4),BH47-$I47)))))</f>
        <v/>
      </c>
      <c r="BJ47" s="68">
        <f>IF($U47=0,0,IF($F47=4,0,IF($F47=3,0,IF(OR(17&gt;$R47,BI47&lt;=$I47),BI47,BI47-MIN(INT(ROUND(IF($F47=1,$C47*$J47,IF(FH47&gt;0,FH47*$K47,BI47*$J47))*IF(17=$R47,$S47,12)/12,6)+$B$4),BI47-$I47)))))</f>
        <v/>
      </c>
      <c r="BK47" s="68">
        <f>IF($U47=0,0,IF($F47=4,0,IF($F47=3,0,IF(OR(18&gt;$R47,BJ47&lt;=$I47),BJ47,BJ47-MIN(INT(ROUND(IF($F47=1,$C47*$J47,IF(FI47&gt;0,FI47*$K47,BJ47*$J47))*IF(18=$R47,$S47,12)/12,6)+$B$4),BJ47-$I47)))))</f>
        <v/>
      </c>
      <c r="BL47" s="68">
        <f>IF($U47=0,0,IF($F47=4,0,IF($F47=3,0,IF(OR(19&gt;$R47,BK47&lt;=$I47),BK47,BK47-MIN(INT(ROUND(IF($F47=1,$C47*$J47,IF(FJ47&gt;0,FJ47*$K47,BK47*$J47))*IF(19=$R47,$S47,12)/12,6)+$B$4),BK47-$I47)))))</f>
        <v/>
      </c>
      <c r="BM47" s="68">
        <f>IF($U47=0,0,IF($F47=4,0,IF($F47=3,0,IF(OR(20&gt;$R47,BL47&lt;=$I47),BL47,BL47-MIN(INT(ROUND(IF($F47=1,$C47*$J47,IF(FK47&gt;0,FK47*$K47,BL47*$J47))*IF(20=$R47,$S47,12)/12,6)+$B$4),BL47-$I47)))))</f>
        <v/>
      </c>
      <c r="BN47" s="68">
        <f>IF($U47=0,0,IF($F47=4,0,IF($F47=3,0,IF(OR(21&gt;$R47,BM47&lt;=$I47),BM47,BM47-MIN(INT(ROUND(IF($F47=1,$C47*$J47,IF(FL47&gt;0,FL47*$K47,BM47*$J47))*IF(21=$R47,$S47,12)/12,6)+$B$4),BM47-$I47)))))</f>
        <v/>
      </c>
      <c r="BO47" s="68">
        <f>IF($U47=0,0,IF($F47=4,0,IF($F47=3,0,IF(OR(22&gt;$R47,BN47&lt;=$I47),BN47,BN47-MIN(INT(ROUND(IF($F47=1,$C47*$J47,IF(FM47&gt;0,FM47*$K47,BN47*$J47))*IF(22=$R47,$S47,12)/12,6)+$B$4),BN47-$I47)))))</f>
        <v/>
      </c>
      <c r="BP47" s="68">
        <f>IF($U47=0,0,IF($F47=4,0,IF($F47=3,0,IF(OR(23&gt;$R47,BO47&lt;=$I47),BO47,BO47-MIN(INT(ROUND(IF($F47=1,$C47*$J47,IF(FN47&gt;0,FN47*$K47,BO47*$J47))*IF(23=$R47,$S47,12)/12,6)+$B$4),BO47-$I47)))))</f>
        <v/>
      </c>
      <c r="BQ47" s="68">
        <f>IF($U47=0,0,IF($F47=4,0,IF($F47=3,0,IF(OR(24&gt;$R47,BP47&lt;=$I47),BP47,BP47-MIN(INT(ROUND(IF($F47=1,$C47*$J47,IF(FO47&gt;0,FO47*$K47,BP47*$J47))*IF(24=$R47,$S47,12)/12,6)+$B$4),BP47-$I47)))))</f>
        <v/>
      </c>
      <c r="BR47" s="68">
        <f>IF($U47=0,0,IF($F47=4,0,IF($F47=3,0,IF(OR(25&gt;$R47,BQ47&lt;=$I47),BQ47,BQ47-MIN(INT(ROUND(IF($F47=1,$C47*$J47,IF(FP47&gt;0,FP47*$K47,BQ47*$J47))*IF(25=$R47,$S47,12)/12,6)+$B$4),BQ47-$I47)))))</f>
        <v/>
      </c>
      <c r="BS47" s="68">
        <f>IF($U47=0,0,IF($F47=4,0,IF($F47=3,0,IF(OR(26&gt;$R47,BR47&lt;=$I47),BR47,BR47-MIN(INT(ROUND(IF($F47=1,$C47*$J47,IF(FQ47&gt;0,FQ47*$K47,BR47*$J47))*IF(26=$R47,$S47,12)/12,6)+$B$4),BR47-$I47)))))</f>
        <v/>
      </c>
      <c r="BT47" s="68">
        <f>IF($U47=0,0,IF($F47=4,0,IF($F47=3,0,IF(OR(27&gt;$R47,BS47&lt;=$I47),BS47,BS47-MIN(INT(ROUND(IF($F47=1,$C47*$J47,IF(FR47&gt;0,FR47*$K47,BS47*$J47))*IF(27=$R47,$S47,12)/12,6)+$B$4),BS47-$I47)))))</f>
        <v/>
      </c>
      <c r="BU47" s="68">
        <f>IF($U47=0,0,IF($F47=4,0,IF($F47=3,0,IF(OR(28&gt;$R47,BT47&lt;=$I47),BT47,BT47-MIN(INT(ROUND(IF($F47=1,$C47*$J47,IF(FS47&gt;0,FS47*$K47,BT47*$J47))*IF(28=$R47,$S47,12)/12,6)+$B$4),BT47-$I47)))))</f>
        <v/>
      </c>
      <c r="BV47" s="68">
        <f>IF($U47=0,0,IF($F47=4,0,IF($F47=3,0,IF(OR(29&gt;$R47,BU47&lt;=$I47),BU47,BU47-MIN(INT(ROUND(IF($F47=1,$C47*$J47,IF(FT47&gt;0,FT47*$K47,BU47*$J47))*IF(29=$R47,$S47,12)/12,6)+$B$4),BU47-$I47)))))</f>
        <v/>
      </c>
      <c r="BW47" s="68">
        <f>IF($U47=0,0,IF($F47=4,0,IF($F47=3,0,IF(OR(30&gt;$R47,BV47&lt;=$I47),BV47,BV47-MIN(INT(ROUND(IF($F47=1,$C47*$J47,IF(FU47&gt;0,FU47*$K47,BV47*$J47))*IF(30=$R47,$S47,12)/12,6)+$B$4),BV47-$I47)))))</f>
        <v/>
      </c>
      <c r="BX47" s="68">
        <f>IF($U47=0,0,IF($F47=4,0,IF($F47=3,0,IF(OR(31&gt;$R47,BW47&lt;=$I47),BW47,BW47-MIN(INT(ROUND(IF($F47=1,$C47*$J47,IF(FV47&gt;0,FV47*$K47,BW47*$J47))*IF(31=$R47,$S47,12)/12,6)+$B$4),BW47-$I47)))))</f>
        <v/>
      </c>
      <c r="BY47" s="68">
        <f>IF($U47=0,0,IF($F47=4,0,IF($F47=3,0,IF(OR(32&gt;$R47,BX47&lt;=$I47),BX47,BX47-MIN(INT(ROUND(IF($F47=1,$C47*$J47,IF(FW47&gt;0,FW47*$K47,BX47*$J47))*IF(32=$R47,$S47,12)/12,6)+$B$4),BX47-$I47)))))</f>
        <v/>
      </c>
      <c r="BZ47" s="68">
        <f>IF($U47=0,0,IF($F47=4,0,IF($F47=3,0,IF(OR(33&gt;$R47,BY47&lt;=$I47),BY47,BY47-MIN(INT(ROUND(IF($F47=1,$C47*$J47,IF(FX47&gt;0,FX47*$K47,BY47*$J47))*IF(33=$R47,$S47,12)/12,6)+$B$4),BY47-$I47)))))</f>
        <v/>
      </c>
      <c r="CA47" s="68">
        <f>IF($U47=0,0,IF($F47=4,0,IF($F47=3,0,IF(OR(34&gt;$R47,BZ47&lt;=$I47),BZ47,BZ47-MIN(INT(ROUND(IF($F47=1,$C47*$J47,IF(FY47&gt;0,FY47*$K47,BZ47*$J47))*IF(34=$R47,$S47,12)/12,6)+$B$4),BZ47-$I47)))))</f>
        <v/>
      </c>
      <c r="CB47" s="68">
        <f>IF($U47=0,0,IF($F47=4,0,IF($F47=3,0,IF(OR(35&gt;$R47,CA47&lt;=$I47),CA47,CA47-MIN(INT(ROUND(IF($F47=1,$C47*$J47,IF(FZ47&gt;0,FZ47*$K47,CA47*$J47))*IF(35=$R47,$S47,12)/12,6)+$B$4),CA47-$I47)))))</f>
        <v/>
      </c>
      <c r="CC47" s="68">
        <f>IF($U47=0,0,IF($F47=4,0,IF($F47=3,0,IF(OR(36&gt;$R47,CB47&lt;=$I47),CB47,CB47-MIN(INT(ROUND(IF($F47=1,$C47*$J47,IF(GA47&gt;0,GA47*$K47,CB47*$J47))*IF(36=$R47,$S47,12)/12,6)+$B$4),CB47-$I47)))))</f>
        <v/>
      </c>
      <c r="CD47" s="68">
        <f>IF($U47=0,0,IF($F47=4,0,IF($F47=3,0,IF(OR(37&gt;$R47,CC47&lt;=$I47),CC47,CC47-MIN(INT(ROUND(IF($F47=1,$C47*$J47,IF(GB47&gt;0,GB47*$K47,CC47*$J47))*IF(37=$R47,$S47,12)/12,6)+$B$4),CC47-$I47)))))</f>
        <v/>
      </c>
      <c r="CE47" s="68">
        <f>IF($U47=0,0,IF($F47=4,0,IF($F47=3,0,IF(OR(38&gt;$R47,CD47&lt;=$I47),CD47,CD47-MIN(INT(ROUND(IF($F47=1,$C47*$J47,IF(GC47&gt;0,GC47*$K47,CD47*$J47))*IF(38=$R47,$S47,12)/12,6)+$B$4),CD47-$I47)))))</f>
        <v/>
      </c>
      <c r="CF47" s="68">
        <f>IF($U47=0,0,IF($F47=4,0,IF($F47=3,0,IF(OR(39&gt;$R47,CE47&lt;=$I47),CE47,CE47-MIN(INT(ROUND(IF($F47=1,$C47*$J47,IF(GD47&gt;0,GD47*$K47,CE47*$J47))*IF(39=$R47,$S47,12)/12,6)+$B$4),CE47-$I47)))))</f>
        <v/>
      </c>
      <c r="CG47" s="68">
        <f>IF($U47=0,0,IF($F47=4,0,IF($F47=3,0,IF(OR(40&gt;$R47,CF47&lt;=$I47),CF47,CF47-MIN(INT(ROUND(IF($F47=1,$C47*$J47,IF(GE47&gt;0,GE47*$K47,CF47*$J47))*IF(40=$R47,$S47,12)/12,6)+$B$4),CF47-$I47)))))</f>
        <v/>
      </c>
      <c r="CH47" s="68">
        <f>IF($U47=0,0,IF($F47=4,0,IF($F47=3,0,IF(OR(41&gt;$R47,CG47&lt;=$I47),CG47,CG47-MIN(INT(ROUND(IF($F47=1,$C47*$J47,IF(GF47&gt;0,GF47*$K47,CG47*$J47))*IF(41=$R47,$S47,12)/12,6)+$B$4),CG47-$I47)))))</f>
        <v/>
      </c>
      <c r="CI47" s="68">
        <f>IF($U47=0,0,IF($F47=4,0,IF($F47=3,0,IF(OR(42&gt;$R47,CH47&lt;=$I47),CH47,CH47-MIN(INT(ROUND(IF($F47=1,$C47*$J47,IF(GG47&gt;0,GG47*$K47,CH47*$J47))*IF(42=$R47,$S47,12)/12,6)+$B$4),CH47-$I47)))))</f>
        <v/>
      </c>
      <c r="CJ47" s="68">
        <f>IF($U47=0,0,IF($F47=4,0,IF($F47=3,0,IF(OR(43&gt;$R47,CI47&lt;=$I47),CI47,CI47-MIN(INT(ROUND(IF($F47=1,$C47*$J47,IF(GH47&gt;0,GH47*$K47,CI47*$J47))*IF(43=$R47,$S47,12)/12,6)+$B$4),CI47-$I47)))))</f>
        <v/>
      </c>
      <c r="CK47" s="68">
        <f>IF($U47=0,0,IF($F47=4,0,IF($F47=3,0,IF(OR(44&gt;$R47,CJ47&lt;=$I47),CJ47,CJ47-MIN(INT(ROUND(IF($F47=1,$C47*$J47,IF(GI47&gt;0,GI47*$K47,CJ47*$J47))*IF(44=$R47,$S47,12)/12,6)+$B$4),CJ47-$I47)))))</f>
        <v/>
      </c>
      <c r="CL47" s="68">
        <f>IF($U47=0,0,IF($F47=4,0,IF($F47=3,0,IF(OR(45&gt;$R47,CK47&lt;=$I47),CK47,CK47-MIN(INT(ROUND(IF($F47=1,$C47*$J47,IF(GJ47&gt;0,GJ47*$K47,CK47*$J47))*IF(45=$R47,$S47,12)/12,6)+$B$4),CK47-$I47)))))</f>
        <v/>
      </c>
      <c r="CM47" s="68">
        <f>IF($U47=0,0,IF($F47=4,0,IF($F47=3,0,IF(OR(46&gt;$R47,CL47&lt;=$I47),CL47,CL47-MIN(INT(ROUND(IF($F47=1,$C47*$J47,IF(GK47&gt;0,GK47*$K47,CL47*$J47))*IF(46=$R47,$S47,12)/12,6)+$B$4),CL47-$I47)))))</f>
        <v/>
      </c>
      <c r="CN47" s="68">
        <f>IF($U47=0,0,IF($F47=4,0,IF($F47=3,0,IF(OR(47&gt;$R47,CM47&lt;=$I47),CM47,CM47-MIN(INT(ROUND(IF($F47=1,$C47*$J47,IF(GL47&gt;0,GL47*$K47,CM47*$J47))*IF(47=$R47,$S47,12)/12,6)+$B$4),CM47-$I47)))))</f>
        <v/>
      </c>
      <c r="CO47" s="68">
        <f>IF($U47=0,0,IF($F47=4,0,IF($F47=3,0,IF(OR(48&gt;$R47,CN47&lt;=$I47),CN47,CN47-MIN(INT(ROUND(IF($F47=1,$C47*$J47,IF(GM47&gt;0,GM47*$K47,CN47*$J47))*IF(48=$R47,$S47,12)/12,6)+$B$4),CN47-$I47)))))</f>
        <v/>
      </c>
      <c r="CP47" s="68">
        <f>IF($U47=0,0,IF($F47=4,0,IF($F47=3,0,IF(OR(49&gt;$R47,CO47&lt;=$I47),CO47,CO47-MIN(INT(ROUND(IF($F47=1,$C47*$J47,IF(GN47&gt;0,GN47*$K47,CO47*$J47))*IF(49=$R47,$S47,12)/12,6)+$B$4),CO47-$I47)))))</f>
        <v/>
      </c>
      <c r="CQ47" s="68">
        <f>IF($U47=0,0,IF($F47=4,0,IF($F47=3,0,IF(OR(50&gt;$R47,CP47&lt;=$I47),CP47,CP47-MIN(INT(ROUND(IF($F47=1,$C47*$J47,IF(GO47&gt;0,GO47*$K47,CP47*$J47))*IF(50=$R47,$S47,12)/12,6)+$B$4),CP47-$I47)))))</f>
        <v/>
      </c>
      <c r="CR47" s="68">
        <f>IF($U47=0,0,IF($F47=4,0,IF($F47=3,0,IF(OR(51&gt;$R47,CQ47&lt;=$I47),CQ47,CQ47-MIN(INT(ROUND(IF($F47=1,$C47*$J47,IF(GP47&gt;0,GP47*$K47,CQ47*$J47))*IF(51=$R47,$S47,12)/12,6)+$B$4),CQ47-$I47)))))</f>
        <v/>
      </c>
      <c r="CS47" s="68">
        <f>IF($U47=0,0,IF($F47=4,0,IF($F47=3,0,IF(OR(52&gt;$R47,CR47&lt;=$I47),CR47,CR47-MIN(INT(ROUND(IF($F47=1,$C47*$J47,IF(GQ47&gt;0,GQ47*$K47,CR47*$J47))*IF(52=$R47,$S47,12)/12,6)+$B$4),CR47-$I47)))))</f>
        <v/>
      </c>
      <c r="CT47" s="68">
        <f>IF($U47=0,0,IF($F47=4,0,IF($F47=3,0,IF(OR(53&gt;$R47,CS47&lt;=$I47),CS47,CS47-MIN(INT(ROUND(IF($F47=1,$C47*$J47,IF(GR47&gt;0,GR47*$K47,CS47*$J47))*IF(53=$R47,$S47,12)/12,6)+$B$4),CS47-$I47)))))</f>
        <v/>
      </c>
      <c r="CU47" s="68">
        <f>IF($U47=0,0,IF($F47=4,0,IF($F47=3,0,IF(OR(54&gt;$R47,CT47&lt;=$I47),CT47,CT47-MIN(INT(ROUND(IF($F47=1,$C47*$J47,IF(GS47&gt;0,GS47*$K47,CT47*$J47))*IF(54=$R47,$S47,12)/12,6)+$B$4),CT47-$I47)))))</f>
        <v/>
      </c>
      <c r="CV47" s="68">
        <f>IF($U47=0,0,IF($F47=4,0,IF($F47=3,0,IF(OR(55&gt;$R47,CU47&lt;=$I47),CU47,CU47-MIN(INT(ROUND(IF($F47=1,$C47*$J47,IF(GT47&gt;0,GT47*$K47,CU47*$J47))*IF(55=$R47,$S47,12)/12,6)+$B$4),CU47-$I47)))))</f>
        <v/>
      </c>
      <c r="CW47" s="68">
        <f>IF($U47=0,0,IF($F47=4,0,IF($F47=3,0,IF(OR(56&gt;$R47,CV47&lt;=$I47),CV47,CV47-MIN(INT(ROUND(IF($F47=1,$C47*$J47,IF(GU47&gt;0,GU47*$K47,CV47*$J47))*IF(56=$R47,$S47,12)/12,6)+$B$4),CV47-$I47)))))</f>
        <v/>
      </c>
      <c r="CX47" s="68">
        <f>IF($U47=0,0,IF($F47=4,0,IF($F47=3,0,IF(OR(57&gt;$R47,CW47&lt;=$I47),CW47,CW47-MIN(INT(ROUND(IF($F47=1,$C47*$J47,IF(GV47&gt;0,GV47*$K47,CW47*$J47))*IF(57=$R47,$S47,12)/12,6)+$B$4),CW47-$I47)))))</f>
        <v/>
      </c>
      <c r="CY47" s="68">
        <f>IF($U47=0,0,IF($F47=4,0,IF($F47=3,0,IF(OR(58&gt;$R47,CX47&lt;=$I47),CX47,CX47-MIN(INT(ROUND(IF($F47=1,$C47*$J47,IF(GW47&gt;0,GW47*$K47,CX47*$J47))*IF(58=$R47,$S47,12)/12,6)+$B$4),CX47-$I47)))))</f>
        <v/>
      </c>
      <c r="CZ47" s="68">
        <f>IF($U47=0,0,IF($F47=4,0,IF($F47=3,0,IF(OR(59&gt;$R47,CY47&lt;=$I47),CY47,CY47-MIN(INT(ROUND(IF($F47=1,$C47*$J47,IF(GX47&gt;0,GX47*$K47,CY47*$J47))*IF(59=$R47,$S47,12)/12,6)+$B$4),CY47-$I47)))))</f>
        <v/>
      </c>
      <c r="DA47" s="68">
        <f>IF($U47=0,0,IF($F47=4,0,IF($F47=3,0,IF(OR(60&gt;$R47,CZ47&lt;=$I47),CZ47,CZ47-MIN(INT(ROUND(IF($F47=1,$C47*$J47,IF(GY47&gt;0,GY47*$K47,CZ47*$J47))*IF(60=$R47,$S47,12)/12,6)+$B$4),CZ47-$I47)))))</f>
        <v/>
      </c>
      <c r="DB47" s="68">
        <f>IF($U47=0,0,IF($F47=4,0,IF($F47=3,0,IF(OR(61&gt;$R47,DA47&lt;=$I47),DA47,DA47-MIN(INT(ROUND(IF($F47=1,$C47*$J47,IF(GZ47&gt;0,GZ47*$K47,DA47*$J47))*IF(61=$R47,$S47,12)/12,6)+$B$4),DA47-$I47)))))</f>
        <v/>
      </c>
      <c r="DC47" s="68">
        <f>IF($U47=0,0,IF($F47=4,0,IF($F47=3,0,IF(OR(62&gt;$R47,DB47&lt;=$I47),DB47,DB47-MIN(INT(ROUND(IF($F47=1,$C47*$J47,IF(HA47&gt;0,HA47*$K47,DB47*$J47))*IF(62=$R47,$S47,12)/12,6)+$B$4),DB47-$I47)))))</f>
        <v/>
      </c>
      <c r="DD47" s="68">
        <f>IF($U47=0,0,IF($F47=4,0,IF($F47=3,0,IF(OR(63&gt;$R47,DC47&lt;=$I47),DC47,DC47-MIN(INT(ROUND(IF($F47=1,$C47*$J47,IF(HB47&gt;0,HB47*$K47,DC47*$J47))*IF(63=$R47,$S47,12)/12,6)+$B$4),DC47-$I47)))))</f>
        <v/>
      </c>
      <c r="DE47" s="68">
        <f>IF($U47=0,0,IF($F47=4,0,IF($F47=3,0,IF(OR(64&gt;$R47,DD47&lt;=$I47),DD47,DD47-MIN(INT(ROUND(IF($F47=1,$C47*$J47,IF(HC47&gt;0,HC47*$K47,DD47*$J47))*IF(64=$R47,$S47,12)/12,6)+$B$4),DD47-$I47)))))</f>
        <v/>
      </c>
      <c r="DF47" s="68">
        <f>IF($U47=0,0,IF($F47=4,0,IF($F47=3,0,IF(OR(65&gt;$R47,DE47&lt;=$I47),DE47,DE47-MIN(INT(ROUND(IF($F47=1,$C47*$J47,IF(HD47&gt;0,HD47*$K47,DE47*$J47))*IF(65=$R47,$S47,12)/12,6)+$B$4),DE47-$I47)))))</f>
        <v/>
      </c>
      <c r="DG47" s="68">
        <f>IF($U47=0,0,IF($F47=4,0,IF($F47=3,0,IF(OR(66&gt;$R47,DF47&lt;=$I47),DF47,DF47-MIN(INT(ROUND(IF($F47=1,$C47*$J47,IF(HE47&gt;0,HE47*$K47,DF47*$J47))*IF(66=$R47,$S47,12)/12,6)+$B$4),DF47-$I47)))))</f>
        <v/>
      </c>
      <c r="DH47" s="68">
        <f>IF($U47=0,0,IF($F47=4,0,IF($F47=3,0,IF(OR(67&gt;$R47,DG47&lt;=$I47),DG47,DG47-MIN(INT(ROUND(IF($F47=1,$C47*$J47,IF(HF47&gt;0,HF47*$K47,DG47*$J47))*IF(67=$R47,$S47,12)/12,6)+$B$4),DG47-$I47)))))</f>
        <v/>
      </c>
      <c r="DI47" s="68">
        <f>IF($U47=0,0,IF($F47=4,0,IF($F47=3,0,IF(OR(68&gt;$R47,DH47&lt;=$I47),DH47,DH47-MIN(INT(ROUND(IF($F47=1,$C47*$J47,IF(HG47&gt;0,HG47*$K47,DH47*$J47))*IF(68=$R47,$S47,12)/12,6)+$B$4),DH47-$I47)))))</f>
        <v/>
      </c>
      <c r="DJ47" s="68">
        <f>IF($U47=0,0,IF($F47=4,0,IF($F47=3,0,IF(OR(69&gt;$R47,DI47&lt;=$I47),DI47,DI47-MIN(INT(ROUND(IF($F47=1,$C47*$J47,IF(HH47&gt;0,HH47*$K47,DI47*$J47))*IF(69=$R47,$S47,12)/12,6)+$B$4),DI47-$I47)))))</f>
        <v/>
      </c>
      <c r="DK47" s="68">
        <f>IF($U47=0,0,IF($F47=4,0,IF($F47=3,0,IF(OR(70&gt;$R47,DJ47&lt;=$I47),DJ47,DJ47-MIN(INT(ROUND(IF($F47=1,$C47*$J47,IF(HI47&gt;0,HI47*$K47,DJ47*$J47))*IF(70=$R47,$S47,12)/12,6)+$B$4),DJ47-$I47)))))</f>
        <v/>
      </c>
      <c r="DL47" s="68">
        <f>IF($U47=0,0,IF($F47=4,0,IF($F47=3,0,IF(OR(71&gt;$R47,DK47&lt;=$I47),DK47,DK47-MIN(INT(ROUND(IF($F47=1,$C47*$J47,IF(HJ47&gt;0,HJ47*$K47,DK47*$J47))*IF(71=$R47,$S47,12)/12,6)+$B$4),DK47-$I47)))))</f>
        <v/>
      </c>
      <c r="DM47" s="68">
        <f>IF($U47=0,0,IF($F47=4,0,IF($F47=3,0,IF(OR(72&gt;$R47,DL47&lt;=$I47),DL47,DL47-MIN(INT(ROUND(IF($F47=1,$C47*$J47,IF(HK47&gt;0,HK47*$K47,DL47*$J47))*IF(72=$R47,$S47,12)/12,6)+$B$4),DL47-$I47)))))</f>
        <v/>
      </c>
      <c r="DN47" s="68">
        <f>IF($U47=0,0,IF($F47=4,0,IF($F47=3,0,IF(OR(73&gt;$R47,DM47&lt;=$I47),DM47,DM47-MIN(INT(ROUND(IF($F47=1,$C47*$J47,IF(HL47&gt;0,HL47*$K47,DM47*$J47))*IF(73=$R47,$S47,12)/12,6)+$B$4),DM47-$I47)))))</f>
        <v/>
      </c>
      <c r="DO47" s="68">
        <f>IF($U47=0,0,IF($F47=4,0,IF($F47=3,0,IF(OR(74&gt;$R47,DN47&lt;=$I47),DN47,DN47-MIN(INT(ROUND(IF($F47=1,$C47*$J47,IF(HM47&gt;0,HM47*$K47,DN47*$J47))*IF(74=$R47,$S47,12)/12,6)+$B$4),DN47-$I47)))))</f>
        <v/>
      </c>
      <c r="DP47" s="68">
        <f>IF($U47=0,0,IF($F47=4,0,IF($F47=3,0,IF(OR(75&gt;$R47,DO47&lt;=$I47),DO47,DO47-MIN(INT(ROUND(IF($F47=1,$C47*$J47,IF(HN47&gt;0,HN47*$K47,DO47*$J47))*IF(75=$R47,$S47,12)/12,6)+$B$4),DO47-$I47)))))</f>
        <v/>
      </c>
      <c r="DQ47" s="68">
        <f>IF($U47=0,0,IF($F47=4,0,IF($F47=3,0,IF(OR(76&gt;$R47,DP47&lt;=$I47),DP47,DP47-MIN(INT(ROUND(IF($F47=1,$C47*$J47,IF(HO47&gt;0,HO47*$K47,DP47*$J47))*IF(76=$R47,$S47,12)/12,6)+$B$4),DP47-$I47)))))</f>
        <v/>
      </c>
      <c r="DR47" s="68">
        <f>IF($U47=0,0,IF($F47=4,0,IF($F47=3,0,IF(OR(77&gt;$R47,DQ47&lt;=$I47),DQ47,DQ47-MIN(INT(ROUND(IF($F47=1,$C47*$J47,IF(HP47&gt;0,HP47*$K47,DQ47*$J47))*IF(77=$R47,$S47,12)/12,6)+$B$4),DQ47-$I47)))))</f>
        <v/>
      </c>
      <c r="DS47" s="68">
        <f>IF($U47=0,0,IF($F47=4,0,IF($F47=3,0,IF(OR(78&gt;$R47,DR47&lt;=$I47),DR47,DR47-MIN(INT(ROUND(IF($F47=1,$C47*$J47,IF(HQ47&gt;0,HQ47*$K47,DR47*$J47))*IF(78=$R47,$S47,12)/12,6)+$B$4),DR47-$I47)))))</f>
        <v/>
      </c>
      <c r="DT47" s="68">
        <f>IF($U47=0,0,IF($F47=4,0,IF($F47=3,0,IF(OR(79&gt;$R47,DS47&lt;=$I47),DS47,DS47-MIN(INT(ROUND(IF($F47=1,$C47*$J47,IF(HR47&gt;0,HR47*$K47,DS47*$J47))*IF(79=$R47,$S47,12)/12,6)+$B$4),DS47-$I47)))))</f>
        <v/>
      </c>
      <c r="DU47" s="68">
        <f>IF($U47=0,0,IF($F47=4,0,IF($F47=3,0,IF(OR(80&gt;$R47,DT47&lt;=$I47),DT47,DT47-MIN(INT(ROUND(IF($F47=1,$C47*$J47,IF(HS47&gt;0,HS47*$K47,DT47*$J47))*IF(80=$R47,$S47,12)/12,6)+$B$4),DT47-$I47)))))</f>
        <v/>
      </c>
      <c r="DV47" s="68">
        <f>IF($U47=0,0,IF($F47=4,0,IF($F47=3,0,IF(OR(81&gt;$R47,DU47&lt;=$I47),DU47,DU47-MIN(INT(ROUND(IF($F47=1,$C47*$J47,IF(HT47&gt;0,HT47*$K47,DU47*$J47))*IF(81=$R47,$S47,12)/12,6)+$B$4),DU47-$I47)))))</f>
        <v/>
      </c>
      <c r="DW47" s="68">
        <f>IF($U47=0,0,IF($F47=4,0,IF($F47=3,0,IF(OR(82&gt;$R47,DV47&lt;=$I47),DV47,DV47-MIN(INT(ROUND(IF($F47=1,$C47*$J47,IF(HU47&gt;0,HU47*$K47,DV47*$J47))*IF(82=$R47,$S47,12)/12,6)+$B$4),DV47-$I47)))))</f>
        <v/>
      </c>
      <c r="DX47" s="68">
        <f>IF($U47=0,0,IF($F47=4,0,IF($F47=3,0,IF(OR(83&gt;$R47,DW47&lt;=$I47),DW47,DW47-MIN(INT(ROUND(IF($F47=1,$C47*$J47,IF(HV47&gt;0,HV47*$K47,DW47*$J47))*IF(83=$R47,$S47,12)/12,6)+$B$4),DW47-$I47)))))</f>
        <v/>
      </c>
      <c r="DY47" s="68">
        <f>IF($U47=0,0,IF($F47=4,0,IF($F47=3,0,IF(OR(84&gt;$R47,DX47&lt;=$I47),DX47,DX47-MIN(INT(ROUND(IF($F47=1,$C47*$J47,IF(HW47&gt;0,HW47*$K47,DX47*$J47))*IF(84=$R47,$S47,12)/12,6)+$B$4),DX47-$I47)))))</f>
        <v/>
      </c>
      <c r="DZ47" s="68">
        <f>IF($U47=0,0,IF($F47=4,0,IF($F47=3,0,IF(OR(85&gt;$R47,DY47&lt;=$I47),DY47,DY47-MIN(INT(ROUND(IF($F47=1,$C47*$J47,IF(HX47&gt;0,HX47*$K47,DY47*$J47))*IF(85=$R47,$S47,12)/12,6)+$B$4),DY47-$I47)))))</f>
        <v/>
      </c>
      <c r="EA47" s="68">
        <f>IF($U47=0,0,IF($F47=4,0,IF($F47=3,0,IF(OR(86&gt;$R47,DZ47&lt;=$I47),DZ47,DZ47-MIN(INT(ROUND(IF($F47=1,$C47*$J47,IF(HY47&gt;0,HY47*$K47,DZ47*$J47))*IF(86=$R47,$S47,12)/12,6)+$B$4),DZ47-$I47)))))</f>
        <v/>
      </c>
      <c r="EB47" s="68">
        <f>IF($U47=0,0,IF($F47=4,0,IF($F47=3,0,IF(OR(87&gt;$R47,EA47&lt;=$I47),EA47,EA47-MIN(INT(ROUND(IF($F47=1,$C47*$J47,IF(HZ47&gt;0,HZ47*$K47,EA47*$J47))*IF(87=$R47,$S47,12)/12,6)+$B$4),EA47-$I47)))))</f>
        <v/>
      </c>
      <c r="EC47" s="68">
        <f>IF($U47=0,0,IF($F47=4,0,IF($F47=3,0,IF(OR(88&gt;$R47,EB47&lt;=$I47),EB47,EB47-MIN(INT(ROUND(IF($F47=1,$C47*$J47,IF(IA47&gt;0,IA47*$K47,EB47*$J47))*IF(88=$R47,$S47,12)/12,6)+$B$4),EB47-$I47)))))</f>
        <v/>
      </c>
      <c r="ED47" s="68">
        <f>IF($U47=0,0,IF($F47=4,0,IF($F47=3,0,IF(OR(89&gt;$R47,EC47&lt;=$I47),EC47,EC47-MIN(INT(ROUND(IF($F47=1,$C47*$J47,IF(IB47&gt;0,IB47*$K47,EC47*$J47))*IF(89=$R47,$S47,12)/12,6)+$B$4),EC47-$I47)))))</f>
        <v/>
      </c>
      <c r="EE47" s="68">
        <f>IF($U47=0,0,IF($F47=4,0,IF($F47=3,0,IF(OR(90&gt;$R47,ED47&lt;=$I47),ED47,ED47-MIN(INT(ROUND(IF($F47=1,$C47*$J47,IF(IC47&gt;0,IC47*$K47,ED47*$J47))*IF(90=$R47,$S47,12)/12,6)+$B$4),ED47-$I47)))))</f>
        <v/>
      </c>
      <c r="EF47" s="68">
        <f>IF($U47=0,0,IF($F47=4,0,IF($F47=3,0,IF(OR(91&gt;$R47,EE47&lt;=$I47),EE47,EE47-MIN(INT(ROUND(IF($F47=1,$C47*$J47,IF(ID47&gt;0,ID47*$K47,EE47*$J47))*IF(91=$R47,$S47,12)/12,6)+$B$4),EE47-$I47)))))</f>
        <v/>
      </c>
      <c r="EG47" s="68">
        <f>IF($U47=0,0,IF($F47=4,0,IF($F47=3,0,IF(OR(92&gt;$R47,EF47&lt;=$I47),EF47,EF47-MIN(INT(ROUND(IF($F47=1,$C47*$J47,IF(IE47&gt;0,IE47*$K47,EF47*$J47))*IF(92=$R47,$S47,12)/12,6)+$B$4),EF47-$I47)))))</f>
        <v/>
      </c>
      <c r="EH47" s="68">
        <f>IF($U47=0,0,IF($F47=4,0,IF($F47=3,0,IF(OR(93&gt;$R47,EG47&lt;=$I47),EG47,EG47-MIN(INT(ROUND(IF($F47=1,$C47*$J47,IF(IF47&gt;0,IF47*$K47,EG47*$J47))*IF(93=$R47,$S47,12)/12,6)+$B$4),EG47-$I47)))))</f>
        <v/>
      </c>
      <c r="EI47" s="68">
        <f>IF($U47=0,0,IF($F47=4,0,IF($F47=3,0,IF(OR(94&gt;$R47,EH47&lt;=$I47),EH47,EH47-MIN(INT(ROUND(IF($F47=1,$C47*$J47,IF(IG47&gt;0,IG47*$K47,EH47*$J47))*IF(94=$R47,$S47,12)/12,6)+$B$4),EH47-$I47)))))</f>
        <v/>
      </c>
      <c r="EJ47" s="68">
        <f>IF($U47=0,0,IF($F47=4,0,IF($F47=3,0,IF(OR(95&gt;$R47,EI47&lt;=$I47),EI47,EI47-MIN(INT(ROUND(IF($F47=1,$C47*$J47,IF(IH47&gt;0,IH47*$K47,EI47*$J47))*IF(95=$R47,$S47,12)/12,6)+$B$4),EI47-$I47)))))</f>
        <v/>
      </c>
      <c r="EK47" s="68">
        <f>IF($U47=0,0,IF($F47=4,0,IF($F47=3,0,IF(OR(96&gt;$R47,EJ47&lt;=$I47),EJ47,EJ47-MIN(INT(ROUND(IF($F47=1,$C47*$J47,IF(II47&gt;0,II47*$K47,EJ47*$J47))*IF(96=$R47,$S47,12)/12,6)+$B$4),EJ47-$I47)))))</f>
        <v/>
      </c>
      <c r="EL47" s="68">
        <f>IF($U47=0,0,IF($F47=4,0,IF($F47=3,0,IF(OR(97&gt;$R47,EK47&lt;=$I47),EK47,EK47-MIN(INT(ROUND(IF($F47=1,$C47*$J47,IF(IJ47&gt;0,IJ47*$K47,EK47*$J47))*IF(97=$R47,$S47,12)/12,6)+$B$4),EK47-$I47)))))</f>
        <v/>
      </c>
      <c r="EM47" s="68">
        <f>IF($U47=0,0,IF($F47=4,0,IF($F47=3,0,IF(OR(98&gt;$R47,EL47&lt;=$I47),EL47,EL47-MIN(INT(ROUND(IF($F47=1,$C47*$J47,IF(IK47&gt;0,IK47*$K47,EL47*$J47))*IF(98=$R47,$S47,12)/12,6)+$B$4),EL47-$I47)))))</f>
        <v/>
      </c>
      <c r="EN47" s="68">
        <f>IF($U47=0,0,IF($F47=4,0,IF($F47=3,0,IF(OR(99&gt;$R47,EM47&lt;=$I47),EM47,EM47-MIN(INT(ROUND(IF($F47=1,$C47*$J47,IF(IL47&gt;0,IL47*$K47,EM47*$J47))*IF(99=$R47,$S47,12)/12,6)+$B$4),EM47-$I47)))))</f>
        <v/>
      </c>
      <c r="EO47" s="68">
        <f>IF($U47=0,0,IF($F47=4,0,IF($F47=3,0,IF(OR(100&gt;$R47,EN47&lt;=$I47),EN47,EN47-MIN(INT(ROUND(IF($F47=1,$C47*$J47,IF(IM47&gt;0,IM47*$K47,EN47*$J47))*IF(100=$R47,$S47,12)/12,6)+$B$4),EN47-$I47)))))</f>
        <v/>
      </c>
      <c r="EP47" s="68">
        <f>IF($U47=0,0,IF($F47=4,0,IF($F47=3,0,IF(OR(101&gt;$R47,EO47&lt;=$I47),EO47,EO47-MIN(INT(ROUND(IF($F47=1,$C47*$J47,IF(IN47&gt;0,IN47*$K47,EO47*$J47))*IF(101=$R47,$S47,12)/12,6)+$B$4),EO47-$I47)))))</f>
        <v/>
      </c>
      <c r="EQ47" s="68" t="n"/>
      <c r="ER47" s="68">
        <f>IF(OR($U47=0,$F47&lt;&gt;2),0,IF(ROUND(AS47*$J47,6)&lt;ROUND($M47,6),AS47,0))</f>
        <v/>
      </c>
      <c r="ES47" s="68">
        <f>IF(OR($U47=0,$F47&lt;&gt;2),0,IF(ER47&gt;0,ER47,IF(ROUND(AT47*$J47,6)&lt;ROUND($M47,6),AT47,0)))</f>
        <v/>
      </c>
      <c r="ET47" s="68">
        <f>IF(OR($U47=0,$F47&lt;&gt;2),0,IF(ES47&gt;0,ES47,IF(ROUND(AU47*$J47,6)&lt;ROUND($M47,6),AU47,0)))</f>
        <v/>
      </c>
      <c r="EU47" s="68">
        <f>IF(OR($U47=0,$F47&lt;&gt;2),0,IF(ET47&gt;0,ET47,IF(ROUND(AV47*$J47,6)&lt;ROUND($M47,6),AV47,0)))</f>
        <v/>
      </c>
      <c r="EV47" s="68">
        <f>IF(OR($U47=0,$F47&lt;&gt;2),0,IF(EU47&gt;0,EU47,IF(ROUND(AW47*$J47,6)&lt;ROUND($M47,6),AW47,0)))</f>
        <v/>
      </c>
      <c r="EW47" s="68">
        <f>IF(OR($U47=0,$F47&lt;&gt;2),0,IF(EV47&gt;0,EV47,IF(ROUND(AX47*$J47,6)&lt;ROUND($M47,6),AX47,0)))</f>
        <v/>
      </c>
      <c r="EX47" s="68">
        <f>IF(OR($U47=0,$F47&lt;&gt;2),0,IF(EW47&gt;0,EW47,IF(ROUND(AY47*$J47,6)&lt;ROUND($M47,6),AY47,0)))</f>
        <v/>
      </c>
      <c r="EY47" s="68">
        <f>IF(OR($U47=0,$F47&lt;&gt;2),0,IF(EX47&gt;0,EX47,IF(ROUND(AZ47*$J47,6)&lt;ROUND($M47,6),AZ47,0)))</f>
        <v/>
      </c>
      <c r="EZ47" s="68">
        <f>IF(OR($U47=0,$F47&lt;&gt;2),0,IF(EY47&gt;0,EY47,IF(ROUND(BA47*$J47,6)&lt;ROUND($M47,6),BA47,0)))</f>
        <v/>
      </c>
      <c r="FA47" s="68">
        <f>IF(OR($U47=0,$F47&lt;&gt;2),0,IF(EZ47&gt;0,EZ47,IF(ROUND(BB47*$J47,6)&lt;ROUND($M47,6),BB47,0)))</f>
        <v/>
      </c>
      <c r="FB47" s="68">
        <f>IF(OR($U47=0,$F47&lt;&gt;2),0,IF(FA47&gt;0,FA47,IF(ROUND(BC47*$J47,6)&lt;ROUND($M47,6),BC47,0)))</f>
        <v/>
      </c>
      <c r="FC47" s="68">
        <f>IF(OR($U47=0,$F47&lt;&gt;2),0,IF(FB47&gt;0,FB47,IF(ROUND(BD47*$J47,6)&lt;ROUND($M47,6),BD47,0)))</f>
        <v/>
      </c>
      <c r="FD47" s="68">
        <f>IF(OR($U47=0,$F47&lt;&gt;2),0,IF(FC47&gt;0,FC47,IF(ROUND(BE47*$J47,6)&lt;ROUND($M47,6),BE47,0)))</f>
        <v/>
      </c>
      <c r="FE47" s="68">
        <f>IF(OR($U47=0,$F47&lt;&gt;2),0,IF(FD47&gt;0,FD47,IF(ROUND(BF47*$J47,6)&lt;ROUND($M47,6),BF47,0)))</f>
        <v/>
      </c>
      <c r="FF47" s="68">
        <f>IF(OR($U47=0,$F47&lt;&gt;2),0,IF(FE47&gt;0,FE47,IF(ROUND(BG47*$J47,6)&lt;ROUND($M47,6),BG47,0)))</f>
        <v/>
      </c>
      <c r="FG47" s="68">
        <f>IF(OR($U47=0,$F47&lt;&gt;2),0,IF(FF47&gt;0,FF47,IF(ROUND(BH47*$J47,6)&lt;ROUND($M47,6),BH47,0)))</f>
        <v/>
      </c>
      <c r="FH47" s="68">
        <f>IF(OR($U47=0,$F47&lt;&gt;2),0,IF(FG47&gt;0,FG47,IF(ROUND(BI47*$J47,6)&lt;ROUND($M47,6),BI47,0)))</f>
        <v/>
      </c>
      <c r="FI47" s="68">
        <f>IF(OR($U47=0,$F47&lt;&gt;2),0,IF(FH47&gt;0,FH47,IF(ROUND(BJ47*$J47,6)&lt;ROUND($M47,6),BJ47,0)))</f>
        <v/>
      </c>
      <c r="FJ47" s="68">
        <f>IF(OR($U47=0,$F47&lt;&gt;2),0,IF(FI47&gt;0,FI47,IF(ROUND(BK47*$J47,6)&lt;ROUND($M47,6),BK47,0)))</f>
        <v/>
      </c>
      <c r="FK47" s="68">
        <f>IF(OR($U47=0,$F47&lt;&gt;2),0,IF(FJ47&gt;0,FJ47,IF(ROUND(BL47*$J47,6)&lt;ROUND($M47,6),BL47,0)))</f>
        <v/>
      </c>
      <c r="FL47" s="68">
        <f>IF(OR($U47=0,$F47&lt;&gt;2),0,IF(FK47&gt;0,FK47,IF(ROUND(BM47*$J47,6)&lt;ROUND($M47,6),BM47,0)))</f>
        <v/>
      </c>
      <c r="FM47" s="68">
        <f>IF(OR($U47=0,$F47&lt;&gt;2),0,IF(FL47&gt;0,FL47,IF(ROUND(BN47*$J47,6)&lt;ROUND($M47,6),BN47,0)))</f>
        <v/>
      </c>
      <c r="FN47" s="68">
        <f>IF(OR($U47=0,$F47&lt;&gt;2),0,IF(FM47&gt;0,FM47,IF(ROUND(BO47*$J47,6)&lt;ROUND($M47,6),BO47,0)))</f>
        <v/>
      </c>
      <c r="FO47" s="68">
        <f>IF(OR($U47=0,$F47&lt;&gt;2),0,IF(FN47&gt;0,FN47,IF(ROUND(BP47*$J47,6)&lt;ROUND($M47,6),BP47,0)))</f>
        <v/>
      </c>
      <c r="FP47" s="68">
        <f>IF(OR($U47=0,$F47&lt;&gt;2),0,IF(FO47&gt;0,FO47,IF(ROUND(BQ47*$J47,6)&lt;ROUND($M47,6),BQ47,0)))</f>
        <v/>
      </c>
      <c r="FQ47" s="68">
        <f>IF(OR($U47=0,$F47&lt;&gt;2),0,IF(FP47&gt;0,FP47,IF(ROUND(BR47*$J47,6)&lt;ROUND($M47,6),BR47,0)))</f>
        <v/>
      </c>
      <c r="FR47" s="68">
        <f>IF(OR($U47=0,$F47&lt;&gt;2),0,IF(FQ47&gt;0,FQ47,IF(ROUND(BS47*$J47,6)&lt;ROUND($M47,6),BS47,0)))</f>
        <v/>
      </c>
      <c r="FS47" s="68">
        <f>IF(OR($U47=0,$F47&lt;&gt;2),0,IF(FR47&gt;0,FR47,IF(ROUND(BT47*$J47,6)&lt;ROUND($M47,6),BT47,0)))</f>
        <v/>
      </c>
      <c r="FT47" s="68">
        <f>IF(OR($U47=0,$F47&lt;&gt;2),0,IF(FS47&gt;0,FS47,IF(ROUND(BU47*$J47,6)&lt;ROUND($M47,6),BU47,0)))</f>
        <v/>
      </c>
      <c r="FU47" s="68">
        <f>IF(OR($U47=0,$F47&lt;&gt;2),0,IF(FT47&gt;0,FT47,IF(ROUND(BV47*$J47,6)&lt;ROUND($M47,6),BV47,0)))</f>
        <v/>
      </c>
      <c r="FV47" s="68">
        <f>IF(OR($U47=0,$F47&lt;&gt;2),0,IF(FU47&gt;0,FU47,IF(ROUND(BW47*$J47,6)&lt;ROUND($M47,6),BW47,0)))</f>
        <v/>
      </c>
      <c r="FW47" s="68">
        <f>IF(OR($U47=0,$F47&lt;&gt;2),0,IF(FV47&gt;0,FV47,IF(ROUND(BX47*$J47,6)&lt;ROUND($M47,6),BX47,0)))</f>
        <v/>
      </c>
      <c r="FX47" s="68">
        <f>IF(OR($U47=0,$F47&lt;&gt;2),0,IF(FW47&gt;0,FW47,IF(ROUND(BY47*$J47,6)&lt;ROUND($M47,6),BY47,0)))</f>
        <v/>
      </c>
      <c r="FY47" s="68">
        <f>IF(OR($U47=0,$F47&lt;&gt;2),0,IF(FX47&gt;0,FX47,IF(ROUND(BZ47*$J47,6)&lt;ROUND($M47,6),BZ47,0)))</f>
        <v/>
      </c>
      <c r="FZ47" s="68">
        <f>IF(OR($U47=0,$F47&lt;&gt;2),0,IF(FY47&gt;0,FY47,IF(ROUND(CA47*$J47,6)&lt;ROUND($M47,6),CA47,0)))</f>
        <v/>
      </c>
      <c r="GA47" s="68">
        <f>IF(OR($U47=0,$F47&lt;&gt;2),0,IF(FZ47&gt;0,FZ47,IF(ROUND(CB47*$J47,6)&lt;ROUND($M47,6),CB47,0)))</f>
        <v/>
      </c>
      <c r="GB47" s="68">
        <f>IF(OR($U47=0,$F47&lt;&gt;2),0,IF(GA47&gt;0,GA47,IF(ROUND(CC47*$J47,6)&lt;ROUND($M47,6),CC47,0)))</f>
        <v/>
      </c>
      <c r="GC47" s="68">
        <f>IF(OR($U47=0,$F47&lt;&gt;2),0,IF(GB47&gt;0,GB47,IF(ROUND(CD47*$J47,6)&lt;ROUND($M47,6),CD47,0)))</f>
        <v/>
      </c>
      <c r="GD47" s="68">
        <f>IF(OR($U47=0,$F47&lt;&gt;2),0,IF(GC47&gt;0,GC47,IF(ROUND(CE47*$J47,6)&lt;ROUND($M47,6),CE47,0)))</f>
        <v/>
      </c>
      <c r="GE47" s="68">
        <f>IF(OR($U47=0,$F47&lt;&gt;2),0,IF(GD47&gt;0,GD47,IF(ROUND(CF47*$J47,6)&lt;ROUND($M47,6),CF47,0)))</f>
        <v/>
      </c>
      <c r="GF47" s="68">
        <f>IF(OR($U47=0,$F47&lt;&gt;2),0,IF(GE47&gt;0,GE47,IF(ROUND(CG47*$J47,6)&lt;ROUND($M47,6),CG47,0)))</f>
        <v/>
      </c>
      <c r="GG47" s="68">
        <f>IF(OR($U47=0,$F47&lt;&gt;2),0,IF(GF47&gt;0,GF47,IF(ROUND(CH47*$J47,6)&lt;ROUND($M47,6),CH47,0)))</f>
        <v/>
      </c>
      <c r="GH47" s="68">
        <f>IF(OR($U47=0,$F47&lt;&gt;2),0,IF(GG47&gt;0,GG47,IF(ROUND(CI47*$J47,6)&lt;ROUND($M47,6),CI47,0)))</f>
        <v/>
      </c>
      <c r="GI47" s="68">
        <f>IF(OR($U47=0,$F47&lt;&gt;2),0,IF(GH47&gt;0,GH47,IF(ROUND(CJ47*$J47,6)&lt;ROUND($M47,6),CJ47,0)))</f>
        <v/>
      </c>
      <c r="GJ47" s="68">
        <f>IF(OR($U47=0,$F47&lt;&gt;2),0,IF(GI47&gt;0,GI47,IF(ROUND(CK47*$J47,6)&lt;ROUND($M47,6),CK47,0)))</f>
        <v/>
      </c>
      <c r="GK47" s="68">
        <f>IF(OR($U47=0,$F47&lt;&gt;2),0,IF(GJ47&gt;0,GJ47,IF(ROUND(CL47*$J47,6)&lt;ROUND($M47,6),CL47,0)))</f>
        <v/>
      </c>
      <c r="GL47" s="68">
        <f>IF(OR($U47=0,$F47&lt;&gt;2),0,IF(GK47&gt;0,GK47,IF(ROUND(CM47*$J47,6)&lt;ROUND($M47,6),CM47,0)))</f>
        <v/>
      </c>
      <c r="GM47" s="68">
        <f>IF(OR($U47=0,$F47&lt;&gt;2),0,IF(GL47&gt;0,GL47,IF(ROUND(CN47*$J47,6)&lt;ROUND($M47,6),CN47,0)))</f>
        <v/>
      </c>
      <c r="GN47" s="68">
        <f>IF(OR($U47=0,$F47&lt;&gt;2),0,IF(GM47&gt;0,GM47,IF(ROUND(CO47*$J47,6)&lt;ROUND($M47,6),CO47,0)))</f>
        <v/>
      </c>
      <c r="GO47" s="68">
        <f>IF(OR($U47=0,$F47&lt;&gt;2),0,IF(GN47&gt;0,GN47,IF(ROUND(CP47*$J47,6)&lt;ROUND($M47,6),CP47,0)))</f>
        <v/>
      </c>
      <c r="GP47" s="68">
        <f>IF(OR($U47=0,$F47&lt;&gt;2),0,IF(GO47&gt;0,GO47,IF(ROUND(CQ47*$J47,6)&lt;ROUND($M47,6),CQ47,0)))</f>
        <v/>
      </c>
      <c r="GQ47" s="68">
        <f>IF(OR($U47=0,$F47&lt;&gt;2),0,IF(GP47&gt;0,GP47,IF(ROUND(CR47*$J47,6)&lt;ROUND($M47,6),CR47,0)))</f>
        <v/>
      </c>
      <c r="GR47" s="68">
        <f>IF(OR($U47=0,$F47&lt;&gt;2),0,IF(GQ47&gt;0,GQ47,IF(ROUND(CS47*$J47,6)&lt;ROUND($M47,6),CS47,0)))</f>
        <v/>
      </c>
      <c r="GS47" s="68">
        <f>IF(OR($U47=0,$F47&lt;&gt;2),0,IF(GR47&gt;0,GR47,IF(ROUND(CT47*$J47,6)&lt;ROUND($M47,6),CT47,0)))</f>
        <v/>
      </c>
      <c r="GT47" s="68">
        <f>IF(OR($U47=0,$F47&lt;&gt;2),0,IF(GS47&gt;0,GS47,IF(ROUND(CU47*$J47,6)&lt;ROUND($M47,6),CU47,0)))</f>
        <v/>
      </c>
      <c r="GU47" s="68">
        <f>IF(OR($U47=0,$F47&lt;&gt;2),0,IF(GT47&gt;0,GT47,IF(ROUND(CV47*$J47,6)&lt;ROUND($M47,6),CV47,0)))</f>
        <v/>
      </c>
      <c r="GV47" s="68">
        <f>IF(OR($U47=0,$F47&lt;&gt;2),0,IF(GU47&gt;0,GU47,IF(ROUND(CW47*$J47,6)&lt;ROUND($M47,6),CW47,0)))</f>
        <v/>
      </c>
      <c r="GW47" s="68">
        <f>IF(OR($U47=0,$F47&lt;&gt;2),0,IF(GV47&gt;0,GV47,IF(ROUND(CX47*$J47,6)&lt;ROUND($M47,6),CX47,0)))</f>
        <v/>
      </c>
      <c r="GX47" s="68">
        <f>IF(OR($U47=0,$F47&lt;&gt;2),0,IF(GW47&gt;0,GW47,IF(ROUND(CY47*$J47,6)&lt;ROUND($M47,6),CY47,0)))</f>
        <v/>
      </c>
      <c r="GY47" s="68">
        <f>IF(OR($U47=0,$F47&lt;&gt;2),0,IF(GX47&gt;0,GX47,IF(ROUND(CZ47*$J47,6)&lt;ROUND($M47,6),CZ47,0)))</f>
        <v/>
      </c>
      <c r="GZ47" s="68">
        <f>IF(OR($U47=0,$F47&lt;&gt;2),0,IF(GY47&gt;0,GY47,IF(ROUND(DA47*$J47,6)&lt;ROUND($M47,6),DA47,0)))</f>
        <v/>
      </c>
      <c r="HA47" s="68">
        <f>IF(OR($U47=0,$F47&lt;&gt;2),0,IF(GZ47&gt;0,GZ47,IF(ROUND(DB47*$J47,6)&lt;ROUND($M47,6),DB47,0)))</f>
        <v/>
      </c>
      <c r="HB47" s="68">
        <f>IF(OR($U47=0,$F47&lt;&gt;2),0,IF(HA47&gt;0,HA47,IF(ROUND(DC47*$J47,6)&lt;ROUND($M47,6),DC47,0)))</f>
        <v/>
      </c>
      <c r="HC47" s="68">
        <f>IF(OR($U47=0,$F47&lt;&gt;2),0,IF(HB47&gt;0,HB47,IF(ROUND(DD47*$J47,6)&lt;ROUND($M47,6),DD47,0)))</f>
        <v/>
      </c>
      <c r="HD47" s="68">
        <f>IF(OR($U47=0,$F47&lt;&gt;2),0,IF(HC47&gt;0,HC47,IF(ROUND(DE47*$J47,6)&lt;ROUND($M47,6),DE47,0)))</f>
        <v/>
      </c>
      <c r="HE47" s="68">
        <f>IF(OR($U47=0,$F47&lt;&gt;2),0,IF(HD47&gt;0,HD47,IF(ROUND(DF47*$J47,6)&lt;ROUND($M47,6),DF47,0)))</f>
        <v/>
      </c>
      <c r="HF47" s="68">
        <f>IF(OR($U47=0,$F47&lt;&gt;2),0,IF(HE47&gt;0,HE47,IF(ROUND(DG47*$J47,6)&lt;ROUND($M47,6),DG47,0)))</f>
        <v/>
      </c>
      <c r="HG47" s="68">
        <f>IF(OR($U47=0,$F47&lt;&gt;2),0,IF(HF47&gt;0,HF47,IF(ROUND(DH47*$J47,6)&lt;ROUND($M47,6),DH47,0)))</f>
        <v/>
      </c>
      <c r="HH47" s="68">
        <f>IF(OR($U47=0,$F47&lt;&gt;2),0,IF(HG47&gt;0,HG47,IF(ROUND(DI47*$J47,6)&lt;ROUND($M47,6),DI47,0)))</f>
        <v/>
      </c>
      <c r="HI47" s="68">
        <f>IF(OR($U47=0,$F47&lt;&gt;2),0,IF(HH47&gt;0,HH47,IF(ROUND(DJ47*$J47,6)&lt;ROUND($M47,6),DJ47,0)))</f>
        <v/>
      </c>
      <c r="HJ47" s="68">
        <f>IF(OR($U47=0,$F47&lt;&gt;2),0,IF(HI47&gt;0,HI47,IF(ROUND(DK47*$J47,6)&lt;ROUND($M47,6),DK47,0)))</f>
        <v/>
      </c>
      <c r="HK47" s="68">
        <f>IF(OR($U47=0,$F47&lt;&gt;2),0,IF(HJ47&gt;0,HJ47,IF(ROUND(DL47*$J47,6)&lt;ROUND($M47,6),DL47,0)))</f>
        <v/>
      </c>
      <c r="HL47" s="68">
        <f>IF(OR($U47=0,$F47&lt;&gt;2),0,IF(HK47&gt;0,HK47,IF(ROUND(DM47*$J47,6)&lt;ROUND($M47,6),DM47,0)))</f>
        <v/>
      </c>
      <c r="HM47" s="68">
        <f>IF(OR($U47=0,$F47&lt;&gt;2),0,IF(HL47&gt;0,HL47,IF(ROUND(DN47*$J47,6)&lt;ROUND($M47,6),DN47,0)))</f>
        <v/>
      </c>
      <c r="HN47" s="68">
        <f>IF(OR($U47=0,$F47&lt;&gt;2),0,IF(HM47&gt;0,HM47,IF(ROUND(DO47*$J47,6)&lt;ROUND($M47,6),DO47,0)))</f>
        <v/>
      </c>
      <c r="HO47" s="68">
        <f>IF(OR($U47=0,$F47&lt;&gt;2),0,IF(HN47&gt;0,HN47,IF(ROUND(DP47*$J47,6)&lt;ROUND($M47,6),DP47,0)))</f>
        <v/>
      </c>
      <c r="HP47" s="68">
        <f>IF(OR($U47=0,$F47&lt;&gt;2),0,IF(HO47&gt;0,HO47,IF(ROUND(DQ47*$J47,6)&lt;ROUND($M47,6),DQ47,0)))</f>
        <v/>
      </c>
      <c r="HQ47" s="68">
        <f>IF(OR($U47=0,$F47&lt;&gt;2),0,IF(HP47&gt;0,HP47,IF(ROUND(DR47*$J47,6)&lt;ROUND($M47,6),DR47,0)))</f>
        <v/>
      </c>
      <c r="HR47" s="68">
        <f>IF(OR($U47=0,$F47&lt;&gt;2),0,IF(HQ47&gt;0,HQ47,IF(ROUND(DS47*$J47,6)&lt;ROUND($M47,6),DS47,0)))</f>
        <v/>
      </c>
      <c r="HS47" s="68">
        <f>IF(OR($U47=0,$F47&lt;&gt;2),0,IF(HR47&gt;0,HR47,IF(ROUND(DT47*$J47,6)&lt;ROUND($M47,6),DT47,0)))</f>
        <v/>
      </c>
      <c r="HT47" s="68">
        <f>IF(OR($U47=0,$F47&lt;&gt;2),0,IF(HS47&gt;0,HS47,IF(ROUND(DU47*$J47,6)&lt;ROUND($M47,6),DU47,0)))</f>
        <v/>
      </c>
      <c r="HU47" s="68">
        <f>IF(OR($U47=0,$F47&lt;&gt;2),0,IF(HT47&gt;0,HT47,IF(ROUND(DV47*$J47,6)&lt;ROUND($M47,6),DV47,0)))</f>
        <v/>
      </c>
      <c r="HV47" s="68">
        <f>IF(OR($U47=0,$F47&lt;&gt;2),0,IF(HU47&gt;0,HU47,IF(ROUND(DW47*$J47,6)&lt;ROUND($M47,6),DW47,0)))</f>
        <v/>
      </c>
      <c r="HW47" s="68">
        <f>IF(OR($U47=0,$F47&lt;&gt;2),0,IF(HV47&gt;0,HV47,IF(ROUND(DX47*$J47,6)&lt;ROUND($M47,6),DX47,0)))</f>
        <v/>
      </c>
      <c r="HX47" s="68">
        <f>IF(OR($U47=0,$F47&lt;&gt;2),0,IF(HW47&gt;0,HW47,IF(ROUND(DY47*$J47,6)&lt;ROUND($M47,6),DY47,0)))</f>
        <v/>
      </c>
      <c r="HY47" s="68">
        <f>IF(OR($U47=0,$F47&lt;&gt;2),0,IF(HX47&gt;0,HX47,IF(ROUND(DZ47*$J47,6)&lt;ROUND($M47,6),DZ47,0)))</f>
        <v/>
      </c>
      <c r="HZ47" s="68">
        <f>IF(OR($U47=0,$F47&lt;&gt;2),0,IF(HY47&gt;0,HY47,IF(ROUND(EA47*$J47,6)&lt;ROUND($M47,6),EA47,0)))</f>
        <v/>
      </c>
      <c r="IA47" s="68">
        <f>IF(OR($U47=0,$F47&lt;&gt;2),0,IF(HZ47&gt;0,HZ47,IF(ROUND(EB47*$J47,6)&lt;ROUND($M47,6),EB47,0)))</f>
        <v/>
      </c>
      <c r="IB47" s="68">
        <f>IF(OR($U47=0,$F47&lt;&gt;2),0,IF(IA47&gt;0,IA47,IF(ROUND(EC47*$J47,6)&lt;ROUND($M47,6),EC47,0)))</f>
        <v/>
      </c>
      <c r="IC47" s="68">
        <f>IF(OR($U47=0,$F47&lt;&gt;2),0,IF(IB47&gt;0,IB47,IF(ROUND(ED47*$J47,6)&lt;ROUND($M47,6),ED47,0)))</f>
        <v/>
      </c>
      <c r="ID47" s="68">
        <f>IF(OR($U47=0,$F47&lt;&gt;2),0,IF(IC47&gt;0,IC47,IF(ROUND(EE47*$J47,6)&lt;ROUND($M47,6),EE47,0)))</f>
        <v/>
      </c>
      <c r="IE47" s="68">
        <f>IF(OR($U47=0,$F47&lt;&gt;2),0,IF(ID47&gt;0,ID47,IF(ROUND(EF47*$J47,6)&lt;ROUND($M47,6),EF47,0)))</f>
        <v/>
      </c>
      <c r="IF47" s="68">
        <f>IF(OR($U47=0,$F47&lt;&gt;2),0,IF(IE47&gt;0,IE47,IF(ROUND(EG47*$J47,6)&lt;ROUND($M47,6),EG47,0)))</f>
        <v/>
      </c>
      <c r="IG47" s="68">
        <f>IF(OR($U47=0,$F47&lt;&gt;2),0,IF(IF47&gt;0,IF47,IF(ROUND(EH47*$J47,6)&lt;ROUND($M47,6),EH47,0)))</f>
        <v/>
      </c>
      <c r="IH47" s="68">
        <f>IF(OR($U47=0,$F47&lt;&gt;2),0,IF(IG47&gt;0,IG47,IF(ROUND(EI47*$J47,6)&lt;ROUND($M47,6),EI47,0)))</f>
        <v/>
      </c>
      <c r="II47" s="68">
        <f>IF(OR($U47=0,$F47&lt;&gt;2),0,IF(IH47&gt;0,IH47,IF(ROUND(EJ47*$J47,6)&lt;ROUND($M47,6),EJ47,0)))</f>
        <v/>
      </c>
      <c r="IJ47" s="68">
        <f>IF(OR($U47=0,$F47&lt;&gt;2),0,IF(II47&gt;0,II47,IF(ROUND(EK47*$J47,6)&lt;ROUND($M47,6),EK47,0)))</f>
        <v/>
      </c>
      <c r="IK47" s="68">
        <f>IF(OR($U47=0,$F47&lt;&gt;2),0,IF(IJ47&gt;0,IJ47,IF(ROUND(EL47*$J47,6)&lt;ROUND($M47,6),EL47,0)))</f>
        <v/>
      </c>
      <c r="IL47" s="68">
        <f>IF(OR($U47=0,$F47&lt;&gt;2),0,IF(IK47&gt;0,IK47,IF(ROUND(EM47*$J47,6)&lt;ROUND($M47,6),EM47,0)))</f>
        <v/>
      </c>
      <c r="IM47" s="68">
        <f>IF(OR($U47=0,$F47&lt;&gt;2),0,IF(IL47&gt;0,IL47,IF(ROUND(EN47*$J47,6)&lt;ROUND($M47,6),EN47,0)))</f>
        <v/>
      </c>
      <c r="IN47" s="68">
        <f>IF(OR($U47=0,$F47&lt;&gt;2),0,IF(IM47&gt;0,IM47,IF(ROUND(EO47*$J47,6)&lt;ROUND($M47,6),EO47,0)))</f>
        <v/>
      </c>
    </row>
    <row r="48">
      <c r="A48" s="68" t="n">
        <v>43</v>
      </c>
      <c r="B48" s="68">
        <f>IF(OR(TRIM('固定資産台帳'!$B48)&lt;&gt;"",'固定資産台帳'!$E48&lt;&gt;"",'固定資産台帳'!$G48&lt;&gt;"",'固定資産台帳'!$H48&lt;&gt;""),1,0)</f>
        <v/>
      </c>
      <c r="C48" s="68">
        <f>IF(ISNUMBER('固定資産台帳'!$G48),MAX(ROUND('固定資産台帳'!$G48,0),0),0)</f>
        <v/>
      </c>
      <c r="D48" s="84">
        <f>IF(ISNUMBER('固定資産台帳'!$E48),INT('固定資産台帳'!$E48),0)</f>
        <v/>
      </c>
      <c r="E48" s="84">
        <f>IF(ISNUMBER('固定資産台帳'!$F48),INT('固定資産台帳'!$F48),$D48)</f>
        <v/>
      </c>
      <c r="F48" s="68">
        <f>IF('固定資産台帳'!$H48="定額法",1,IF(OR('固定資産台帳'!$H48="定率法",'固定資産台帳'!$H48="定率法（200%）",'固定資産台帳'!$H48="定率法（250%）"),2,IF('固定資産台帳'!$H48="一括償却（3年）",3,IF('固定資産台帳'!$H48="少額特例",4,0))))</f>
        <v/>
      </c>
      <c r="G48" s="68">
        <f>IF('固定資産台帳'!$H48="定率法（250%）",250,IF('固定資産台帳'!$H48="定率法（200%）",200,IF($D48&gt;=DATE(2012,4,1),200,250)))</f>
        <v/>
      </c>
      <c r="H48" s="68">
        <f>IF(ISNUMBER('固定資産台帳'!$I48),IF(AND('固定資産台帳'!$I48&gt;=2,'固定資産台帳'!$I48&lt;=100,'固定資産台帳'!$I48=INT('固定資産台帳'!$I48)),'固定資産台帳'!$I48,0),0)</f>
        <v/>
      </c>
      <c r="I48" s="68">
        <f>IF('固定資産台帳'!$C48="無形固定資産",0,1)</f>
        <v/>
      </c>
      <c r="J48" s="68">
        <f>IF(OR($H48=0,$F48=0,$F48&gt;2),0,IF($F48=1,INDEX('償却率表'!$B$6:$B$104,$H48-1),IF($G48=200,INDEX('償却率表'!$C$6:$C$104,$H48-1),INDEX('償却率表'!$F$6:$F$104,$H48-1))))</f>
        <v/>
      </c>
      <c r="K48" s="68">
        <f>IF(AND($F48=2,$H48&gt;0),IF($G48=200,INDEX('償却率表'!$D$6:$D$104,$H48-1),INDEX('償却率表'!$G$6:$G$104,$H48-1)),0)</f>
        <v/>
      </c>
      <c r="L48" s="68">
        <f>IF(AND($F48=2,$H48&gt;0),IF($G48=200,INDEX('償却率表'!$E$6:$E$104,$H48-1),INDEX('償却率表'!$H$6:$H$104,$H48-1)),0)</f>
        <v/>
      </c>
      <c r="M48" s="68">
        <f>$C48*$L48</f>
        <v/>
      </c>
      <c r="N48" s="68">
        <f>IF($B$1=1,1,IF('固定資産台帳'!$J48="",1,IF(ISNUMBER('固定資産台帳'!$J48),IF(AND('固定資産台帳'!$J48&gt;0,'固定資産台帳'!$J48&lt;=1),'固定資産台帳'!$J48,0),0)))</f>
        <v/>
      </c>
      <c r="O48" s="68">
        <f>IF($E48=0,0,YEAR($E48)-IF(MONTH($E48)&lt;$B$2,1,0))</f>
        <v/>
      </c>
      <c r="P48" s="68">
        <f>IF($E48=0,0,12-MOD(MONTH($E48)-$B$2,12))</f>
        <v/>
      </c>
      <c r="Q48" s="84">
        <f>IF(ISNUMBER('固定資産台帳'!$K48),INT('固定資産台帳'!$K48),0)</f>
        <v/>
      </c>
      <c r="R48" s="68">
        <f>IF(OR($Q48=0,$E48=0),999,YEAR($Q48)-IF(MONTH($Q48)&lt;$B$2,1,0)-$O48)</f>
        <v/>
      </c>
      <c r="S48" s="68">
        <f>IF($R48=999,0,MOD(MONTH($Q48)-$B$2,12)+1-IF($R48=0,12-$P48,0))</f>
        <v/>
      </c>
      <c r="T48" s="68">
        <f>IF($B48=0,0,IF($C48&lt;=0,1,IF($D48=0,2,IF($F48=0,3,IF(AND($F48&lt;=2,$H48=0),4,IF(AND($F48&lt;=2,$D48&lt;DATE(2007,4,1)),5,IF($E48&lt;$D48,6,IF(AND($Q48&gt;0,$Q48&lt;$E48),7,IF($N48=0,8,IF($B$3=0,9,0))))))))))</f>
        <v/>
      </c>
      <c r="U48" s="68">
        <f>IF(AND($B48=1,$T48=0),1,0)</f>
        <v/>
      </c>
      <c r="V48" s="68">
        <f>$B$3-$O48</f>
        <v/>
      </c>
      <c r="W48" s="68">
        <f>IF(AND($U48=1,$V48&gt;=0),1,0)</f>
        <v/>
      </c>
      <c r="X48" s="68">
        <f>IF($W48=0,0,IF($V48=0,$C48,INDEX($AS48:$EP48,MIN($V48,102))))</f>
        <v/>
      </c>
      <c r="Y48" s="68">
        <f>IF($W48=0,0,INDEX($AS48:$EP48,MIN($V48,101)+1))</f>
        <v/>
      </c>
      <c r="Z48" s="68">
        <f>$X48-$Y48</f>
        <v/>
      </c>
      <c r="AA48" s="68">
        <f>IF(AND($W48=1,$F48=2,$V48&gt;=1),INDEX($ER48:$IN48,MIN($V48,101)),0)</f>
        <v/>
      </c>
      <c r="AB48" s="68">
        <f>IF(OR($W48=0,$F48&gt;2,$Z48=0),0,IF($V48=0,IF($R48=0,$S48,$P48),IF($V48=$R48,$S48,12)))</f>
        <v/>
      </c>
      <c r="AC48" s="68">
        <f>IF($W48=0,0,INT(ROUND($Z48*$N48,6)+$B$4))</f>
        <v/>
      </c>
      <c r="AD48" s="68">
        <f>IF(AND($W48=1,$F48&lt;=2,$V48=$R48),1,0)</f>
        <v/>
      </c>
      <c r="AE48" s="68">
        <f>IF(AND($W48=1,$F48&lt;=2,$V48&gt;$R48),1,0)</f>
        <v/>
      </c>
      <c r="AF48" s="68">
        <f>IF(AND($W48=1,$AE48=0,OR($Z48&gt;0,$AD48=1)),1,0)</f>
        <v/>
      </c>
      <c r="AG48" s="68">
        <f>IF($AF48=1,SUM($AF$6:$AF48),0)</f>
        <v/>
      </c>
      <c r="AH48" s="68">
        <f>IF($T48=0,"",CHOOSE($T48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48" s="68">
        <f>IF(AND($F48=2,OR('固定資産台帳'!$C48="建物",'固定資産台帳'!$C48="無形固定資産",AND(OR('固定資産台帳'!$C48="建物附属設備",'固定資産台帳'!$C48="構築物"),$D48&gt;=DATE(2016,4,1)))),"この資産は定額法だけです（定率法は使えません）。","")&amp;IF(AND($F48=3,$C48&gt;=200000),"一括償却は20万円未満の資産だけです。","")&amp;IF(AND($F48=3,$B$1=0,$C48&lt;100000),"10万円未満は一括償却にせず、全額をその年の経費にします。","")&amp;IF(AND($F48=4,$C48&lt;100000),"10万円未満は少額特例ではなく、全額をその年の経費にします。","")&amp;IF(AND($F48=4,$D48&lt;DATE(2026,4,1),$C48&gt;=300000),"2026年3月31日までの取得で少額特例が使えるのは30万円未満です。","")&amp;IF(AND($F48=4,$D48&gt;=DATE(2026,4,1),$C48&gt;=400000),"少額特例は40万円未満の資産だけです。","")&amp;IF(AND($F48=4,OR($D48&lt;DATE(2006,4,1),$D48&gt;DATE(2029,3,31))),"少額特例は2006年4月1日〜2029年3月31日に取得した資産だけです。","")&amp;IF(AND($F48=2,$G48=250,$D48&gt;DATE(2012,12,31)),"250%定率法は2012年12月31日までの取得だけです。","")</f>
        <v/>
      </c>
      <c r="AJ48" s="68">
        <f>IF(AND($F48=2,'固定資産台帳'!$H48="定率法（200%）",$D48&lt;DATE(2012,4,1)),"2012年3月31日までの取得に200%を使うのは、経過措置の届出をした場合です。","")&amp;IF(AND($F48=2,'固定資産台帳'!$H48="定率法（250%）",$D48&gt;=DATE(2012,4,1),$D48&lt;=DATE(2012,12,31)),"2012年4〜12月の取得に250%を使うのは、経過措置を選んだ場合です。","")</f>
        <v/>
      </c>
      <c r="AK48" s="68">
        <f>IF($U48=0,"",IF($V48&lt;0,"表示している年より後に使い始める資産です。",IF($AE48=1,"売却・除却済みです。",IF($AD48=1,"この年に売却・除却。期末の帳簿価額 "&amp;TEXT($Y48,"#,##0")&amp;"円を帳簿から外します。",IF($F48=4,IF($V48=0,"少額特例：この年に全額を経費にします。","少額特例で経費にした資産です。"),IF($F48=3,IF($V48&gt;2,"一括償却は終わっています。","一括償却 "&amp;($V48+1)&amp;"年目（3年のうち）。"),IF($Z48=0,"償却済み（帳簿価額 "&amp;TEXT($Y48,"#,##0")&amp;"円）。",IF($AA48&gt;0,"改定償却率で計算（改定取得価額 "&amp;TEXT($AA48,"#,##0")&amp;"円）。",IF($V48=0,"この年に使い始め（"&amp;$AB48&amp;"か月分）。","")))))))))</f>
        <v/>
      </c>
      <c r="AL48" s="68">
        <f>IF(AND($U48=1,$F48=4,$V48=0),$C48,0)</f>
        <v/>
      </c>
      <c r="AM48" s="68">
        <f>IF($F48=2,INT(ROUND($M48,6)+$B$4),0)</f>
        <v/>
      </c>
      <c r="AN48" s="68">
        <f>IF($W48=0,0,IF($F48=2,IF($AA48&gt;0,$AA48,$X48),$C48))</f>
        <v/>
      </c>
      <c r="AO48" s="68">
        <f>IF($W48=0,"",IF($F48=3,"1/3",IF($F48=4,"―",IF($AA48&gt;0,$K48,$J48))))</f>
        <v/>
      </c>
      <c r="AP48" s="68" t="n"/>
      <c r="AQ48" s="68" t="n"/>
      <c r="AR48" s="68" t="n"/>
      <c r="AS48" s="68">
        <f>IF($U48=0,0,IF($F48=4,0,IF($F48=3,MAX($C48-INT(ROUND($C48/3,6)+$B$4),0),$C48-MIN(INT(ROUND($C48*$J48*IF($R48=0,$S48,$P48)/12,6)+$B$4),MAX($C48-$I48,0)))))</f>
        <v/>
      </c>
      <c r="AT48" s="68">
        <f>IF($U48=0,0,IF($F48=4,0,IF($F48=3,AS48-MIN(INT(ROUND($C48/3,6)+$B$4),AS48),IF(OR(1&gt;$R48,AS48&lt;=$I48),AS48,AS48-MIN(INT(ROUND(IF($F48=1,$C48*$J48,IF(ER48&gt;0,ER48*$K48,AS48*$J48))*IF(1=$R48,$S48,12)/12,6)+$B$4),AS48-$I48)))))</f>
        <v/>
      </c>
      <c r="AU48" s="68">
        <f>IF($U48=0,0,IF($F48=4,0,IF($F48=3,0,IF(OR(2&gt;$R48,AT48&lt;=$I48),AT48,AT48-MIN(INT(ROUND(IF($F48=1,$C48*$J48,IF(ES48&gt;0,ES48*$K48,AT48*$J48))*IF(2=$R48,$S48,12)/12,6)+$B$4),AT48-$I48)))))</f>
        <v/>
      </c>
      <c r="AV48" s="68">
        <f>IF($U48=0,0,IF($F48=4,0,IF($F48=3,0,IF(OR(3&gt;$R48,AU48&lt;=$I48),AU48,AU48-MIN(INT(ROUND(IF($F48=1,$C48*$J48,IF(ET48&gt;0,ET48*$K48,AU48*$J48))*IF(3=$R48,$S48,12)/12,6)+$B$4),AU48-$I48)))))</f>
        <v/>
      </c>
      <c r="AW48" s="68">
        <f>IF($U48=0,0,IF($F48=4,0,IF($F48=3,0,IF(OR(4&gt;$R48,AV48&lt;=$I48),AV48,AV48-MIN(INT(ROUND(IF($F48=1,$C48*$J48,IF(EU48&gt;0,EU48*$K48,AV48*$J48))*IF(4=$R48,$S48,12)/12,6)+$B$4),AV48-$I48)))))</f>
        <v/>
      </c>
      <c r="AX48" s="68">
        <f>IF($U48=0,0,IF($F48=4,0,IF($F48=3,0,IF(OR(5&gt;$R48,AW48&lt;=$I48),AW48,AW48-MIN(INT(ROUND(IF($F48=1,$C48*$J48,IF(EV48&gt;0,EV48*$K48,AW48*$J48))*IF(5=$R48,$S48,12)/12,6)+$B$4),AW48-$I48)))))</f>
        <v/>
      </c>
      <c r="AY48" s="68">
        <f>IF($U48=0,0,IF($F48=4,0,IF($F48=3,0,IF(OR(6&gt;$R48,AX48&lt;=$I48),AX48,AX48-MIN(INT(ROUND(IF($F48=1,$C48*$J48,IF(EW48&gt;0,EW48*$K48,AX48*$J48))*IF(6=$R48,$S48,12)/12,6)+$B$4),AX48-$I48)))))</f>
        <v/>
      </c>
      <c r="AZ48" s="68">
        <f>IF($U48=0,0,IF($F48=4,0,IF($F48=3,0,IF(OR(7&gt;$R48,AY48&lt;=$I48),AY48,AY48-MIN(INT(ROUND(IF($F48=1,$C48*$J48,IF(EX48&gt;0,EX48*$K48,AY48*$J48))*IF(7=$R48,$S48,12)/12,6)+$B$4),AY48-$I48)))))</f>
        <v/>
      </c>
      <c r="BA48" s="68">
        <f>IF($U48=0,0,IF($F48=4,0,IF($F48=3,0,IF(OR(8&gt;$R48,AZ48&lt;=$I48),AZ48,AZ48-MIN(INT(ROUND(IF($F48=1,$C48*$J48,IF(EY48&gt;0,EY48*$K48,AZ48*$J48))*IF(8=$R48,$S48,12)/12,6)+$B$4),AZ48-$I48)))))</f>
        <v/>
      </c>
      <c r="BB48" s="68">
        <f>IF($U48=0,0,IF($F48=4,0,IF($F48=3,0,IF(OR(9&gt;$R48,BA48&lt;=$I48),BA48,BA48-MIN(INT(ROUND(IF($F48=1,$C48*$J48,IF(EZ48&gt;0,EZ48*$K48,BA48*$J48))*IF(9=$R48,$S48,12)/12,6)+$B$4),BA48-$I48)))))</f>
        <v/>
      </c>
      <c r="BC48" s="68">
        <f>IF($U48=0,0,IF($F48=4,0,IF($F48=3,0,IF(OR(10&gt;$R48,BB48&lt;=$I48),BB48,BB48-MIN(INT(ROUND(IF($F48=1,$C48*$J48,IF(FA48&gt;0,FA48*$K48,BB48*$J48))*IF(10=$R48,$S48,12)/12,6)+$B$4),BB48-$I48)))))</f>
        <v/>
      </c>
      <c r="BD48" s="68">
        <f>IF($U48=0,0,IF($F48=4,0,IF($F48=3,0,IF(OR(11&gt;$R48,BC48&lt;=$I48),BC48,BC48-MIN(INT(ROUND(IF($F48=1,$C48*$J48,IF(FB48&gt;0,FB48*$K48,BC48*$J48))*IF(11=$R48,$S48,12)/12,6)+$B$4),BC48-$I48)))))</f>
        <v/>
      </c>
      <c r="BE48" s="68">
        <f>IF($U48=0,0,IF($F48=4,0,IF($F48=3,0,IF(OR(12&gt;$R48,BD48&lt;=$I48),BD48,BD48-MIN(INT(ROUND(IF($F48=1,$C48*$J48,IF(FC48&gt;0,FC48*$K48,BD48*$J48))*IF(12=$R48,$S48,12)/12,6)+$B$4),BD48-$I48)))))</f>
        <v/>
      </c>
      <c r="BF48" s="68">
        <f>IF($U48=0,0,IF($F48=4,0,IF($F48=3,0,IF(OR(13&gt;$R48,BE48&lt;=$I48),BE48,BE48-MIN(INT(ROUND(IF($F48=1,$C48*$J48,IF(FD48&gt;0,FD48*$K48,BE48*$J48))*IF(13=$R48,$S48,12)/12,6)+$B$4),BE48-$I48)))))</f>
        <v/>
      </c>
      <c r="BG48" s="68">
        <f>IF($U48=0,0,IF($F48=4,0,IF($F48=3,0,IF(OR(14&gt;$R48,BF48&lt;=$I48),BF48,BF48-MIN(INT(ROUND(IF($F48=1,$C48*$J48,IF(FE48&gt;0,FE48*$K48,BF48*$J48))*IF(14=$R48,$S48,12)/12,6)+$B$4),BF48-$I48)))))</f>
        <v/>
      </c>
      <c r="BH48" s="68">
        <f>IF($U48=0,0,IF($F48=4,0,IF($F48=3,0,IF(OR(15&gt;$R48,BG48&lt;=$I48),BG48,BG48-MIN(INT(ROUND(IF($F48=1,$C48*$J48,IF(FF48&gt;0,FF48*$K48,BG48*$J48))*IF(15=$R48,$S48,12)/12,6)+$B$4),BG48-$I48)))))</f>
        <v/>
      </c>
      <c r="BI48" s="68">
        <f>IF($U48=0,0,IF($F48=4,0,IF($F48=3,0,IF(OR(16&gt;$R48,BH48&lt;=$I48),BH48,BH48-MIN(INT(ROUND(IF($F48=1,$C48*$J48,IF(FG48&gt;0,FG48*$K48,BH48*$J48))*IF(16=$R48,$S48,12)/12,6)+$B$4),BH48-$I48)))))</f>
        <v/>
      </c>
      <c r="BJ48" s="68">
        <f>IF($U48=0,0,IF($F48=4,0,IF($F48=3,0,IF(OR(17&gt;$R48,BI48&lt;=$I48),BI48,BI48-MIN(INT(ROUND(IF($F48=1,$C48*$J48,IF(FH48&gt;0,FH48*$K48,BI48*$J48))*IF(17=$R48,$S48,12)/12,6)+$B$4),BI48-$I48)))))</f>
        <v/>
      </c>
      <c r="BK48" s="68">
        <f>IF($U48=0,0,IF($F48=4,0,IF($F48=3,0,IF(OR(18&gt;$R48,BJ48&lt;=$I48),BJ48,BJ48-MIN(INT(ROUND(IF($F48=1,$C48*$J48,IF(FI48&gt;0,FI48*$K48,BJ48*$J48))*IF(18=$R48,$S48,12)/12,6)+$B$4),BJ48-$I48)))))</f>
        <v/>
      </c>
      <c r="BL48" s="68">
        <f>IF($U48=0,0,IF($F48=4,0,IF($F48=3,0,IF(OR(19&gt;$R48,BK48&lt;=$I48),BK48,BK48-MIN(INT(ROUND(IF($F48=1,$C48*$J48,IF(FJ48&gt;0,FJ48*$K48,BK48*$J48))*IF(19=$R48,$S48,12)/12,6)+$B$4),BK48-$I48)))))</f>
        <v/>
      </c>
      <c r="BM48" s="68">
        <f>IF($U48=0,0,IF($F48=4,0,IF($F48=3,0,IF(OR(20&gt;$R48,BL48&lt;=$I48),BL48,BL48-MIN(INT(ROUND(IF($F48=1,$C48*$J48,IF(FK48&gt;0,FK48*$K48,BL48*$J48))*IF(20=$R48,$S48,12)/12,6)+$B$4),BL48-$I48)))))</f>
        <v/>
      </c>
      <c r="BN48" s="68">
        <f>IF($U48=0,0,IF($F48=4,0,IF($F48=3,0,IF(OR(21&gt;$R48,BM48&lt;=$I48),BM48,BM48-MIN(INT(ROUND(IF($F48=1,$C48*$J48,IF(FL48&gt;0,FL48*$K48,BM48*$J48))*IF(21=$R48,$S48,12)/12,6)+$B$4),BM48-$I48)))))</f>
        <v/>
      </c>
      <c r="BO48" s="68">
        <f>IF($U48=0,0,IF($F48=4,0,IF($F48=3,0,IF(OR(22&gt;$R48,BN48&lt;=$I48),BN48,BN48-MIN(INT(ROUND(IF($F48=1,$C48*$J48,IF(FM48&gt;0,FM48*$K48,BN48*$J48))*IF(22=$R48,$S48,12)/12,6)+$B$4),BN48-$I48)))))</f>
        <v/>
      </c>
      <c r="BP48" s="68">
        <f>IF($U48=0,0,IF($F48=4,0,IF($F48=3,0,IF(OR(23&gt;$R48,BO48&lt;=$I48),BO48,BO48-MIN(INT(ROUND(IF($F48=1,$C48*$J48,IF(FN48&gt;0,FN48*$K48,BO48*$J48))*IF(23=$R48,$S48,12)/12,6)+$B$4),BO48-$I48)))))</f>
        <v/>
      </c>
      <c r="BQ48" s="68">
        <f>IF($U48=0,0,IF($F48=4,0,IF($F48=3,0,IF(OR(24&gt;$R48,BP48&lt;=$I48),BP48,BP48-MIN(INT(ROUND(IF($F48=1,$C48*$J48,IF(FO48&gt;0,FO48*$K48,BP48*$J48))*IF(24=$R48,$S48,12)/12,6)+$B$4),BP48-$I48)))))</f>
        <v/>
      </c>
      <c r="BR48" s="68">
        <f>IF($U48=0,0,IF($F48=4,0,IF($F48=3,0,IF(OR(25&gt;$R48,BQ48&lt;=$I48),BQ48,BQ48-MIN(INT(ROUND(IF($F48=1,$C48*$J48,IF(FP48&gt;0,FP48*$K48,BQ48*$J48))*IF(25=$R48,$S48,12)/12,6)+$B$4),BQ48-$I48)))))</f>
        <v/>
      </c>
      <c r="BS48" s="68">
        <f>IF($U48=0,0,IF($F48=4,0,IF($F48=3,0,IF(OR(26&gt;$R48,BR48&lt;=$I48),BR48,BR48-MIN(INT(ROUND(IF($F48=1,$C48*$J48,IF(FQ48&gt;0,FQ48*$K48,BR48*$J48))*IF(26=$R48,$S48,12)/12,6)+$B$4),BR48-$I48)))))</f>
        <v/>
      </c>
      <c r="BT48" s="68">
        <f>IF($U48=0,0,IF($F48=4,0,IF($F48=3,0,IF(OR(27&gt;$R48,BS48&lt;=$I48),BS48,BS48-MIN(INT(ROUND(IF($F48=1,$C48*$J48,IF(FR48&gt;0,FR48*$K48,BS48*$J48))*IF(27=$R48,$S48,12)/12,6)+$B$4),BS48-$I48)))))</f>
        <v/>
      </c>
      <c r="BU48" s="68">
        <f>IF($U48=0,0,IF($F48=4,0,IF($F48=3,0,IF(OR(28&gt;$R48,BT48&lt;=$I48),BT48,BT48-MIN(INT(ROUND(IF($F48=1,$C48*$J48,IF(FS48&gt;0,FS48*$K48,BT48*$J48))*IF(28=$R48,$S48,12)/12,6)+$B$4),BT48-$I48)))))</f>
        <v/>
      </c>
      <c r="BV48" s="68">
        <f>IF($U48=0,0,IF($F48=4,0,IF($F48=3,0,IF(OR(29&gt;$R48,BU48&lt;=$I48),BU48,BU48-MIN(INT(ROUND(IF($F48=1,$C48*$J48,IF(FT48&gt;0,FT48*$K48,BU48*$J48))*IF(29=$R48,$S48,12)/12,6)+$B$4),BU48-$I48)))))</f>
        <v/>
      </c>
      <c r="BW48" s="68">
        <f>IF($U48=0,0,IF($F48=4,0,IF($F48=3,0,IF(OR(30&gt;$R48,BV48&lt;=$I48),BV48,BV48-MIN(INT(ROUND(IF($F48=1,$C48*$J48,IF(FU48&gt;0,FU48*$K48,BV48*$J48))*IF(30=$R48,$S48,12)/12,6)+$B$4),BV48-$I48)))))</f>
        <v/>
      </c>
      <c r="BX48" s="68">
        <f>IF($U48=0,0,IF($F48=4,0,IF($F48=3,0,IF(OR(31&gt;$R48,BW48&lt;=$I48),BW48,BW48-MIN(INT(ROUND(IF($F48=1,$C48*$J48,IF(FV48&gt;0,FV48*$K48,BW48*$J48))*IF(31=$R48,$S48,12)/12,6)+$B$4),BW48-$I48)))))</f>
        <v/>
      </c>
      <c r="BY48" s="68">
        <f>IF($U48=0,0,IF($F48=4,0,IF($F48=3,0,IF(OR(32&gt;$R48,BX48&lt;=$I48),BX48,BX48-MIN(INT(ROUND(IF($F48=1,$C48*$J48,IF(FW48&gt;0,FW48*$K48,BX48*$J48))*IF(32=$R48,$S48,12)/12,6)+$B$4),BX48-$I48)))))</f>
        <v/>
      </c>
      <c r="BZ48" s="68">
        <f>IF($U48=0,0,IF($F48=4,0,IF($F48=3,0,IF(OR(33&gt;$R48,BY48&lt;=$I48),BY48,BY48-MIN(INT(ROUND(IF($F48=1,$C48*$J48,IF(FX48&gt;0,FX48*$K48,BY48*$J48))*IF(33=$R48,$S48,12)/12,6)+$B$4),BY48-$I48)))))</f>
        <v/>
      </c>
      <c r="CA48" s="68">
        <f>IF($U48=0,0,IF($F48=4,0,IF($F48=3,0,IF(OR(34&gt;$R48,BZ48&lt;=$I48),BZ48,BZ48-MIN(INT(ROUND(IF($F48=1,$C48*$J48,IF(FY48&gt;0,FY48*$K48,BZ48*$J48))*IF(34=$R48,$S48,12)/12,6)+$B$4),BZ48-$I48)))))</f>
        <v/>
      </c>
      <c r="CB48" s="68">
        <f>IF($U48=0,0,IF($F48=4,0,IF($F48=3,0,IF(OR(35&gt;$R48,CA48&lt;=$I48),CA48,CA48-MIN(INT(ROUND(IF($F48=1,$C48*$J48,IF(FZ48&gt;0,FZ48*$K48,CA48*$J48))*IF(35=$R48,$S48,12)/12,6)+$B$4),CA48-$I48)))))</f>
        <v/>
      </c>
      <c r="CC48" s="68">
        <f>IF($U48=0,0,IF($F48=4,0,IF($F48=3,0,IF(OR(36&gt;$R48,CB48&lt;=$I48),CB48,CB48-MIN(INT(ROUND(IF($F48=1,$C48*$J48,IF(GA48&gt;0,GA48*$K48,CB48*$J48))*IF(36=$R48,$S48,12)/12,6)+$B$4),CB48-$I48)))))</f>
        <v/>
      </c>
      <c r="CD48" s="68">
        <f>IF($U48=0,0,IF($F48=4,0,IF($F48=3,0,IF(OR(37&gt;$R48,CC48&lt;=$I48),CC48,CC48-MIN(INT(ROUND(IF($F48=1,$C48*$J48,IF(GB48&gt;0,GB48*$K48,CC48*$J48))*IF(37=$R48,$S48,12)/12,6)+$B$4),CC48-$I48)))))</f>
        <v/>
      </c>
      <c r="CE48" s="68">
        <f>IF($U48=0,0,IF($F48=4,0,IF($F48=3,0,IF(OR(38&gt;$R48,CD48&lt;=$I48),CD48,CD48-MIN(INT(ROUND(IF($F48=1,$C48*$J48,IF(GC48&gt;0,GC48*$K48,CD48*$J48))*IF(38=$R48,$S48,12)/12,6)+$B$4),CD48-$I48)))))</f>
        <v/>
      </c>
      <c r="CF48" s="68">
        <f>IF($U48=0,0,IF($F48=4,0,IF($F48=3,0,IF(OR(39&gt;$R48,CE48&lt;=$I48),CE48,CE48-MIN(INT(ROUND(IF($F48=1,$C48*$J48,IF(GD48&gt;0,GD48*$K48,CE48*$J48))*IF(39=$R48,$S48,12)/12,6)+$B$4),CE48-$I48)))))</f>
        <v/>
      </c>
      <c r="CG48" s="68">
        <f>IF($U48=0,0,IF($F48=4,0,IF($F48=3,0,IF(OR(40&gt;$R48,CF48&lt;=$I48),CF48,CF48-MIN(INT(ROUND(IF($F48=1,$C48*$J48,IF(GE48&gt;0,GE48*$K48,CF48*$J48))*IF(40=$R48,$S48,12)/12,6)+$B$4),CF48-$I48)))))</f>
        <v/>
      </c>
      <c r="CH48" s="68">
        <f>IF($U48=0,0,IF($F48=4,0,IF($F48=3,0,IF(OR(41&gt;$R48,CG48&lt;=$I48),CG48,CG48-MIN(INT(ROUND(IF($F48=1,$C48*$J48,IF(GF48&gt;0,GF48*$K48,CG48*$J48))*IF(41=$R48,$S48,12)/12,6)+$B$4),CG48-$I48)))))</f>
        <v/>
      </c>
      <c r="CI48" s="68">
        <f>IF($U48=0,0,IF($F48=4,0,IF($F48=3,0,IF(OR(42&gt;$R48,CH48&lt;=$I48),CH48,CH48-MIN(INT(ROUND(IF($F48=1,$C48*$J48,IF(GG48&gt;0,GG48*$K48,CH48*$J48))*IF(42=$R48,$S48,12)/12,6)+$B$4),CH48-$I48)))))</f>
        <v/>
      </c>
      <c r="CJ48" s="68">
        <f>IF($U48=0,0,IF($F48=4,0,IF($F48=3,0,IF(OR(43&gt;$R48,CI48&lt;=$I48),CI48,CI48-MIN(INT(ROUND(IF($F48=1,$C48*$J48,IF(GH48&gt;0,GH48*$K48,CI48*$J48))*IF(43=$R48,$S48,12)/12,6)+$B$4),CI48-$I48)))))</f>
        <v/>
      </c>
      <c r="CK48" s="68">
        <f>IF($U48=0,0,IF($F48=4,0,IF($F48=3,0,IF(OR(44&gt;$R48,CJ48&lt;=$I48),CJ48,CJ48-MIN(INT(ROUND(IF($F48=1,$C48*$J48,IF(GI48&gt;0,GI48*$K48,CJ48*$J48))*IF(44=$R48,$S48,12)/12,6)+$B$4),CJ48-$I48)))))</f>
        <v/>
      </c>
      <c r="CL48" s="68">
        <f>IF($U48=0,0,IF($F48=4,0,IF($F48=3,0,IF(OR(45&gt;$R48,CK48&lt;=$I48),CK48,CK48-MIN(INT(ROUND(IF($F48=1,$C48*$J48,IF(GJ48&gt;0,GJ48*$K48,CK48*$J48))*IF(45=$R48,$S48,12)/12,6)+$B$4),CK48-$I48)))))</f>
        <v/>
      </c>
      <c r="CM48" s="68">
        <f>IF($U48=0,0,IF($F48=4,0,IF($F48=3,0,IF(OR(46&gt;$R48,CL48&lt;=$I48),CL48,CL48-MIN(INT(ROUND(IF($F48=1,$C48*$J48,IF(GK48&gt;0,GK48*$K48,CL48*$J48))*IF(46=$R48,$S48,12)/12,6)+$B$4),CL48-$I48)))))</f>
        <v/>
      </c>
      <c r="CN48" s="68">
        <f>IF($U48=0,0,IF($F48=4,0,IF($F48=3,0,IF(OR(47&gt;$R48,CM48&lt;=$I48),CM48,CM48-MIN(INT(ROUND(IF($F48=1,$C48*$J48,IF(GL48&gt;0,GL48*$K48,CM48*$J48))*IF(47=$R48,$S48,12)/12,6)+$B$4),CM48-$I48)))))</f>
        <v/>
      </c>
      <c r="CO48" s="68">
        <f>IF($U48=0,0,IF($F48=4,0,IF($F48=3,0,IF(OR(48&gt;$R48,CN48&lt;=$I48),CN48,CN48-MIN(INT(ROUND(IF($F48=1,$C48*$J48,IF(GM48&gt;0,GM48*$K48,CN48*$J48))*IF(48=$R48,$S48,12)/12,6)+$B$4),CN48-$I48)))))</f>
        <v/>
      </c>
      <c r="CP48" s="68">
        <f>IF($U48=0,0,IF($F48=4,0,IF($F48=3,0,IF(OR(49&gt;$R48,CO48&lt;=$I48),CO48,CO48-MIN(INT(ROUND(IF($F48=1,$C48*$J48,IF(GN48&gt;0,GN48*$K48,CO48*$J48))*IF(49=$R48,$S48,12)/12,6)+$B$4),CO48-$I48)))))</f>
        <v/>
      </c>
      <c r="CQ48" s="68">
        <f>IF($U48=0,0,IF($F48=4,0,IF($F48=3,0,IF(OR(50&gt;$R48,CP48&lt;=$I48),CP48,CP48-MIN(INT(ROUND(IF($F48=1,$C48*$J48,IF(GO48&gt;0,GO48*$K48,CP48*$J48))*IF(50=$R48,$S48,12)/12,6)+$B$4),CP48-$I48)))))</f>
        <v/>
      </c>
      <c r="CR48" s="68">
        <f>IF($U48=0,0,IF($F48=4,0,IF($F48=3,0,IF(OR(51&gt;$R48,CQ48&lt;=$I48),CQ48,CQ48-MIN(INT(ROUND(IF($F48=1,$C48*$J48,IF(GP48&gt;0,GP48*$K48,CQ48*$J48))*IF(51=$R48,$S48,12)/12,6)+$B$4),CQ48-$I48)))))</f>
        <v/>
      </c>
      <c r="CS48" s="68">
        <f>IF($U48=0,0,IF($F48=4,0,IF($F48=3,0,IF(OR(52&gt;$R48,CR48&lt;=$I48),CR48,CR48-MIN(INT(ROUND(IF($F48=1,$C48*$J48,IF(GQ48&gt;0,GQ48*$K48,CR48*$J48))*IF(52=$R48,$S48,12)/12,6)+$B$4),CR48-$I48)))))</f>
        <v/>
      </c>
      <c r="CT48" s="68">
        <f>IF($U48=0,0,IF($F48=4,0,IF($F48=3,0,IF(OR(53&gt;$R48,CS48&lt;=$I48),CS48,CS48-MIN(INT(ROUND(IF($F48=1,$C48*$J48,IF(GR48&gt;0,GR48*$K48,CS48*$J48))*IF(53=$R48,$S48,12)/12,6)+$B$4),CS48-$I48)))))</f>
        <v/>
      </c>
      <c r="CU48" s="68">
        <f>IF($U48=0,0,IF($F48=4,0,IF($F48=3,0,IF(OR(54&gt;$R48,CT48&lt;=$I48),CT48,CT48-MIN(INT(ROUND(IF($F48=1,$C48*$J48,IF(GS48&gt;0,GS48*$K48,CT48*$J48))*IF(54=$R48,$S48,12)/12,6)+$B$4),CT48-$I48)))))</f>
        <v/>
      </c>
      <c r="CV48" s="68">
        <f>IF($U48=0,0,IF($F48=4,0,IF($F48=3,0,IF(OR(55&gt;$R48,CU48&lt;=$I48),CU48,CU48-MIN(INT(ROUND(IF($F48=1,$C48*$J48,IF(GT48&gt;0,GT48*$K48,CU48*$J48))*IF(55=$R48,$S48,12)/12,6)+$B$4),CU48-$I48)))))</f>
        <v/>
      </c>
      <c r="CW48" s="68">
        <f>IF($U48=0,0,IF($F48=4,0,IF($F48=3,0,IF(OR(56&gt;$R48,CV48&lt;=$I48),CV48,CV48-MIN(INT(ROUND(IF($F48=1,$C48*$J48,IF(GU48&gt;0,GU48*$K48,CV48*$J48))*IF(56=$R48,$S48,12)/12,6)+$B$4),CV48-$I48)))))</f>
        <v/>
      </c>
      <c r="CX48" s="68">
        <f>IF($U48=0,0,IF($F48=4,0,IF($F48=3,0,IF(OR(57&gt;$R48,CW48&lt;=$I48),CW48,CW48-MIN(INT(ROUND(IF($F48=1,$C48*$J48,IF(GV48&gt;0,GV48*$K48,CW48*$J48))*IF(57=$R48,$S48,12)/12,6)+$B$4),CW48-$I48)))))</f>
        <v/>
      </c>
      <c r="CY48" s="68">
        <f>IF($U48=0,0,IF($F48=4,0,IF($F48=3,0,IF(OR(58&gt;$R48,CX48&lt;=$I48),CX48,CX48-MIN(INT(ROUND(IF($F48=1,$C48*$J48,IF(GW48&gt;0,GW48*$K48,CX48*$J48))*IF(58=$R48,$S48,12)/12,6)+$B$4),CX48-$I48)))))</f>
        <v/>
      </c>
      <c r="CZ48" s="68">
        <f>IF($U48=0,0,IF($F48=4,0,IF($F48=3,0,IF(OR(59&gt;$R48,CY48&lt;=$I48),CY48,CY48-MIN(INT(ROUND(IF($F48=1,$C48*$J48,IF(GX48&gt;0,GX48*$K48,CY48*$J48))*IF(59=$R48,$S48,12)/12,6)+$B$4),CY48-$I48)))))</f>
        <v/>
      </c>
      <c r="DA48" s="68">
        <f>IF($U48=0,0,IF($F48=4,0,IF($F48=3,0,IF(OR(60&gt;$R48,CZ48&lt;=$I48),CZ48,CZ48-MIN(INT(ROUND(IF($F48=1,$C48*$J48,IF(GY48&gt;0,GY48*$K48,CZ48*$J48))*IF(60=$R48,$S48,12)/12,6)+$B$4),CZ48-$I48)))))</f>
        <v/>
      </c>
      <c r="DB48" s="68">
        <f>IF($U48=0,0,IF($F48=4,0,IF($F48=3,0,IF(OR(61&gt;$R48,DA48&lt;=$I48),DA48,DA48-MIN(INT(ROUND(IF($F48=1,$C48*$J48,IF(GZ48&gt;0,GZ48*$K48,DA48*$J48))*IF(61=$R48,$S48,12)/12,6)+$B$4),DA48-$I48)))))</f>
        <v/>
      </c>
      <c r="DC48" s="68">
        <f>IF($U48=0,0,IF($F48=4,0,IF($F48=3,0,IF(OR(62&gt;$R48,DB48&lt;=$I48),DB48,DB48-MIN(INT(ROUND(IF($F48=1,$C48*$J48,IF(HA48&gt;0,HA48*$K48,DB48*$J48))*IF(62=$R48,$S48,12)/12,6)+$B$4),DB48-$I48)))))</f>
        <v/>
      </c>
      <c r="DD48" s="68">
        <f>IF($U48=0,0,IF($F48=4,0,IF($F48=3,0,IF(OR(63&gt;$R48,DC48&lt;=$I48),DC48,DC48-MIN(INT(ROUND(IF($F48=1,$C48*$J48,IF(HB48&gt;0,HB48*$K48,DC48*$J48))*IF(63=$R48,$S48,12)/12,6)+$B$4),DC48-$I48)))))</f>
        <v/>
      </c>
      <c r="DE48" s="68">
        <f>IF($U48=0,0,IF($F48=4,0,IF($F48=3,0,IF(OR(64&gt;$R48,DD48&lt;=$I48),DD48,DD48-MIN(INT(ROUND(IF($F48=1,$C48*$J48,IF(HC48&gt;0,HC48*$K48,DD48*$J48))*IF(64=$R48,$S48,12)/12,6)+$B$4),DD48-$I48)))))</f>
        <v/>
      </c>
      <c r="DF48" s="68">
        <f>IF($U48=0,0,IF($F48=4,0,IF($F48=3,0,IF(OR(65&gt;$R48,DE48&lt;=$I48),DE48,DE48-MIN(INT(ROUND(IF($F48=1,$C48*$J48,IF(HD48&gt;0,HD48*$K48,DE48*$J48))*IF(65=$R48,$S48,12)/12,6)+$B$4),DE48-$I48)))))</f>
        <v/>
      </c>
      <c r="DG48" s="68">
        <f>IF($U48=0,0,IF($F48=4,0,IF($F48=3,0,IF(OR(66&gt;$R48,DF48&lt;=$I48),DF48,DF48-MIN(INT(ROUND(IF($F48=1,$C48*$J48,IF(HE48&gt;0,HE48*$K48,DF48*$J48))*IF(66=$R48,$S48,12)/12,6)+$B$4),DF48-$I48)))))</f>
        <v/>
      </c>
      <c r="DH48" s="68">
        <f>IF($U48=0,0,IF($F48=4,0,IF($F48=3,0,IF(OR(67&gt;$R48,DG48&lt;=$I48),DG48,DG48-MIN(INT(ROUND(IF($F48=1,$C48*$J48,IF(HF48&gt;0,HF48*$K48,DG48*$J48))*IF(67=$R48,$S48,12)/12,6)+$B$4),DG48-$I48)))))</f>
        <v/>
      </c>
      <c r="DI48" s="68">
        <f>IF($U48=0,0,IF($F48=4,0,IF($F48=3,0,IF(OR(68&gt;$R48,DH48&lt;=$I48),DH48,DH48-MIN(INT(ROUND(IF($F48=1,$C48*$J48,IF(HG48&gt;0,HG48*$K48,DH48*$J48))*IF(68=$R48,$S48,12)/12,6)+$B$4),DH48-$I48)))))</f>
        <v/>
      </c>
      <c r="DJ48" s="68">
        <f>IF($U48=0,0,IF($F48=4,0,IF($F48=3,0,IF(OR(69&gt;$R48,DI48&lt;=$I48),DI48,DI48-MIN(INT(ROUND(IF($F48=1,$C48*$J48,IF(HH48&gt;0,HH48*$K48,DI48*$J48))*IF(69=$R48,$S48,12)/12,6)+$B$4),DI48-$I48)))))</f>
        <v/>
      </c>
      <c r="DK48" s="68">
        <f>IF($U48=0,0,IF($F48=4,0,IF($F48=3,0,IF(OR(70&gt;$R48,DJ48&lt;=$I48),DJ48,DJ48-MIN(INT(ROUND(IF($F48=1,$C48*$J48,IF(HI48&gt;0,HI48*$K48,DJ48*$J48))*IF(70=$R48,$S48,12)/12,6)+$B$4),DJ48-$I48)))))</f>
        <v/>
      </c>
      <c r="DL48" s="68">
        <f>IF($U48=0,0,IF($F48=4,0,IF($F48=3,0,IF(OR(71&gt;$R48,DK48&lt;=$I48),DK48,DK48-MIN(INT(ROUND(IF($F48=1,$C48*$J48,IF(HJ48&gt;0,HJ48*$K48,DK48*$J48))*IF(71=$R48,$S48,12)/12,6)+$B$4),DK48-$I48)))))</f>
        <v/>
      </c>
      <c r="DM48" s="68">
        <f>IF($U48=0,0,IF($F48=4,0,IF($F48=3,0,IF(OR(72&gt;$R48,DL48&lt;=$I48),DL48,DL48-MIN(INT(ROUND(IF($F48=1,$C48*$J48,IF(HK48&gt;0,HK48*$K48,DL48*$J48))*IF(72=$R48,$S48,12)/12,6)+$B$4),DL48-$I48)))))</f>
        <v/>
      </c>
      <c r="DN48" s="68">
        <f>IF($U48=0,0,IF($F48=4,0,IF($F48=3,0,IF(OR(73&gt;$R48,DM48&lt;=$I48),DM48,DM48-MIN(INT(ROUND(IF($F48=1,$C48*$J48,IF(HL48&gt;0,HL48*$K48,DM48*$J48))*IF(73=$R48,$S48,12)/12,6)+$B$4),DM48-$I48)))))</f>
        <v/>
      </c>
      <c r="DO48" s="68">
        <f>IF($U48=0,0,IF($F48=4,0,IF($F48=3,0,IF(OR(74&gt;$R48,DN48&lt;=$I48),DN48,DN48-MIN(INT(ROUND(IF($F48=1,$C48*$J48,IF(HM48&gt;0,HM48*$K48,DN48*$J48))*IF(74=$R48,$S48,12)/12,6)+$B$4),DN48-$I48)))))</f>
        <v/>
      </c>
      <c r="DP48" s="68">
        <f>IF($U48=0,0,IF($F48=4,0,IF($F48=3,0,IF(OR(75&gt;$R48,DO48&lt;=$I48),DO48,DO48-MIN(INT(ROUND(IF($F48=1,$C48*$J48,IF(HN48&gt;0,HN48*$K48,DO48*$J48))*IF(75=$R48,$S48,12)/12,6)+$B$4),DO48-$I48)))))</f>
        <v/>
      </c>
      <c r="DQ48" s="68">
        <f>IF($U48=0,0,IF($F48=4,0,IF($F48=3,0,IF(OR(76&gt;$R48,DP48&lt;=$I48),DP48,DP48-MIN(INT(ROUND(IF($F48=1,$C48*$J48,IF(HO48&gt;0,HO48*$K48,DP48*$J48))*IF(76=$R48,$S48,12)/12,6)+$B$4),DP48-$I48)))))</f>
        <v/>
      </c>
      <c r="DR48" s="68">
        <f>IF($U48=0,0,IF($F48=4,0,IF($F48=3,0,IF(OR(77&gt;$R48,DQ48&lt;=$I48),DQ48,DQ48-MIN(INT(ROUND(IF($F48=1,$C48*$J48,IF(HP48&gt;0,HP48*$K48,DQ48*$J48))*IF(77=$R48,$S48,12)/12,6)+$B$4),DQ48-$I48)))))</f>
        <v/>
      </c>
      <c r="DS48" s="68">
        <f>IF($U48=0,0,IF($F48=4,0,IF($F48=3,0,IF(OR(78&gt;$R48,DR48&lt;=$I48),DR48,DR48-MIN(INT(ROUND(IF($F48=1,$C48*$J48,IF(HQ48&gt;0,HQ48*$K48,DR48*$J48))*IF(78=$R48,$S48,12)/12,6)+$B$4),DR48-$I48)))))</f>
        <v/>
      </c>
      <c r="DT48" s="68">
        <f>IF($U48=0,0,IF($F48=4,0,IF($F48=3,0,IF(OR(79&gt;$R48,DS48&lt;=$I48),DS48,DS48-MIN(INT(ROUND(IF($F48=1,$C48*$J48,IF(HR48&gt;0,HR48*$K48,DS48*$J48))*IF(79=$R48,$S48,12)/12,6)+$B$4),DS48-$I48)))))</f>
        <v/>
      </c>
      <c r="DU48" s="68">
        <f>IF($U48=0,0,IF($F48=4,0,IF($F48=3,0,IF(OR(80&gt;$R48,DT48&lt;=$I48),DT48,DT48-MIN(INT(ROUND(IF($F48=1,$C48*$J48,IF(HS48&gt;0,HS48*$K48,DT48*$J48))*IF(80=$R48,$S48,12)/12,6)+$B$4),DT48-$I48)))))</f>
        <v/>
      </c>
      <c r="DV48" s="68">
        <f>IF($U48=0,0,IF($F48=4,0,IF($F48=3,0,IF(OR(81&gt;$R48,DU48&lt;=$I48),DU48,DU48-MIN(INT(ROUND(IF($F48=1,$C48*$J48,IF(HT48&gt;0,HT48*$K48,DU48*$J48))*IF(81=$R48,$S48,12)/12,6)+$B$4),DU48-$I48)))))</f>
        <v/>
      </c>
      <c r="DW48" s="68">
        <f>IF($U48=0,0,IF($F48=4,0,IF($F48=3,0,IF(OR(82&gt;$R48,DV48&lt;=$I48),DV48,DV48-MIN(INT(ROUND(IF($F48=1,$C48*$J48,IF(HU48&gt;0,HU48*$K48,DV48*$J48))*IF(82=$R48,$S48,12)/12,6)+$B$4),DV48-$I48)))))</f>
        <v/>
      </c>
      <c r="DX48" s="68">
        <f>IF($U48=0,0,IF($F48=4,0,IF($F48=3,0,IF(OR(83&gt;$R48,DW48&lt;=$I48),DW48,DW48-MIN(INT(ROUND(IF($F48=1,$C48*$J48,IF(HV48&gt;0,HV48*$K48,DW48*$J48))*IF(83=$R48,$S48,12)/12,6)+$B$4),DW48-$I48)))))</f>
        <v/>
      </c>
      <c r="DY48" s="68">
        <f>IF($U48=0,0,IF($F48=4,0,IF($F48=3,0,IF(OR(84&gt;$R48,DX48&lt;=$I48),DX48,DX48-MIN(INT(ROUND(IF($F48=1,$C48*$J48,IF(HW48&gt;0,HW48*$K48,DX48*$J48))*IF(84=$R48,$S48,12)/12,6)+$B$4),DX48-$I48)))))</f>
        <v/>
      </c>
      <c r="DZ48" s="68">
        <f>IF($U48=0,0,IF($F48=4,0,IF($F48=3,0,IF(OR(85&gt;$R48,DY48&lt;=$I48),DY48,DY48-MIN(INT(ROUND(IF($F48=1,$C48*$J48,IF(HX48&gt;0,HX48*$K48,DY48*$J48))*IF(85=$R48,$S48,12)/12,6)+$B$4),DY48-$I48)))))</f>
        <v/>
      </c>
      <c r="EA48" s="68">
        <f>IF($U48=0,0,IF($F48=4,0,IF($F48=3,0,IF(OR(86&gt;$R48,DZ48&lt;=$I48),DZ48,DZ48-MIN(INT(ROUND(IF($F48=1,$C48*$J48,IF(HY48&gt;0,HY48*$K48,DZ48*$J48))*IF(86=$R48,$S48,12)/12,6)+$B$4),DZ48-$I48)))))</f>
        <v/>
      </c>
      <c r="EB48" s="68">
        <f>IF($U48=0,0,IF($F48=4,0,IF($F48=3,0,IF(OR(87&gt;$R48,EA48&lt;=$I48),EA48,EA48-MIN(INT(ROUND(IF($F48=1,$C48*$J48,IF(HZ48&gt;0,HZ48*$K48,EA48*$J48))*IF(87=$R48,$S48,12)/12,6)+$B$4),EA48-$I48)))))</f>
        <v/>
      </c>
      <c r="EC48" s="68">
        <f>IF($U48=0,0,IF($F48=4,0,IF($F48=3,0,IF(OR(88&gt;$R48,EB48&lt;=$I48),EB48,EB48-MIN(INT(ROUND(IF($F48=1,$C48*$J48,IF(IA48&gt;0,IA48*$K48,EB48*$J48))*IF(88=$R48,$S48,12)/12,6)+$B$4),EB48-$I48)))))</f>
        <v/>
      </c>
      <c r="ED48" s="68">
        <f>IF($U48=0,0,IF($F48=4,0,IF($F48=3,0,IF(OR(89&gt;$R48,EC48&lt;=$I48),EC48,EC48-MIN(INT(ROUND(IF($F48=1,$C48*$J48,IF(IB48&gt;0,IB48*$K48,EC48*$J48))*IF(89=$R48,$S48,12)/12,6)+$B$4),EC48-$I48)))))</f>
        <v/>
      </c>
      <c r="EE48" s="68">
        <f>IF($U48=0,0,IF($F48=4,0,IF($F48=3,0,IF(OR(90&gt;$R48,ED48&lt;=$I48),ED48,ED48-MIN(INT(ROUND(IF($F48=1,$C48*$J48,IF(IC48&gt;0,IC48*$K48,ED48*$J48))*IF(90=$R48,$S48,12)/12,6)+$B$4),ED48-$I48)))))</f>
        <v/>
      </c>
      <c r="EF48" s="68">
        <f>IF($U48=0,0,IF($F48=4,0,IF($F48=3,0,IF(OR(91&gt;$R48,EE48&lt;=$I48),EE48,EE48-MIN(INT(ROUND(IF($F48=1,$C48*$J48,IF(ID48&gt;0,ID48*$K48,EE48*$J48))*IF(91=$R48,$S48,12)/12,6)+$B$4),EE48-$I48)))))</f>
        <v/>
      </c>
      <c r="EG48" s="68">
        <f>IF($U48=0,0,IF($F48=4,0,IF($F48=3,0,IF(OR(92&gt;$R48,EF48&lt;=$I48),EF48,EF48-MIN(INT(ROUND(IF($F48=1,$C48*$J48,IF(IE48&gt;0,IE48*$K48,EF48*$J48))*IF(92=$R48,$S48,12)/12,6)+$B$4),EF48-$I48)))))</f>
        <v/>
      </c>
      <c r="EH48" s="68">
        <f>IF($U48=0,0,IF($F48=4,0,IF($F48=3,0,IF(OR(93&gt;$R48,EG48&lt;=$I48),EG48,EG48-MIN(INT(ROUND(IF($F48=1,$C48*$J48,IF(IF48&gt;0,IF48*$K48,EG48*$J48))*IF(93=$R48,$S48,12)/12,6)+$B$4),EG48-$I48)))))</f>
        <v/>
      </c>
      <c r="EI48" s="68">
        <f>IF($U48=0,0,IF($F48=4,0,IF($F48=3,0,IF(OR(94&gt;$R48,EH48&lt;=$I48),EH48,EH48-MIN(INT(ROUND(IF($F48=1,$C48*$J48,IF(IG48&gt;0,IG48*$K48,EH48*$J48))*IF(94=$R48,$S48,12)/12,6)+$B$4),EH48-$I48)))))</f>
        <v/>
      </c>
      <c r="EJ48" s="68">
        <f>IF($U48=0,0,IF($F48=4,0,IF($F48=3,0,IF(OR(95&gt;$R48,EI48&lt;=$I48),EI48,EI48-MIN(INT(ROUND(IF($F48=1,$C48*$J48,IF(IH48&gt;0,IH48*$K48,EI48*$J48))*IF(95=$R48,$S48,12)/12,6)+$B$4),EI48-$I48)))))</f>
        <v/>
      </c>
      <c r="EK48" s="68">
        <f>IF($U48=0,0,IF($F48=4,0,IF($F48=3,0,IF(OR(96&gt;$R48,EJ48&lt;=$I48),EJ48,EJ48-MIN(INT(ROUND(IF($F48=1,$C48*$J48,IF(II48&gt;0,II48*$K48,EJ48*$J48))*IF(96=$R48,$S48,12)/12,6)+$B$4),EJ48-$I48)))))</f>
        <v/>
      </c>
      <c r="EL48" s="68">
        <f>IF($U48=0,0,IF($F48=4,0,IF($F48=3,0,IF(OR(97&gt;$R48,EK48&lt;=$I48),EK48,EK48-MIN(INT(ROUND(IF($F48=1,$C48*$J48,IF(IJ48&gt;0,IJ48*$K48,EK48*$J48))*IF(97=$R48,$S48,12)/12,6)+$B$4),EK48-$I48)))))</f>
        <v/>
      </c>
      <c r="EM48" s="68">
        <f>IF($U48=0,0,IF($F48=4,0,IF($F48=3,0,IF(OR(98&gt;$R48,EL48&lt;=$I48),EL48,EL48-MIN(INT(ROUND(IF($F48=1,$C48*$J48,IF(IK48&gt;0,IK48*$K48,EL48*$J48))*IF(98=$R48,$S48,12)/12,6)+$B$4),EL48-$I48)))))</f>
        <v/>
      </c>
      <c r="EN48" s="68">
        <f>IF($U48=0,0,IF($F48=4,0,IF($F48=3,0,IF(OR(99&gt;$R48,EM48&lt;=$I48),EM48,EM48-MIN(INT(ROUND(IF($F48=1,$C48*$J48,IF(IL48&gt;0,IL48*$K48,EM48*$J48))*IF(99=$R48,$S48,12)/12,6)+$B$4),EM48-$I48)))))</f>
        <v/>
      </c>
      <c r="EO48" s="68">
        <f>IF($U48=0,0,IF($F48=4,0,IF($F48=3,0,IF(OR(100&gt;$R48,EN48&lt;=$I48),EN48,EN48-MIN(INT(ROUND(IF($F48=1,$C48*$J48,IF(IM48&gt;0,IM48*$K48,EN48*$J48))*IF(100=$R48,$S48,12)/12,6)+$B$4),EN48-$I48)))))</f>
        <v/>
      </c>
      <c r="EP48" s="68">
        <f>IF($U48=0,0,IF($F48=4,0,IF($F48=3,0,IF(OR(101&gt;$R48,EO48&lt;=$I48),EO48,EO48-MIN(INT(ROUND(IF($F48=1,$C48*$J48,IF(IN48&gt;0,IN48*$K48,EO48*$J48))*IF(101=$R48,$S48,12)/12,6)+$B$4),EO48-$I48)))))</f>
        <v/>
      </c>
      <c r="EQ48" s="68" t="n"/>
      <c r="ER48" s="68">
        <f>IF(OR($U48=0,$F48&lt;&gt;2),0,IF(ROUND(AS48*$J48,6)&lt;ROUND($M48,6),AS48,0))</f>
        <v/>
      </c>
      <c r="ES48" s="68">
        <f>IF(OR($U48=0,$F48&lt;&gt;2),0,IF(ER48&gt;0,ER48,IF(ROUND(AT48*$J48,6)&lt;ROUND($M48,6),AT48,0)))</f>
        <v/>
      </c>
      <c r="ET48" s="68">
        <f>IF(OR($U48=0,$F48&lt;&gt;2),0,IF(ES48&gt;0,ES48,IF(ROUND(AU48*$J48,6)&lt;ROUND($M48,6),AU48,0)))</f>
        <v/>
      </c>
      <c r="EU48" s="68">
        <f>IF(OR($U48=0,$F48&lt;&gt;2),0,IF(ET48&gt;0,ET48,IF(ROUND(AV48*$J48,6)&lt;ROUND($M48,6),AV48,0)))</f>
        <v/>
      </c>
      <c r="EV48" s="68">
        <f>IF(OR($U48=0,$F48&lt;&gt;2),0,IF(EU48&gt;0,EU48,IF(ROUND(AW48*$J48,6)&lt;ROUND($M48,6),AW48,0)))</f>
        <v/>
      </c>
      <c r="EW48" s="68">
        <f>IF(OR($U48=0,$F48&lt;&gt;2),0,IF(EV48&gt;0,EV48,IF(ROUND(AX48*$J48,6)&lt;ROUND($M48,6),AX48,0)))</f>
        <v/>
      </c>
      <c r="EX48" s="68">
        <f>IF(OR($U48=0,$F48&lt;&gt;2),0,IF(EW48&gt;0,EW48,IF(ROUND(AY48*$J48,6)&lt;ROUND($M48,6),AY48,0)))</f>
        <v/>
      </c>
      <c r="EY48" s="68">
        <f>IF(OR($U48=0,$F48&lt;&gt;2),0,IF(EX48&gt;0,EX48,IF(ROUND(AZ48*$J48,6)&lt;ROUND($M48,6),AZ48,0)))</f>
        <v/>
      </c>
      <c r="EZ48" s="68">
        <f>IF(OR($U48=0,$F48&lt;&gt;2),0,IF(EY48&gt;0,EY48,IF(ROUND(BA48*$J48,6)&lt;ROUND($M48,6),BA48,0)))</f>
        <v/>
      </c>
      <c r="FA48" s="68">
        <f>IF(OR($U48=0,$F48&lt;&gt;2),0,IF(EZ48&gt;0,EZ48,IF(ROUND(BB48*$J48,6)&lt;ROUND($M48,6),BB48,0)))</f>
        <v/>
      </c>
      <c r="FB48" s="68">
        <f>IF(OR($U48=0,$F48&lt;&gt;2),0,IF(FA48&gt;0,FA48,IF(ROUND(BC48*$J48,6)&lt;ROUND($M48,6),BC48,0)))</f>
        <v/>
      </c>
      <c r="FC48" s="68">
        <f>IF(OR($U48=0,$F48&lt;&gt;2),0,IF(FB48&gt;0,FB48,IF(ROUND(BD48*$J48,6)&lt;ROUND($M48,6),BD48,0)))</f>
        <v/>
      </c>
      <c r="FD48" s="68">
        <f>IF(OR($U48=0,$F48&lt;&gt;2),0,IF(FC48&gt;0,FC48,IF(ROUND(BE48*$J48,6)&lt;ROUND($M48,6),BE48,0)))</f>
        <v/>
      </c>
      <c r="FE48" s="68">
        <f>IF(OR($U48=0,$F48&lt;&gt;2),0,IF(FD48&gt;0,FD48,IF(ROUND(BF48*$J48,6)&lt;ROUND($M48,6),BF48,0)))</f>
        <v/>
      </c>
      <c r="FF48" s="68">
        <f>IF(OR($U48=0,$F48&lt;&gt;2),0,IF(FE48&gt;0,FE48,IF(ROUND(BG48*$J48,6)&lt;ROUND($M48,6),BG48,0)))</f>
        <v/>
      </c>
      <c r="FG48" s="68">
        <f>IF(OR($U48=0,$F48&lt;&gt;2),0,IF(FF48&gt;0,FF48,IF(ROUND(BH48*$J48,6)&lt;ROUND($M48,6),BH48,0)))</f>
        <v/>
      </c>
      <c r="FH48" s="68">
        <f>IF(OR($U48=0,$F48&lt;&gt;2),0,IF(FG48&gt;0,FG48,IF(ROUND(BI48*$J48,6)&lt;ROUND($M48,6),BI48,0)))</f>
        <v/>
      </c>
      <c r="FI48" s="68">
        <f>IF(OR($U48=0,$F48&lt;&gt;2),0,IF(FH48&gt;0,FH48,IF(ROUND(BJ48*$J48,6)&lt;ROUND($M48,6),BJ48,0)))</f>
        <v/>
      </c>
      <c r="FJ48" s="68">
        <f>IF(OR($U48=0,$F48&lt;&gt;2),0,IF(FI48&gt;0,FI48,IF(ROUND(BK48*$J48,6)&lt;ROUND($M48,6),BK48,0)))</f>
        <v/>
      </c>
      <c r="FK48" s="68">
        <f>IF(OR($U48=0,$F48&lt;&gt;2),0,IF(FJ48&gt;0,FJ48,IF(ROUND(BL48*$J48,6)&lt;ROUND($M48,6),BL48,0)))</f>
        <v/>
      </c>
      <c r="FL48" s="68">
        <f>IF(OR($U48=0,$F48&lt;&gt;2),0,IF(FK48&gt;0,FK48,IF(ROUND(BM48*$J48,6)&lt;ROUND($M48,6),BM48,0)))</f>
        <v/>
      </c>
      <c r="FM48" s="68">
        <f>IF(OR($U48=0,$F48&lt;&gt;2),0,IF(FL48&gt;0,FL48,IF(ROUND(BN48*$J48,6)&lt;ROUND($M48,6),BN48,0)))</f>
        <v/>
      </c>
      <c r="FN48" s="68">
        <f>IF(OR($U48=0,$F48&lt;&gt;2),0,IF(FM48&gt;0,FM48,IF(ROUND(BO48*$J48,6)&lt;ROUND($M48,6),BO48,0)))</f>
        <v/>
      </c>
      <c r="FO48" s="68">
        <f>IF(OR($U48=0,$F48&lt;&gt;2),0,IF(FN48&gt;0,FN48,IF(ROUND(BP48*$J48,6)&lt;ROUND($M48,6),BP48,0)))</f>
        <v/>
      </c>
      <c r="FP48" s="68">
        <f>IF(OR($U48=0,$F48&lt;&gt;2),0,IF(FO48&gt;0,FO48,IF(ROUND(BQ48*$J48,6)&lt;ROUND($M48,6),BQ48,0)))</f>
        <v/>
      </c>
      <c r="FQ48" s="68">
        <f>IF(OR($U48=0,$F48&lt;&gt;2),0,IF(FP48&gt;0,FP48,IF(ROUND(BR48*$J48,6)&lt;ROUND($M48,6),BR48,0)))</f>
        <v/>
      </c>
      <c r="FR48" s="68">
        <f>IF(OR($U48=0,$F48&lt;&gt;2),0,IF(FQ48&gt;0,FQ48,IF(ROUND(BS48*$J48,6)&lt;ROUND($M48,6),BS48,0)))</f>
        <v/>
      </c>
      <c r="FS48" s="68">
        <f>IF(OR($U48=0,$F48&lt;&gt;2),0,IF(FR48&gt;0,FR48,IF(ROUND(BT48*$J48,6)&lt;ROUND($M48,6),BT48,0)))</f>
        <v/>
      </c>
      <c r="FT48" s="68">
        <f>IF(OR($U48=0,$F48&lt;&gt;2),0,IF(FS48&gt;0,FS48,IF(ROUND(BU48*$J48,6)&lt;ROUND($M48,6),BU48,0)))</f>
        <v/>
      </c>
      <c r="FU48" s="68">
        <f>IF(OR($U48=0,$F48&lt;&gt;2),0,IF(FT48&gt;0,FT48,IF(ROUND(BV48*$J48,6)&lt;ROUND($M48,6),BV48,0)))</f>
        <v/>
      </c>
      <c r="FV48" s="68">
        <f>IF(OR($U48=0,$F48&lt;&gt;2),0,IF(FU48&gt;0,FU48,IF(ROUND(BW48*$J48,6)&lt;ROUND($M48,6),BW48,0)))</f>
        <v/>
      </c>
      <c r="FW48" s="68">
        <f>IF(OR($U48=0,$F48&lt;&gt;2),0,IF(FV48&gt;0,FV48,IF(ROUND(BX48*$J48,6)&lt;ROUND($M48,6),BX48,0)))</f>
        <v/>
      </c>
      <c r="FX48" s="68">
        <f>IF(OR($U48=0,$F48&lt;&gt;2),0,IF(FW48&gt;0,FW48,IF(ROUND(BY48*$J48,6)&lt;ROUND($M48,6),BY48,0)))</f>
        <v/>
      </c>
      <c r="FY48" s="68">
        <f>IF(OR($U48=0,$F48&lt;&gt;2),0,IF(FX48&gt;0,FX48,IF(ROUND(BZ48*$J48,6)&lt;ROUND($M48,6),BZ48,0)))</f>
        <v/>
      </c>
      <c r="FZ48" s="68">
        <f>IF(OR($U48=0,$F48&lt;&gt;2),0,IF(FY48&gt;0,FY48,IF(ROUND(CA48*$J48,6)&lt;ROUND($M48,6),CA48,0)))</f>
        <v/>
      </c>
      <c r="GA48" s="68">
        <f>IF(OR($U48=0,$F48&lt;&gt;2),0,IF(FZ48&gt;0,FZ48,IF(ROUND(CB48*$J48,6)&lt;ROUND($M48,6),CB48,0)))</f>
        <v/>
      </c>
      <c r="GB48" s="68">
        <f>IF(OR($U48=0,$F48&lt;&gt;2),0,IF(GA48&gt;0,GA48,IF(ROUND(CC48*$J48,6)&lt;ROUND($M48,6),CC48,0)))</f>
        <v/>
      </c>
      <c r="GC48" s="68">
        <f>IF(OR($U48=0,$F48&lt;&gt;2),0,IF(GB48&gt;0,GB48,IF(ROUND(CD48*$J48,6)&lt;ROUND($M48,6),CD48,0)))</f>
        <v/>
      </c>
      <c r="GD48" s="68">
        <f>IF(OR($U48=0,$F48&lt;&gt;2),0,IF(GC48&gt;0,GC48,IF(ROUND(CE48*$J48,6)&lt;ROUND($M48,6),CE48,0)))</f>
        <v/>
      </c>
      <c r="GE48" s="68">
        <f>IF(OR($U48=0,$F48&lt;&gt;2),0,IF(GD48&gt;0,GD48,IF(ROUND(CF48*$J48,6)&lt;ROUND($M48,6),CF48,0)))</f>
        <v/>
      </c>
      <c r="GF48" s="68">
        <f>IF(OR($U48=0,$F48&lt;&gt;2),0,IF(GE48&gt;0,GE48,IF(ROUND(CG48*$J48,6)&lt;ROUND($M48,6),CG48,0)))</f>
        <v/>
      </c>
      <c r="GG48" s="68">
        <f>IF(OR($U48=0,$F48&lt;&gt;2),0,IF(GF48&gt;0,GF48,IF(ROUND(CH48*$J48,6)&lt;ROUND($M48,6),CH48,0)))</f>
        <v/>
      </c>
      <c r="GH48" s="68">
        <f>IF(OR($U48=0,$F48&lt;&gt;2),0,IF(GG48&gt;0,GG48,IF(ROUND(CI48*$J48,6)&lt;ROUND($M48,6),CI48,0)))</f>
        <v/>
      </c>
      <c r="GI48" s="68">
        <f>IF(OR($U48=0,$F48&lt;&gt;2),0,IF(GH48&gt;0,GH48,IF(ROUND(CJ48*$J48,6)&lt;ROUND($M48,6),CJ48,0)))</f>
        <v/>
      </c>
      <c r="GJ48" s="68">
        <f>IF(OR($U48=0,$F48&lt;&gt;2),0,IF(GI48&gt;0,GI48,IF(ROUND(CK48*$J48,6)&lt;ROUND($M48,6),CK48,0)))</f>
        <v/>
      </c>
      <c r="GK48" s="68">
        <f>IF(OR($U48=0,$F48&lt;&gt;2),0,IF(GJ48&gt;0,GJ48,IF(ROUND(CL48*$J48,6)&lt;ROUND($M48,6),CL48,0)))</f>
        <v/>
      </c>
      <c r="GL48" s="68">
        <f>IF(OR($U48=0,$F48&lt;&gt;2),0,IF(GK48&gt;0,GK48,IF(ROUND(CM48*$J48,6)&lt;ROUND($M48,6),CM48,0)))</f>
        <v/>
      </c>
      <c r="GM48" s="68">
        <f>IF(OR($U48=0,$F48&lt;&gt;2),0,IF(GL48&gt;0,GL48,IF(ROUND(CN48*$J48,6)&lt;ROUND($M48,6),CN48,0)))</f>
        <v/>
      </c>
      <c r="GN48" s="68">
        <f>IF(OR($U48=0,$F48&lt;&gt;2),0,IF(GM48&gt;0,GM48,IF(ROUND(CO48*$J48,6)&lt;ROUND($M48,6),CO48,0)))</f>
        <v/>
      </c>
      <c r="GO48" s="68">
        <f>IF(OR($U48=0,$F48&lt;&gt;2),0,IF(GN48&gt;0,GN48,IF(ROUND(CP48*$J48,6)&lt;ROUND($M48,6),CP48,0)))</f>
        <v/>
      </c>
      <c r="GP48" s="68">
        <f>IF(OR($U48=0,$F48&lt;&gt;2),0,IF(GO48&gt;0,GO48,IF(ROUND(CQ48*$J48,6)&lt;ROUND($M48,6),CQ48,0)))</f>
        <v/>
      </c>
      <c r="GQ48" s="68">
        <f>IF(OR($U48=0,$F48&lt;&gt;2),0,IF(GP48&gt;0,GP48,IF(ROUND(CR48*$J48,6)&lt;ROUND($M48,6),CR48,0)))</f>
        <v/>
      </c>
      <c r="GR48" s="68">
        <f>IF(OR($U48=0,$F48&lt;&gt;2),0,IF(GQ48&gt;0,GQ48,IF(ROUND(CS48*$J48,6)&lt;ROUND($M48,6),CS48,0)))</f>
        <v/>
      </c>
      <c r="GS48" s="68">
        <f>IF(OR($U48=0,$F48&lt;&gt;2),0,IF(GR48&gt;0,GR48,IF(ROUND(CT48*$J48,6)&lt;ROUND($M48,6),CT48,0)))</f>
        <v/>
      </c>
      <c r="GT48" s="68">
        <f>IF(OR($U48=0,$F48&lt;&gt;2),0,IF(GS48&gt;0,GS48,IF(ROUND(CU48*$J48,6)&lt;ROUND($M48,6),CU48,0)))</f>
        <v/>
      </c>
      <c r="GU48" s="68">
        <f>IF(OR($U48=0,$F48&lt;&gt;2),0,IF(GT48&gt;0,GT48,IF(ROUND(CV48*$J48,6)&lt;ROUND($M48,6),CV48,0)))</f>
        <v/>
      </c>
      <c r="GV48" s="68">
        <f>IF(OR($U48=0,$F48&lt;&gt;2),0,IF(GU48&gt;0,GU48,IF(ROUND(CW48*$J48,6)&lt;ROUND($M48,6),CW48,0)))</f>
        <v/>
      </c>
      <c r="GW48" s="68">
        <f>IF(OR($U48=0,$F48&lt;&gt;2),0,IF(GV48&gt;0,GV48,IF(ROUND(CX48*$J48,6)&lt;ROUND($M48,6),CX48,0)))</f>
        <v/>
      </c>
      <c r="GX48" s="68">
        <f>IF(OR($U48=0,$F48&lt;&gt;2),0,IF(GW48&gt;0,GW48,IF(ROUND(CY48*$J48,6)&lt;ROUND($M48,6),CY48,0)))</f>
        <v/>
      </c>
      <c r="GY48" s="68">
        <f>IF(OR($U48=0,$F48&lt;&gt;2),0,IF(GX48&gt;0,GX48,IF(ROUND(CZ48*$J48,6)&lt;ROUND($M48,6),CZ48,0)))</f>
        <v/>
      </c>
      <c r="GZ48" s="68">
        <f>IF(OR($U48=0,$F48&lt;&gt;2),0,IF(GY48&gt;0,GY48,IF(ROUND(DA48*$J48,6)&lt;ROUND($M48,6),DA48,0)))</f>
        <v/>
      </c>
      <c r="HA48" s="68">
        <f>IF(OR($U48=0,$F48&lt;&gt;2),0,IF(GZ48&gt;0,GZ48,IF(ROUND(DB48*$J48,6)&lt;ROUND($M48,6),DB48,0)))</f>
        <v/>
      </c>
      <c r="HB48" s="68">
        <f>IF(OR($U48=0,$F48&lt;&gt;2),0,IF(HA48&gt;0,HA48,IF(ROUND(DC48*$J48,6)&lt;ROUND($M48,6),DC48,0)))</f>
        <v/>
      </c>
      <c r="HC48" s="68">
        <f>IF(OR($U48=0,$F48&lt;&gt;2),0,IF(HB48&gt;0,HB48,IF(ROUND(DD48*$J48,6)&lt;ROUND($M48,6),DD48,0)))</f>
        <v/>
      </c>
      <c r="HD48" s="68">
        <f>IF(OR($U48=0,$F48&lt;&gt;2),0,IF(HC48&gt;0,HC48,IF(ROUND(DE48*$J48,6)&lt;ROUND($M48,6),DE48,0)))</f>
        <v/>
      </c>
      <c r="HE48" s="68">
        <f>IF(OR($U48=0,$F48&lt;&gt;2),0,IF(HD48&gt;0,HD48,IF(ROUND(DF48*$J48,6)&lt;ROUND($M48,6),DF48,0)))</f>
        <v/>
      </c>
      <c r="HF48" s="68">
        <f>IF(OR($U48=0,$F48&lt;&gt;2),0,IF(HE48&gt;0,HE48,IF(ROUND(DG48*$J48,6)&lt;ROUND($M48,6),DG48,0)))</f>
        <v/>
      </c>
      <c r="HG48" s="68">
        <f>IF(OR($U48=0,$F48&lt;&gt;2),0,IF(HF48&gt;0,HF48,IF(ROUND(DH48*$J48,6)&lt;ROUND($M48,6),DH48,0)))</f>
        <v/>
      </c>
      <c r="HH48" s="68">
        <f>IF(OR($U48=0,$F48&lt;&gt;2),0,IF(HG48&gt;0,HG48,IF(ROUND(DI48*$J48,6)&lt;ROUND($M48,6),DI48,0)))</f>
        <v/>
      </c>
      <c r="HI48" s="68">
        <f>IF(OR($U48=0,$F48&lt;&gt;2),0,IF(HH48&gt;0,HH48,IF(ROUND(DJ48*$J48,6)&lt;ROUND($M48,6),DJ48,0)))</f>
        <v/>
      </c>
      <c r="HJ48" s="68">
        <f>IF(OR($U48=0,$F48&lt;&gt;2),0,IF(HI48&gt;0,HI48,IF(ROUND(DK48*$J48,6)&lt;ROUND($M48,6),DK48,0)))</f>
        <v/>
      </c>
      <c r="HK48" s="68">
        <f>IF(OR($U48=0,$F48&lt;&gt;2),0,IF(HJ48&gt;0,HJ48,IF(ROUND(DL48*$J48,6)&lt;ROUND($M48,6),DL48,0)))</f>
        <v/>
      </c>
      <c r="HL48" s="68">
        <f>IF(OR($U48=0,$F48&lt;&gt;2),0,IF(HK48&gt;0,HK48,IF(ROUND(DM48*$J48,6)&lt;ROUND($M48,6),DM48,0)))</f>
        <v/>
      </c>
      <c r="HM48" s="68">
        <f>IF(OR($U48=0,$F48&lt;&gt;2),0,IF(HL48&gt;0,HL48,IF(ROUND(DN48*$J48,6)&lt;ROUND($M48,6),DN48,0)))</f>
        <v/>
      </c>
      <c r="HN48" s="68">
        <f>IF(OR($U48=0,$F48&lt;&gt;2),0,IF(HM48&gt;0,HM48,IF(ROUND(DO48*$J48,6)&lt;ROUND($M48,6),DO48,0)))</f>
        <v/>
      </c>
      <c r="HO48" s="68">
        <f>IF(OR($U48=0,$F48&lt;&gt;2),0,IF(HN48&gt;0,HN48,IF(ROUND(DP48*$J48,6)&lt;ROUND($M48,6),DP48,0)))</f>
        <v/>
      </c>
      <c r="HP48" s="68">
        <f>IF(OR($U48=0,$F48&lt;&gt;2),0,IF(HO48&gt;0,HO48,IF(ROUND(DQ48*$J48,6)&lt;ROUND($M48,6),DQ48,0)))</f>
        <v/>
      </c>
      <c r="HQ48" s="68">
        <f>IF(OR($U48=0,$F48&lt;&gt;2),0,IF(HP48&gt;0,HP48,IF(ROUND(DR48*$J48,6)&lt;ROUND($M48,6),DR48,0)))</f>
        <v/>
      </c>
      <c r="HR48" s="68">
        <f>IF(OR($U48=0,$F48&lt;&gt;2),0,IF(HQ48&gt;0,HQ48,IF(ROUND(DS48*$J48,6)&lt;ROUND($M48,6),DS48,0)))</f>
        <v/>
      </c>
      <c r="HS48" s="68">
        <f>IF(OR($U48=0,$F48&lt;&gt;2),0,IF(HR48&gt;0,HR48,IF(ROUND(DT48*$J48,6)&lt;ROUND($M48,6),DT48,0)))</f>
        <v/>
      </c>
      <c r="HT48" s="68">
        <f>IF(OR($U48=0,$F48&lt;&gt;2),0,IF(HS48&gt;0,HS48,IF(ROUND(DU48*$J48,6)&lt;ROUND($M48,6),DU48,0)))</f>
        <v/>
      </c>
      <c r="HU48" s="68">
        <f>IF(OR($U48=0,$F48&lt;&gt;2),0,IF(HT48&gt;0,HT48,IF(ROUND(DV48*$J48,6)&lt;ROUND($M48,6),DV48,0)))</f>
        <v/>
      </c>
      <c r="HV48" s="68">
        <f>IF(OR($U48=0,$F48&lt;&gt;2),0,IF(HU48&gt;0,HU48,IF(ROUND(DW48*$J48,6)&lt;ROUND($M48,6),DW48,0)))</f>
        <v/>
      </c>
      <c r="HW48" s="68">
        <f>IF(OR($U48=0,$F48&lt;&gt;2),0,IF(HV48&gt;0,HV48,IF(ROUND(DX48*$J48,6)&lt;ROUND($M48,6),DX48,0)))</f>
        <v/>
      </c>
      <c r="HX48" s="68">
        <f>IF(OR($U48=0,$F48&lt;&gt;2),0,IF(HW48&gt;0,HW48,IF(ROUND(DY48*$J48,6)&lt;ROUND($M48,6),DY48,0)))</f>
        <v/>
      </c>
      <c r="HY48" s="68">
        <f>IF(OR($U48=0,$F48&lt;&gt;2),0,IF(HX48&gt;0,HX48,IF(ROUND(DZ48*$J48,6)&lt;ROUND($M48,6),DZ48,0)))</f>
        <v/>
      </c>
      <c r="HZ48" s="68">
        <f>IF(OR($U48=0,$F48&lt;&gt;2),0,IF(HY48&gt;0,HY48,IF(ROUND(EA48*$J48,6)&lt;ROUND($M48,6),EA48,0)))</f>
        <v/>
      </c>
      <c r="IA48" s="68">
        <f>IF(OR($U48=0,$F48&lt;&gt;2),0,IF(HZ48&gt;0,HZ48,IF(ROUND(EB48*$J48,6)&lt;ROUND($M48,6),EB48,0)))</f>
        <v/>
      </c>
      <c r="IB48" s="68">
        <f>IF(OR($U48=0,$F48&lt;&gt;2),0,IF(IA48&gt;0,IA48,IF(ROUND(EC48*$J48,6)&lt;ROUND($M48,6),EC48,0)))</f>
        <v/>
      </c>
      <c r="IC48" s="68">
        <f>IF(OR($U48=0,$F48&lt;&gt;2),0,IF(IB48&gt;0,IB48,IF(ROUND(ED48*$J48,6)&lt;ROUND($M48,6),ED48,0)))</f>
        <v/>
      </c>
      <c r="ID48" s="68">
        <f>IF(OR($U48=0,$F48&lt;&gt;2),0,IF(IC48&gt;0,IC48,IF(ROUND(EE48*$J48,6)&lt;ROUND($M48,6),EE48,0)))</f>
        <v/>
      </c>
      <c r="IE48" s="68">
        <f>IF(OR($U48=0,$F48&lt;&gt;2),0,IF(ID48&gt;0,ID48,IF(ROUND(EF48*$J48,6)&lt;ROUND($M48,6),EF48,0)))</f>
        <v/>
      </c>
      <c r="IF48" s="68">
        <f>IF(OR($U48=0,$F48&lt;&gt;2),0,IF(IE48&gt;0,IE48,IF(ROUND(EG48*$J48,6)&lt;ROUND($M48,6),EG48,0)))</f>
        <v/>
      </c>
      <c r="IG48" s="68">
        <f>IF(OR($U48=0,$F48&lt;&gt;2),0,IF(IF48&gt;0,IF48,IF(ROUND(EH48*$J48,6)&lt;ROUND($M48,6),EH48,0)))</f>
        <v/>
      </c>
      <c r="IH48" s="68">
        <f>IF(OR($U48=0,$F48&lt;&gt;2),0,IF(IG48&gt;0,IG48,IF(ROUND(EI48*$J48,6)&lt;ROUND($M48,6),EI48,0)))</f>
        <v/>
      </c>
      <c r="II48" s="68">
        <f>IF(OR($U48=0,$F48&lt;&gt;2),0,IF(IH48&gt;0,IH48,IF(ROUND(EJ48*$J48,6)&lt;ROUND($M48,6),EJ48,0)))</f>
        <v/>
      </c>
      <c r="IJ48" s="68">
        <f>IF(OR($U48=0,$F48&lt;&gt;2),0,IF(II48&gt;0,II48,IF(ROUND(EK48*$J48,6)&lt;ROUND($M48,6),EK48,0)))</f>
        <v/>
      </c>
      <c r="IK48" s="68">
        <f>IF(OR($U48=0,$F48&lt;&gt;2),0,IF(IJ48&gt;0,IJ48,IF(ROUND(EL48*$J48,6)&lt;ROUND($M48,6),EL48,0)))</f>
        <v/>
      </c>
      <c r="IL48" s="68">
        <f>IF(OR($U48=0,$F48&lt;&gt;2),0,IF(IK48&gt;0,IK48,IF(ROUND(EM48*$J48,6)&lt;ROUND($M48,6),EM48,0)))</f>
        <v/>
      </c>
      <c r="IM48" s="68">
        <f>IF(OR($U48=0,$F48&lt;&gt;2),0,IF(IL48&gt;0,IL48,IF(ROUND(EN48*$J48,6)&lt;ROUND($M48,6),EN48,0)))</f>
        <v/>
      </c>
      <c r="IN48" s="68">
        <f>IF(OR($U48=0,$F48&lt;&gt;2),0,IF(IM48&gt;0,IM48,IF(ROUND(EO48*$J48,6)&lt;ROUND($M48,6),EO48,0)))</f>
        <v/>
      </c>
    </row>
    <row r="49">
      <c r="A49" s="68" t="n">
        <v>44</v>
      </c>
      <c r="B49" s="68">
        <f>IF(OR(TRIM('固定資産台帳'!$B49)&lt;&gt;"",'固定資産台帳'!$E49&lt;&gt;"",'固定資産台帳'!$G49&lt;&gt;"",'固定資産台帳'!$H49&lt;&gt;""),1,0)</f>
        <v/>
      </c>
      <c r="C49" s="68">
        <f>IF(ISNUMBER('固定資産台帳'!$G49),MAX(ROUND('固定資産台帳'!$G49,0),0),0)</f>
        <v/>
      </c>
      <c r="D49" s="84">
        <f>IF(ISNUMBER('固定資産台帳'!$E49),INT('固定資産台帳'!$E49),0)</f>
        <v/>
      </c>
      <c r="E49" s="84">
        <f>IF(ISNUMBER('固定資産台帳'!$F49),INT('固定資産台帳'!$F49),$D49)</f>
        <v/>
      </c>
      <c r="F49" s="68">
        <f>IF('固定資産台帳'!$H49="定額法",1,IF(OR('固定資産台帳'!$H49="定率法",'固定資産台帳'!$H49="定率法（200%）",'固定資産台帳'!$H49="定率法（250%）"),2,IF('固定資産台帳'!$H49="一括償却（3年）",3,IF('固定資産台帳'!$H49="少額特例",4,0))))</f>
        <v/>
      </c>
      <c r="G49" s="68">
        <f>IF('固定資産台帳'!$H49="定率法（250%）",250,IF('固定資産台帳'!$H49="定率法（200%）",200,IF($D49&gt;=DATE(2012,4,1),200,250)))</f>
        <v/>
      </c>
      <c r="H49" s="68">
        <f>IF(ISNUMBER('固定資産台帳'!$I49),IF(AND('固定資産台帳'!$I49&gt;=2,'固定資産台帳'!$I49&lt;=100,'固定資産台帳'!$I49=INT('固定資産台帳'!$I49)),'固定資産台帳'!$I49,0),0)</f>
        <v/>
      </c>
      <c r="I49" s="68">
        <f>IF('固定資産台帳'!$C49="無形固定資産",0,1)</f>
        <v/>
      </c>
      <c r="J49" s="68">
        <f>IF(OR($H49=0,$F49=0,$F49&gt;2),0,IF($F49=1,INDEX('償却率表'!$B$6:$B$104,$H49-1),IF($G49=200,INDEX('償却率表'!$C$6:$C$104,$H49-1),INDEX('償却率表'!$F$6:$F$104,$H49-1))))</f>
        <v/>
      </c>
      <c r="K49" s="68">
        <f>IF(AND($F49=2,$H49&gt;0),IF($G49=200,INDEX('償却率表'!$D$6:$D$104,$H49-1),INDEX('償却率表'!$G$6:$G$104,$H49-1)),0)</f>
        <v/>
      </c>
      <c r="L49" s="68">
        <f>IF(AND($F49=2,$H49&gt;0),IF($G49=200,INDEX('償却率表'!$E$6:$E$104,$H49-1),INDEX('償却率表'!$H$6:$H$104,$H49-1)),0)</f>
        <v/>
      </c>
      <c r="M49" s="68">
        <f>$C49*$L49</f>
        <v/>
      </c>
      <c r="N49" s="68">
        <f>IF($B$1=1,1,IF('固定資産台帳'!$J49="",1,IF(ISNUMBER('固定資産台帳'!$J49),IF(AND('固定資産台帳'!$J49&gt;0,'固定資産台帳'!$J49&lt;=1),'固定資産台帳'!$J49,0),0)))</f>
        <v/>
      </c>
      <c r="O49" s="68">
        <f>IF($E49=0,0,YEAR($E49)-IF(MONTH($E49)&lt;$B$2,1,0))</f>
        <v/>
      </c>
      <c r="P49" s="68">
        <f>IF($E49=0,0,12-MOD(MONTH($E49)-$B$2,12))</f>
        <v/>
      </c>
      <c r="Q49" s="84">
        <f>IF(ISNUMBER('固定資産台帳'!$K49),INT('固定資産台帳'!$K49),0)</f>
        <v/>
      </c>
      <c r="R49" s="68">
        <f>IF(OR($Q49=0,$E49=0),999,YEAR($Q49)-IF(MONTH($Q49)&lt;$B$2,1,0)-$O49)</f>
        <v/>
      </c>
      <c r="S49" s="68">
        <f>IF($R49=999,0,MOD(MONTH($Q49)-$B$2,12)+1-IF($R49=0,12-$P49,0))</f>
        <v/>
      </c>
      <c r="T49" s="68">
        <f>IF($B49=0,0,IF($C49&lt;=0,1,IF($D49=0,2,IF($F49=0,3,IF(AND($F49&lt;=2,$H49=0),4,IF(AND($F49&lt;=2,$D49&lt;DATE(2007,4,1)),5,IF($E49&lt;$D49,6,IF(AND($Q49&gt;0,$Q49&lt;$E49),7,IF($N49=0,8,IF($B$3=0,9,0))))))))))</f>
        <v/>
      </c>
      <c r="U49" s="68">
        <f>IF(AND($B49=1,$T49=0),1,0)</f>
        <v/>
      </c>
      <c r="V49" s="68">
        <f>$B$3-$O49</f>
        <v/>
      </c>
      <c r="W49" s="68">
        <f>IF(AND($U49=1,$V49&gt;=0),1,0)</f>
        <v/>
      </c>
      <c r="X49" s="68">
        <f>IF($W49=0,0,IF($V49=0,$C49,INDEX($AS49:$EP49,MIN($V49,102))))</f>
        <v/>
      </c>
      <c r="Y49" s="68">
        <f>IF($W49=0,0,INDEX($AS49:$EP49,MIN($V49,101)+1))</f>
        <v/>
      </c>
      <c r="Z49" s="68">
        <f>$X49-$Y49</f>
        <v/>
      </c>
      <c r="AA49" s="68">
        <f>IF(AND($W49=1,$F49=2,$V49&gt;=1),INDEX($ER49:$IN49,MIN($V49,101)),0)</f>
        <v/>
      </c>
      <c r="AB49" s="68">
        <f>IF(OR($W49=0,$F49&gt;2,$Z49=0),0,IF($V49=0,IF($R49=0,$S49,$P49),IF($V49=$R49,$S49,12)))</f>
        <v/>
      </c>
      <c r="AC49" s="68">
        <f>IF($W49=0,0,INT(ROUND($Z49*$N49,6)+$B$4))</f>
        <v/>
      </c>
      <c r="AD49" s="68">
        <f>IF(AND($W49=1,$F49&lt;=2,$V49=$R49),1,0)</f>
        <v/>
      </c>
      <c r="AE49" s="68">
        <f>IF(AND($W49=1,$F49&lt;=2,$V49&gt;$R49),1,0)</f>
        <v/>
      </c>
      <c r="AF49" s="68">
        <f>IF(AND($W49=1,$AE49=0,OR($Z49&gt;0,$AD49=1)),1,0)</f>
        <v/>
      </c>
      <c r="AG49" s="68">
        <f>IF($AF49=1,SUM($AF$6:$AF49),0)</f>
        <v/>
      </c>
      <c r="AH49" s="68">
        <f>IF($T49=0,"",CHOOSE($T49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49" s="68">
        <f>IF(AND($F49=2,OR('固定資産台帳'!$C49="建物",'固定資産台帳'!$C49="無形固定資産",AND(OR('固定資産台帳'!$C49="建物附属設備",'固定資産台帳'!$C49="構築物"),$D49&gt;=DATE(2016,4,1)))),"この資産は定額法だけです（定率法は使えません）。","")&amp;IF(AND($F49=3,$C49&gt;=200000),"一括償却は20万円未満の資産だけです。","")&amp;IF(AND($F49=3,$B$1=0,$C49&lt;100000),"10万円未満は一括償却にせず、全額をその年の経費にします。","")&amp;IF(AND($F49=4,$C49&lt;100000),"10万円未満は少額特例ではなく、全額をその年の経費にします。","")&amp;IF(AND($F49=4,$D49&lt;DATE(2026,4,1),$C49&gt;=300000),"2026年3月31日までの取得で少額特例が使えるのは30万円未満です。","")&amp;IF(AND($F49=4,$D49&gt;=DATE(2026,4,1),$C49&gt;=400000),"少額特例は40万円未満の資産だけです。","")&amp;IF(AND($F49=4,OR($D49&lt;DATE(2006,4,1),$D49&gt;DATE(2029,3,31))),"少額特例は2006年4月1日〜2029年3月31日に取得した資産だけです。","")&amp;IF(AND($F49=2,$G49=250,$D49&gt;DATE(2012,12,31)),"250%定率法は2012年12月31日までの取得だけです。","")</f>
        <v/>
      </c>
      <c r="AJ49" s="68">
        <f>IF(AND($F49=2,'固定資産台帳'!$H49="定率法（200%）",$D49&lt;DATE(2012,4,1)),"2012年3月31日までの取得に200%を使うのは、経過措置の届出をした場合です。","")&amp;IF(AND($F49=2,'固定資産台帳'!$H49="定率法（250%）",$D49&gt;=DATE(2012,4,1),$D49&lt;=DATE(2012,12,31)),"2012年4〜12月の取得に250%を使うのは、経過措置を選んだ場合です。","")</f>
        <v/>
      </c>
      <c r="AK49" s="68">
        <f>IF($U49=0,"",IF($V49&lt;0,"表示している年より後に使い始める資産です。",IF($AE49=1,"売却・除却済みです。",IF($AD49=1,"この年に売却・除却。期末の帳簿価額 "&amp;TEXT($Y49,"#,##0")&amp;"円を帳簿から外します。",IF($F49=4,IF($V49=0,"少額特例：この年に全額を経費にします。","少額特例で経費にした資産です。"),IF($F49=3,IF($V49&gt;2,"一括償却は終わっています。","一括償却 "&amp;($V49+1)&amp;"年目（3年のうち）。"),IF($Z49=0,"償却済み（帳簿価額 "&amp;TEXT($Y49,"#,##0")&amp;"円）。",IF($AA49&gt;0,"改定償却率で計算（改定取得価額 "&amp;TEXT($AA49,"#,##0")&amp;"円）。",IF($V49=0,"この年に使い始め（"&amp;$AB49&amp;"か月分）。","")))))))))</f>
        <v/>
      </c>
      <c r="AL49" s="68">
        <f>IF(AND($U49=1,$F49=4,$V49=0),$C49,0)</f>
        <v/>
      </c>
      <c r="AM49" s="68">
        <f>IF($F49=2,INT(ROUND($M49,6)+$B$4),0)</f>
        <v/>
      </c>
      <c r="AN49" s="68">
        <f>IF($W49=0,0,IF($F49=2,IF($AA49&gt;0,$AA49,$X49),$C49))</f>
        <v/>
      </c>
      <c r="AO49" s="68">
        <f>IF($W49=0,"",IF($F49=3,"1/3",IF($F49=4,"―",IF($AA49&gt;0,$K49,$J49))))</f>
        <v/>
      </c>
      <c r="AP49" s="68" t="n"/>
      <c r="AQ49" s="68" t="n"/>
      <c r="AR49" s="68" t="n"/>
      <c r="AS49" s="68">
        <f>IF($U49=0,0,IF($F49=4,0,IF($F49=3,MAX($C49-INT(ROUND($C49/3,6)+$B$4),0),$C49-MIN(INT(ROUND($C49*$J49*IF($R49=0,$S49,$P49)/12,6)+$B$4),MAX($C49-$I49,0)))))</f>
        <v/>
      </c>
      <c r="AT49" s="68">
        <f>IF($U49=0,0,IF($F49=4,0,IF($F49=3,AS49-MIN(INT(ROUND($C49/3,6)+$B$4),AS49),IF(OR(1&gt;$R49,AS49&lt;=$I49),AS49,AS49-MIN(INT(ROUND(IF($F49=1,$C49*$J49,IF(ER49&gt;0,ER49*$K49,AS49*$J49))*IF(1=$R49,$S49,12)/12,6)+$B$4),AS49-$I49)))))</f>
        <v/>
      </c>
      <c r="AU49" s="68">
        <f>IF($U49=0,0,IF($F49=4,0,IF($F49=3,0,IF(OR(2&gt;$R49,AT49&lt;=$I49),AT49,AT49-MIN(INT(ROUND(IF($F49=1,$C49*$J49,IF(ES49&gt;0,ES49*$K49,AT49*$J49))*IF(2=$R49,$S49,12)/12,6)+$B$4),AT49-$I49)))))</f>
        <v/>
      </c>
      <c r="AV49" s="68">
        <f>IF($U49=0,0,IF($F49=4,0,IF($F49=3,0,IF(OR(3&gt;$R49,AU49&lt;=$I49),AU49,AU49-MIN(INT(ROUND(IF($F49=1,$C49*$J49,IF(ET49&gt;0,ET49*$K49,AU49*$J49))*IF(3=$R49,$S49,12)/12,6)+$B$4),AU49-$I49)))))</f>
        <v/>
      </c>
      <c r="AW49" s="68">
        <f>IF($U49=0,0,IF($F49=4,0,IF($F49=3,0,IF(OR(4&gt;$R49,AV49&lt;=$I49),AV49,AV49-MIN(INT(ROUND(IF($F49=1,$C49*$J49,IF(EU49&gt;0,EU49*$K49,AV49*$J49))*IF(4=$R49,$S49,12)/12,6)+$B$4),AV49-$I49)))))</f>
        <v/>
      </c>
      <c r="AX49" s="68">
        <f>IF($U49=0,0,IF($F49=4,0,IF($F49=3,0,IF(OR(5&gt;$R49,AW49&lt;=$I49),AW49,AW49-MIN(INT(ROUND(IF($F49=1,$C49*$J49,IF(EV49&gt;0,EV49*$K49,AW49*$J49))*IF(5=$R49,$S49,12)/12,6)+$B$4),AW49-$I49)))))</f>
        <v/>
      </c>
      <c r="AY49" s="68">
        <f>IF($U49=0,0,IF($F49=4,0,IF($F49=3,0,IF(OR(6&gt;$R49,AX49&lt;=$I49),AX49,AX49-MIN(INT(ROUND(IF($F49=1,$C49*$J49,IF(EW49&gt;0,EW49*$K49,AX49*$J49))*IF(6=$R49,$S49,12)/12,6)+$B$4),AX49-$I49)))))</f>
        <v/>
      </c>
      <c r="AZ49" s="68">
        <f>IF($U49=0,0,IF($F49=4,0,IF($F49=3,0,IF(OR(7&gt;$R49,AY49&lt;=$I49),AY49,AY49-MIN(INT(ROUND(IF($F49=1,$C49*$J49,IF(EX49&gt;0,EX49*$K49,AY49*$J49))*IF(7=$R49,$S49,12)/12,6)+$B$4),AY49-$I49)))))</f>
        <v/>
      </c>
      <c r="BA49" s="68">
        <f>IF($U49=0,0,IF($F49=4,0,IF($F49=3,0,IF(OR(8&gt;$R49,AZ49&lt;=$I49),AZ49,AZ49-MIN(INT(ROUND(IF($F49=1,$C49*$J49,IF(EY49&gt;0,EY49*$K49,AZ49*$J49))*IF(8=$R49,$S49,12)/12,6)+$B$4),AZ49-$I49)))))</f>
        <v/>
      </c>
      <c r="BB49" s="68">
        <f>IF($U49=0,0,IF($F49=4,0,IF($F49=3,0,IF(OR(9&gt;$R49,BA49&lt;=$I49),BA49,BA49-MIN(INT(ROUND(IF($F49=1,$C49*$J49,IF(EZ49&gt;0,EZ49*$K49,BA49*$J49))*IF(9=$R49,$S49,12)/12,6)+$B$4),BA49-$I49)))))</f>
        <v/>
      </c>
      <c r="BC49" s="68">
        <f>IF($U49=0,0,IF($F49=4,0,IF($F49=3,0,IF(OR(10&gt;$R49,BB49&lt;=$I49),BB49,BB49-MIN(INT(ROUND(IF($F49=1,$C49*$J49,IF(FA49&gt;0,FA49*$K49,BB49*$J49))*IF(10=$R49,$S49,12)/12,6)+$B$4),BB49-$I49)))))</f>
        <v/>
      </c>
      <c r="BD49" s="68">
        <f>IF($U49=0,0,IF($F49=4,0,IF($F49=3,0,IF(OR(11&gt;$R49,BC49&lt;=$I49),BC49,BC49-MIN(INT(ROUND(IF($F49=1,$C49*$J49,IF(FB49&gt;0,FB49*$K49,BC49*$J49))*IF(11=$R49,$S49,12)/12,6)+$B$4),BC49-$I49)))))</f>
        <v/>
      </c>
      <c r="BE49" s="68">
        <f>IF($U49=0,0,IF($F49=4,0,IF($F49=3,0,IF(OR(12&gt;$R49,BD49&lt;=$I49),BD49,BD49-MIN(INT(ROUND(IF($F49=1,$C49*$J49,IF(FC49&gt;0,FC49*$K49,BD49*$J49))*IF(12=$R49,$S49,12)/12,6)+$B$4),BD49-$I49)))))</f>
        <v/>
      </c>
      <c r="BF49" s="68">
        <f>IF($U49=0,0,IF($F49=4,0,IF($F49=3,0,IF(OR(13&gt;$R49,BE49&lt;=$I49),BE49,BE49-MIN(INT(ROUND(IF($F49=1,$C49*$J49,IF(FD49&gt;0,FD49*$K49,BE49*$J49))*IF(13=$R49,$S49,12)/12,6)+$B$4),BE49-$I49)))))</f>
        <v/>
      </c>
      <c r="BG49" s="68">
        <f>IF($U49=0,0,IF($F49=4,0,IF($F49=3,0,IF(OR(14&gt;$R49,BF49&lt;=$I49),BF49,BF49-MIN(INT(ROUND(IF($F49=1,$C49*$J49,IF(FE49&gt;0,FE49*$K49,BF49*$J49))*IF(14=$R49,$S49,12)/12,6)+$B$4),BF49-$I49)))))</f>
        <v/>
      </c>
      <c r="BH49" s="68">
        <f>IF($U49=0,0,IF($F49=4,0,IF($F49=3,0,IF(OR(15&gt;$R49,BG49&lt;=$I49),BG49,BG49-MIN(INT(ROUND(IF($F49=1,$C49*$J49,IF(FF49&gt;0,FF49*$K49,BG49*$J49))*IF(15=$R49,$S49,12)/12,6)+$B$4),BG49-$I49)))))</f>
        <v/>
      </c>
      <c r="BI49" s="68">
        <f>IF($U49=0,0,IF($F49=4,0,IF($F49=3,0,IF(OR(16&gt;$R49,BH49&lt;=$I49),BH49,BH49-MIN(INT(ROUND(IF($F49=1,$C49*$J49,IF(FG49&gt;0,FG49*$K49,BH49*$J49))*IF(16=$R49,$S49,12)/12,6)+$B$4),BH49-$I49)))))</f>
        <v/>
      </c>
      <c r="BJ49" s="68">
        <f>IF($U49=0,0,IF($F49=4,0,IF($F49=3,0,IF(OR(17&gt;$R49,BI49&lt;=$I49),BI49,BI49-MIN(INT(ROUND(IF($F49=1,$C49*$J49,IF(FH49&gt;0,FH49*$K49,BI49*$J49))*IF(17=$R49,$S49,12)/12,6)+$B$4),BI49-$I49)))))</f>
        <v/>
      </c>
      <c r="BK49" s="68">
        <f>IF($U49=0,0,IF($F49=4,0,IF($F49=3,0,IF(OR(18&gt;$R49,BJ49&lt;=$I49),BJ49,BJ49-MIN(INT(ROUND(IF($F49=1,$C49*$J49,IF(FI49&gt;0,FI49*$K49,BJ49*$J49))*IF(18=$R49,$S49,12)/12,6)+$B$4),BJ49-$I49)))))</f>
        <v/>
      </c>
      <c r="BL49" s="68">
        <f>IF($U49=0,0,IF($F49=4,0,IF($F49=3,0,IF(OR(19&gt;$R49,BK49&lt;=$I49),BK49,BK49-MIN(INT(ROUND(IF($F49=1,$C49*$J49,IF(FJ49&gt;0,FJ49*$K49,BK49*$J49))*IF(19=$R49,$S49,12)/12,6)+$B$4),BK49-$I49)))))</f>
        <v/>
      </c>
      <c r="BM49" s="68">
        <f>IF($U49=0,0,IF($F49=4,0,IF($F49=3,0,IF(OR(20&gt;$R49,BL49&lt;=$I49),BL49,BL49-MIN(INT(ROUND(IF($F49=1,$C49*$J49,IF(FK49&gt;0,FK49*$K49,BL49*$J49))*IF(20=$R49,$S49,12)/12,6)+$B$4),BL49-$I49)))))</f>
        <v/>
      </c>
      <c r="BN49" s="68">
        <f>IF($U49=0,0,IF($F49=4,0,IF($F49=3,0,IF(OR(21&gt;$R49,BM49&lt;=$I49),BM49,BM49-MIN(INT(ROUND(IF($F49=1,$C49*$J49,IF(FL49&gt;0,FL49*$K49,BM49*$J49))*IF(21=$R49,$S49,12)/12,6)+$B$4),BM49-$I49)))))</f>
        <v/>
      </c>
      <c r="BO49" s="68">
        <f>IF($U49=0,0,IF($F49=4,0,IF($F49=3,0,IF(OR(22&gt;$R49,BN49&lt;=$I49),BN49,BN49-MIN(INT(ROUND(IF($F49=1,$C49*$J49,IF(FM49&gt;0,FM49*$K49,BN49*$J49))*IF(22=$R49,$S49,12)/12,6)+$B$4),BN49-$I49)))))</f>
        <v/>
      </c>
      <c r="BP49" s="68">
        <f>IF($U49=0,0,IF($F49=4,0,IF($F49=3,0,IF(OR(23&gt;$R49,BO49&lt;=$I49),BO49,BO49-MIN(INT(ROUND(IF($F49=1,$C49*$J49,IF(FN49&gt;0,FN49*$K49,BO49*$J49))*IF(23=$R49,$S49,12)/12,6)+$B$4),BO49-$I49)))))</f>
        <v/>
      </c>
      <c r="BQ49" s="68">
        <f>IF($U49=0,0,IF($F49=4,0,IF($F49=3,0,IF(OR(24&gt;$R49,BP49&lt;=$I49),BP49,BP49-MIN(INT(ROUND(IF($F49=1,$C49*$J49,IF(FO49&gt;0,FO49*$K49,BP49*$J49))*IF(24=$R49,$S49,12)/12,6)+$B$4),BP49-$I49)))))</f>
        <v/>
      </c>
      <c r="BR49" s="68">
        <f>IF($U49=0,0,IF($F49=4,0,IF($F49=3,0,IF(OR(25&gt;$R49,BQ49&lt;=$I49),BQ49,BQ49-MIN(INT(ROUND(IF($F49=1,$C49*$J49,IF(FP49&gt;0,FP49*$K49,BQ49*$J49))*IF(25=$R49,$S49,12)/12,6)+$B$4),BQ49-$I49)))))</f>
        <v/>
      </c>
      <c r="BS49" s="68">
        <f>IF($U49=0,0,IF($F49=4,0,IF($F49=3,0,IF(OR(26&gt;$R49,BR49&lt;=$I49),BR49,BR49-MIN(INT(ROUND(IF($F49=1,$C49*$J49,IF(FQ49&gt;0,FQ49*$K49,BR49*$J49))*IF(26=$R49,$S49,12)/12,6)+$B$4),BR49-$I49)))))</f>
        <v/>
      </c>
      <c r="BT49" s="68">
        <f>IF($U49=0,0,IF($F49=4,0,IF($F49=3,0,IF(OR(27&gt;$R49,BS49&lt;=$I49),BS49,BS49-MIN(INT(ROUND(IF($F49=1,$C49*$J49,IF(FR49&gt;0,FR49*$K49,BS49*$J49))*IF(27=$R49,$S49,12)/12,6)+$B$4),BS49-$I49)))))</f>
        <v/>
      </c>
      <c r="BU49" s="68">
        <f>IF($U49=0,0,IF($F49=4,0,IF($F49=3,0,IF(OR(28&gt;$R49,BT49&lt;=$I49),BT49,BT49-MIN(INT(ROUND(IF($F49=1,$C49*$J49,IF(FS49&gt;0,FS49*$K49,BT49*$J49))*IF(28=$R49,$S49,12)/12,6)+$B$4),BT49-$I49)))))</f>
        <v/>
      </c>
      <c r="BV49" s="68">
        <f>IF($U49=0,0,IF($F49=4,0,IF($F49=3,0,IF(OR(29&gt;$R49,BU49&lt;=$I49),BU49,BU49-MIN(INT(ROUND(IF($F49=1,$C49*$J49,IF(FT49&gt;0,FT49*$K49,BU49*$J49))*IF(29=$R49,$S49,12)/12,6)+$B$4),BU49-$I49)))))</f>
        <v/>
      </c>
      <c r="BW49" s="68">
        <f>IF($U49=0,0,IF($F49=4,0,IF($F49=3,0,IF(OR(30&gt;$R49,BV49&lt;=$I49),BV49,BV49-MIN(INT(ROUND(IF($F49=1,$C49*$J49,IF(FU49&gt;0,FU49*$K49,BV49*$J49))*IF(30=$R49,$S49,12)/12,6)+$B$4),BV49-$I49)))))</f>
        <v/>
      </c>
      <c r="BX49" s="68">
        <f>IF($U49=0,0,IF($F49=4,0,IF($F49=3,0,IF(OR(31&gt;$R49,BW49&lt;=$I49),BW49,BW49-MIN(INT(ROUND(IF($F49=1,$C49*$J49,IF(FV49&gt;0,FV49*$K49,BW49*$J49))*IF(31=$R49,$S49,12)/12,6)+$B$4),BW49-$I49)))))</f>
        <v/>
      </c>
      <c r="BY49" s="68">
        <f>IF($U49=0,0,IF($F49=4,0,IF($F49=3,0,IF(OR(32&gt;$R49,BX49&lt;=$I49),BX49,BX49-MIN(INT(ROUND(IF($F49=1,$C49*$J49,IF(FW49&gt;0,FW49*$K49,BX49*$J49))*IF(32=$R49,$S49,12)/12,6)+$B$4),BX49-$I49)))))</f>
        <v/>
      </c>
      <c r="BZ49" s="68">
        <f>IF($U49=0,0,IF($F49=4,0,IF($F49=3,0,IF(OR(33&gt;$R49,BY49&lt;=$I49),BY49,BY49-MIN(INT(ROUND(IF($F49=1,$C49*$J49,IF(FX49&gt;0,FX49*$K49,BY49*$J49))*IF(33=$R49,$S49,12)/12,6)+$B$4),BY49-$I49)))))</f>
        <v/>
      </c>
      <c r="CA49" s="68">
        <f>IF($U49=0,0,IF($F49=4,0,IF($F49=3,0,IF(OR(34&gt;$R49,BZ49&lt;=$I49),BZ49,BZ49-MIN(INT(ROUND(IF($F49=1,$C49*$J49,IF(FY49&gt;0,FY49*$K49,BZ49*$J49))*IF(34=$R49,$S49,12)/12,6)+$B$4),BZ49-$I49)))))</f>
        <v/>
      </c>
      <c r="CB49" s="68">
        <f>IF($U49=0,0,IF($F49=4,0,IF($F49=3,0,IF(OR(35&gt;$R49,CA49&lt;=$I49),CA49,CA49-MIN(INT(ROUND(IF($F49=1,$C49*$J49,IF(FZ49&gt;0,FZ49*$K49,CA49*$J49))*IF(35=$R49,$S49,12)/12,6)+$B$4),CA49-$I49)))))</f>
        <v/>
      </c>
      <c r="CC49" s="68">
        <f>IF($U49=0,0,IF($F49=4,0,IF($F49=3,0,IF(OR(36&gt;$R49,CB49&lt;=$I49),CB49,CB49-MIN(INT(ROUND(IF($F49=1,$C49*$J49,IF(GA49&gt;0,GA49*$K49,CB49*$J49))*IF(36=$R49,$S49,12)/12,6)+$B$4),CB49-$I49)))))</f>
        <v/>
      </c>
      <c r="CD49" s="68">
        <f>IF($U49=0,0,IF($F49=4,0,IF($F49=3,0,IF(OR(37&gt;$R49,CC49&lt;=$I49),CC49,CC49-MIN(INT(ROUND(IF($F49=1,$C49*$J49,IF(GB49&gt;0,GB49*$K49,CC49*$J49))*IF(37=$R49,$S49,12)/12,6)+$B$4),CC49-$I49)))))</f>
        <v/>
      </c>
      <c r="CE49" s="68">
        <f>IF($U49=0,0,IF($F49=4,0,IF($F49=3,0,IF(OR(38&gt;$R49,CD49&lt;=$I49),CD49,CD49-MIN(INT(ROUND(IF($F49=1,$C49*$J49,IF(GC49&gt;0,GC49*$K49,CD49*$J49))*IF(38=$R49,$S49,12)/12,6)+$B$4),CD49-$I49)))))</f>
        <v/>
      </c>
      <c r="CF49" s="68">
        <f>IF($U49=0,0,IF($F49=4,0,IF($F49=3,0,IF(OR(39&gt;$R49,CE49&lt;=$I49),CE49,CE49-MIN(INT(ROUND(IF($F49=1,$C49*$J49,IF(GD49&gt;0,GD49*$K49,CE49*$J49))*IF(39=$R49,$S49,12)/12,6)+$B$4),CE49-$I49)))))</f>
        <v/>
      </c>
      <c r="CG49" s="68">
        <f>IF($U49=0,0,IF($F49=4,0,IF($F49=3,0,IF(OR(40&gt;$R49,CF49&lt;=$I49),CF49,CF49-MIN(INT(ROUND(IF($F49=1,$C49*$J49,IF(GE49&gt;0,GE49*$K49,CF49*$J49))*IF(40=$R49,$S49,12)/12,6)+$B$4),CF49-$I49)))))</f>
        <v/>
      </c>
      <c r="CH49" s="68">
        <f>IF($U49=0,0,IF($F49=4,0,IF($F49=3,0,IF(OR(41&gt;$R49,CG49&lt;=$I49),CG49,CG49-MIN(INT(ROUND(IF($F49=1,$C49*$J49,IF(GF49&gt;0,GF49*$K49,CG49*$J49))*IF(41=$R49,$S49,12)/12,6)+$B$4),CG49-$I49)))))</f>
        <v/>
      </c>
      <c r="CI49" s="68">
        <f>IF($U49=0,0,IF($F49=4,0,IF($F49=3,0,IF(OR(42&gt;$R49,CH49&lt;=$I49),CH49,CH49-MIN(INT(ROUND(IF($F49=1,$C49*$J49,IF(GG49&gt;0,GG49*$K49,CH49*$J49))*IF(42=$R49,$S49,12)/12,6)+$B$4),CH49-$I49)))))</f>
        <v/>
      </c>
      <c r="CJ49" s="68">
        <f>IF($U49=0,0,IF($F49=4,0,IF($F49=3,0,IF(OR(43&gt;$R49,CI49&lt;=$I49),CI49,CI49-MIN(INT(ROUND(IF($F49=1,$C49*$J49,IF(GH49&gt;0,GH49*$K49,CI49*$J49))*IF(43=$R49,$S49,12)/12,6)+$B$4),CI49-$I49)))))</f>
        <v/>
      </c>
      <c r="CK49" s="68">
        <f>IF($U49=0,0,IF($F49=4,0,IF($F49=3,0,IF(OR(44&gt;$R49,CJ49&lt;=$I49),CJ49,CJ49-MIN(INT(ROUND(IF($F49=1,$C49*$J49,IF(GI49&gt;0,GI49*$K49,CJ49*$J49))*IF(44=$R49,$S49,12)/12,6)+$B$4),CJ49-$I49)))))</f>
        <v/>
      </c>
      <c r="CL49" s="68">
        <f>IF($U49=0,0,IF($F49=4,0,IF($F49=3,0,IF(OR(45&gt;$R49,CK49&lt;=$I49),CK49,CK49-MIN(INT(ROUND(IF($F49=1,$C49*$J49,IF(GJ49&gt;0,GJ49*$K49,CK49*$J49))*IF(45=$R49,$S49,12)/12,6)+$B$4),CK49-$I49)))))</f>
        <v/>
      </c>
      <c r="CM49" s="68">
        <f>IF($U49=0,0,IF($F49=4,0,IF($F49=3,0,IF(OR(46&gt;$R49,CL49&lt;=$I49),CL49,CL49-MIN(INT(ROUND(IF($F49=1,$C49*$J49,IF(GK49&gt;0,GK49*$K49,CL49*$J49))*IF(46=$R49,$S49,12)/12,6)+$B$4),CL49-$I49)))))</f>
        <v/>
      </c>
      <c r="CN49" s="68">
        <f>IF($U49=0,0,IF($F49=4,0,IF($F49=3,0,IF(OR(47&gt;$R49,CM49&lt;=$I49),CM49,CM49-MIN(INT(ROUND(IF($F49=1,$C49*$J49,IF(GL49&gt;0,GL49*$K49,CM49*$J49))*IF(47=$R49,$S49,12)/12,6)+$B$4),CM49-$I49)))))</f>
        <v/>
      </c>
      <c r="CO49" s="68">
        <f>IF($U49=0,0,IF($F49=4,0,IF($F49=3,0,IF(OR(48&gt;$R49,CN49&lt;=$I49),CN49,CN49-MIN(INT(ROUND(IF($F49=1,$C49*$J49,IF(GM49&gt;0,GM49*$K49,CN49*$J49))*IF(48=$R49,$S49,12)/12,6)+$B$4),CN49-$I49)))))</f>
        <v/>
      </c>
      <c r="CP49" s="68">
        <f>IF($U49=0,0,IF($F49=4,0,IF($F49=3,0,IF(OR(49&gt;$R49,CO49&lt;=$I49),CO49,CO49-MIN(INT(ROUND(IF($F49=1,$C49*$J49,IF(GN49&gt;0,GN49*$K49,CO49*$J49))*IF(49=$R49,$S49,12)/12,6)+$B$4),CO49-$I49)))))</f>
        <v/>
      </c>
      <c r="CQ49" s="68">
        <f>IF($U49=0,0,IF($F49=4,0,IF($F49=3,0,IF(OR(50&gt;$R49,CP49&lt;=$I49),CP49,CP49-MIN(INT(ROUND(IF($F49=1,$C49*$J49,IF(GO49&gt;0,GO49*$K49,CP49*$J49))*IF(50=$R49,$S49,12)/12,6)+$B$4),CP49-$I49)))))</f>
        <v/>
      </c>
      <c r="CR49" s="68">
        <f>IF($U49=0,0,IF($F49=4,0,IF($F49=3,0,IF(OR(51&gt;$R49,CQ49&lt;=$I49),CQ49,CQ49-MIN(INT(ROUND(IF($F49=1,$C49*$J49,IF(GP49&gt;0,GP49*$K49,CQ49*$J49))*IF(51=$R49,$S49,12)/12,6)+$B$4),CQ49-$I49)))))</f>
        <v/>
      </c>
      <c r="CS49" s="68">
        <f>IF($U49=0,0,IF($F49=4,0,IF($F49=3,0,IF(OR(52&gt;$R49,CR49&lt;=$I49),CR49,CR49-MIN(INT(ROUND(IF($F49=1,$C49*$J49,IF(GQ49&gt;0,GQ49*$K49,CR49*$J49))*IF(52=$R49,$S49,12)/12,6)+$B$4),CR49-$I49)))))</f>
        <v/>
      </c>
      <c r="CT49" s="68">
        <f>IF($U49=0,0,IF($F49=4,0,IF($F49=3,0,IF(OR(53&gt;$R49,CS49&lt;=$I49),CS49,CS49-MIN(INT(ROUND(IF($F49=1,$C49*$J49,IF(GR49&gt;0,GR49*$K49,CS49*$J49))*IF(53=$R49,$S49,12)/12,6)+$B$4),CS49-$I49)))))</f>
        <v/>
      </c>
      <c r="CU49" s="68">
        <f>IF($U49=0,0,IF($F49=4,0,IF($F49=3,0,IF(OR(54&gt;$R49,CT49&lt;=$I49),CT49,CT49-MIN(INT(ROUND(IF($F49=1,$C49*$J49,IF(GS49&gt;0,GS49*$K49,CT49*$J49))*IF(54=$R49,$S49,12)/12,6)+$B$4),CT49-$I49)))))</f>
        <v/>
      </c>
      <c r="CV49" s="68">
        <f>IF($U49=0,0,IF($F49=4,0,IF($F49=3,0,IF(OR(55&gt;$R49,CU49&lt;=$I49),CU49,CU49-MIN(INT(ROUND(IF($F49=1,$C49*$J49,IF(GT49&gt;0,GT49*$K49,CU49*$J49))*IF(55=$R49,$S49,12)/12,6)+$B$4),CU49-$I49)))))</f>
        <v/>
      </c>
      <c r="CW49" s="68">
        <f>IF($U49=0,0,IF($F49=4,0,IF($F49=3,0,IF(OR(56&gt;$R49,CV49&lt;=$I49),CV49,CV49-MIN(INT(ROUND(IF($F49=1,$C49*$J49,IF(GU49&gt;0,GU49*$K49,CV49*$J49))*IF(56=$R49,$S49,12)/12,6)+$B$4),CV49-$I49)))))</f>
        <v/>
      </c>
      <c r="CX49" s="68">
        <f>IF($U49=0,0,IF($F49=4,0,IF($F49=3,0,IF(OR(57&gt;$R49,CW49&lt;=$I49),CW49,CW49-MIN(INT(ROUND(IF($F49=1,$C49*$J49,IF(GV49&gt;0,GV49*$K49,CW49*$J49))*IF(57=$R49,$S49,12)/12,6)+$B$4),CW49-$I49)))))</f>
        <v/>
      </c>
      <c r="CY49" s="68">
        <f>IF($U49=0,0,IF($F49=4,0,IF($F49=3,0,IF(OR(58&gt;$R49,CX49&lt;=$I49),CX49,CX49-MIN(INT(ROUND(IF($F49=1,$C49*$J49,IF(GW49&gt;0,GW49*$K49,CX49*$J49))*IF(58=$R49,$S49,12)/12,6)+$B$4),CX49-$I49)))))</f>
        <v/>
      </c>
      <c r="CZ49" s="68">
        <f>IF($U49=0,0,IF($F49=4,0,IF($F49=3,0,IF(OR(59&gt;$R49,CY49&lt;=$I49),CY49,CY49-MIN(INT(ROUND(IF($F49=1,$C49*$J49,IF(GX49&gt;0,GX49*$K49,CY49*$J49))*IF(59=$R49,$S49,12)/12,6)+$B$4),CY49-$I49)))))</f>
        <v/>
      </c>
      <c r="DA49" s="68">
        <f>IF($U49=0,0,IF($F49=4,0,IF($F49=3,0,IF(OR(60&gt;$R49,CZ49&lt;=$I49),CZ49,CZ49-MIN(INT(ROUND(IF($F49=1,$C49*$J49,IF(GY49&gt;0,GY49*$K49,CZ49*$J49))*IF(60=$R49,$S49,12)/12,6)+$B$4),CZ49-$I49)))))</f>
        <v/>
      </c>
      <c r="DB49" s="68">
        <f>IF($U49=0,0,IF($F49=4,0,IF($F49=3,0,IF(OR(61&gt;$R49,DA49&lt;=$I49),DA49,DA49-MIN(INT(ROUND(IF($F49=1,$C49*$J49,IF(GZ49&gt;0,GZ49*$K49,DA49*$J49))*IF(61=$R49,$S49,12)/12,6)+$B$4),DA49-$I49)))))</f>
        <v/>
      </c>
      <c r="DC49" s="68">
        <f>IF($U49=0,0,IF($F49=4,0,IF($F49=3,0,IF(OR(62&gt;$R49,DB49&lt;=$I49),DB49,DB49-MIN(INT(ROUND(IF($F49=1,$C49*$J49,IF(HA49&gt;0,HA49*$K49,DB49*$J49))*IF(62=$R49,$S49,12)/12,6)+$B$4),DB49-$I49)))))</f>
        <v/>
      </c>
      <c r="DD49" s="68">
        <f>IF($U49=0,0,IF($F49=4,0,IF($F49=3,0,IF(OR(63&gt;$R49,DC49&lt;=$I49),DC49,DC49-MIN(INT(ROUND(IF($F49=1,$C49*$J49,IF(HB49&gt;0,HB49*$K49,DC49*$J49))*IF(63=$R49,$S49,12)/12,6)+$B$4),DC49-$I49)))))</f>
        <v/>
      </c>
      <c r="DE49" s="68">
        <f>IF($U49=0,0,IF($F49=4,0,IF($F49=3,0,IF(OR(64&gt;$R49,DD49&lt;=$I49),DD49,DD49-MIN(INT(ROUND(IF($F49=1,$C49*$J49,IF(HC49&gt;0,HC49*$K49,DD49*$J49))*IF(64=$R49,$S49,12)/12,6)+$B$4),DD49-$I49)))))</f>
        <v/>
      </c>
      <c r="DF49" s="68">
        <f>IF($U49=0,0,IF($F49=4,0,IF($F49=3,0,IF(OR(65&gt;$R49,DE49&lt;=$I49),DE49,DE49-MIN(INT(ROUND(IF($F49=1,$C49*$J49,IF(HD49&gt;0,HD49*$K49,DE49*$J49))*IF(65=$R49,$S49,12)/12,6)+$B$4),DE49-$I49)))))</f>
        <v/>
      </c>
      <c r="DG49" s="68">
        <f>IF($U49=0,0,IF($F49=4,0,IF($F49=3,0,IF(OR(66&gt;$R49,DF49&lt;=$I49),DF49,DF49-MIN(INT(ROUND(IF($F49=1,$C49*$J49,IF(HE49&gt;0,HE49*$K49,DF49*$J49))*IF(66=$R49,$S49,12)/12,6)+$B$4),DF49-$I49)))))</f>
        <v/>
      </c>
      <c r="DH49" s="68">
        <f>IF($U49=0,0,IF($F49=4,0,IF($F49=3,0,IF(OR(67&gt;$R49,DG49&lt;=$I49),DG49,DG49-MIN(INT(ROUND(IF($F49=1,$C49*$J49,IF(HF49&gt;0,HF49*$K49,DG49*$J49))*IF(67=$R49,$S49,12)/12,6)+$B$4),DG49-$I49)))))</f>
        <v/>
      </c>
      <c r="DI49" s="68">
        <f>IF($U49=0,0,IF($F49=4,0,IF($F49=3,0,IF(OR(68&gt;$R49,DH49&lt;=$I49),DH49,DH49-MIN(INT(ROUND(IF($F49=1,$C49*$J49,IF(HG49&gt;0,HG49*$K49,DH49*$J49))*IF(68=$R49,$S49,12)/12,6)+$B$4),DH49-$I49)))))</f>
        <v/>
      </c>
      <c r="DJ49" s="68">
        <f>IF($U49=0,0,IF($F49=4,0,IF($F49=3,0,IF(OR(69&gt;$R49,DI49&lt;=$I49),DI49,DI49-MIN(INT(ROUND(IF($F49=1,$C49*$J49,IF(HH49&gt;0,HH49*$K49,DI49*$J49))*IF(69=$R49,$S49,12)/12,6)+$B$4),DI49-$I49)))))</f>
        <v/>
      </c>
      <c r="DK49" s="68">
        <f>IF($U49=0,0,IF($F49=4,0,IF($F49=3,0,IF(OR(70&gt;$R49,DJ49&lt;=$I49),DJ49,DJ49-MIN(INT(ROUND(IF($F49=1,$C49*$J49,IF(HI49&gt;0,HI49*$K49,DJ49*$J49))*IF(70=$R49,$S49,12)/12,6)+$B$4),DJ49-$I49)))))</f>
        <v/>
      </c>
      <c r="DL49" s="68">
        <f>IF($U49=0,0,IF($F49=4,0,IF($F49=3,0,IF(OR(71&gt;$R49,DK49&lt;=$I49),DK49,DK49-MIN(INT(ROUND(IF($F49=1,$C49*$J49,IF(HJ49&gt;0,HJ49*$K49,DK49*$J49))*IF(71=$R49,$S49,12)/12,6)+$B$4),DK49-$I49)))))</f>
        <v/>
      </c>
      <c r="DM49" s="68">
        <f>IF($U49=0,0,IF($F49=4,0,IF($F49=3,0,IF(OR(72&gt;$R49,DL49&lt;=$I49),DL49,DL49-MIN(INT(ROUND(IF($F49=1,$C49*$J49,IF(HK49&gt;0,HK49*$K49,DL49*$J49))*IF(72=$R49,$S49,12)/12,6)+$B$4),DL49-$I49)))))</f>
        <v/>
      </c>
      <c r="DN49" s="68">
        <f>IF($U49=0,0,IF($F49=4,0,IF($F49=3,0,IF(OR(73&gt;$R49,DM49&lt;=$I49),DM49,DM49-MIN(INT(ROUND(IF($F49=1,$C49*$J49,IF(HL49&gt;0,HL49*$K49,DM49*$J49))*IF(73=$R49,$S49,12)/12,6)+$B$4),DM49-$I49)))))</f>
        <v/>
      </c>
      <c r="DO49" s="68">
        <f>IF($U49=0,0,IF($F49=4,0,IF($F49=3,0,IF(OR(74&gt;$R49,DN49&lt;=$I49),DN49,DN49-MIN(INT(ROUND(IF($F49=1,$C49*$J49,IF(HM49&gt;0,HM49*$K49,DN49*$J49))*IF(74=$R49,$S49,12)/12,6)+$B$4),DN49-$I49)))))</f>
        <v/>
      </c>
      <c r="DP49" s="68">
        <f>IF($U49=0,0,IF($F49=4,0,IF($F49=3,0,IF(OR(75&gt;$R49,DO49&lt;=$I49),DO49,DO49-MIN(INT(ROUND(IF($F49=1,$C49*$J49,IF(HN49&gt;0,HN49*$K49,DO49*$J49))*IF(75=$R49,$S49,12)/12,6)+$B$4),DO49-$I49)))))</f>
        <v/>
      </c>
      <c r="DQ49" s="68">
        <f>IF($U49=0,0,IF($F49=4,0,IF($F49=3,0,IF(OR(76&gt;$R49,DP49&lt;=$I49),DP49,DP49-MIN(INT(ROUND(IF($F49=1,$C49*$J49,IF(HO49&gt;0,HO49*$K49,DP49*$J49))*IF(76=$R49,$S49,12)/12,6)+$B$4),DP49-$I49)))))</f>
        <v/>
      </c>
      <c r="DR49" s="68">
        <f>IF($U49=0,0,IF($F49=4,0,IF($F49=3,0,IF(OR(77&gt;$R49,DQ49&lt;=$I49),DQ49,DQ49-MIN(INT(ROUND(IF($F49=1,$C49*$J49,IF(HP49&gt;0,HP49*$K49,DQ49*$J49))*IF(77=$R49,$S49,12)/12,6)+$B$4),DQ49-$I49)))))</f>
        <v/>
      </c>
      <c r="DS49" s="68">
        <f>IF($U49=0,0,IF($F49=4,0,IF($F49=3,0,IF(OR(78&gt;$R49,DR49&lt;=$I49),DR49,DR49-MIN(INT(ROUND(IF($F49=1,$C49*$J49,IF(HQ49&gt;0,HQ49*$K49,DR49*$J49))*IF(78=$R49,$S49,12)/12,6)+$B$4),DR49-$I49)))))</f>
        <v/>
      </c>
      <c r="DT49" s="68">
        <f>IF($U49=0,0,IF($F49=4,0,IF($F49=3,0,IF(OR(79&gt;$R49,DS49&lt;=$I49),DS49,DS49-MIN(INT(ROUND(IF($F49=1,$C49*$J49,IF(HR49&gt;0,HR49*$K49,DS49*$J49))*IF(79=$R49,$S49,12)/12,6)+$B$4),DS49-$I49)))))</f>
        <v/>
      </c>
      <c r="DU49" s="68">
        <f>IF($U49=0,0,IF($F49=4,0,IF($F49=3,0,IF(OR(80&gt;$R49,DT49&lt;=$I49),DT49,DT49-MIN(INT(ROUND(IF($F49=1,$C49*$J49,IF(HS49&gt;0,HS49*$K49,DT49*$J49))*IF(80=$R49,$S49,12)/12,6)+$B$4),DT49-$I49)))))</f>
        <v/>
      </c>
      <c r="DV49" s="68">
        <f>IF($U49=0,0,IF($F49=4,0,IF($F49=3,0,IF(OR(81&gt;$R49,DU49&lt;=$I49),DU49,DU49-MIN(INT(ROUND(IF($F49=1,$C49*$J49,IF(HT49&gt;0,HT49*$K49,DU49*$J49))*IF(81=$R49,$S49,12)/12,6)+$B$4),DU49-$I49)))))</f>
        <v/>
      </c>
      <c r="DW49" s="68">
        <f>IF($U49=0,0,IF($F49=4,0,IF($F49=3,0,IF(OR(82&gt;$R49,DV49&lt;=$I49),DV49,DV49-MIN(INT(ROUND(IF($F49=1,$C49*$J49,IF(HU49&gt;0,HU49*$K49,DV49*$J49))*IF(82=$R49,$S49,12)/12,6)+$B$4),DV49-$I49)))))</f>
        <v/>
      </c>
      <c r="DX49" s="68">
        <f>IF($U49=0,0,IF($F49=4,0,IF($F49=3,0,IF(OR(83&gt;$R49,DW49&lt;=$I49),DW49,DW49-MIN(INT(ROUND(IF($F49=1,$C49*$J49,IF(HV49&gt;0,HV49*$K49,DW49*$J49))*IF(83=$R49,$S49,12)/12,6)+$B$4),DW49-$I49)))))</f>
        <v/>
      </c>
      <c r="DY49" s="68">
        <f>IF($U49=0,0,IF($F49=4,0,IF($F49=3,0,IF(OR(84&gt;$R49,DX49&lt;=$I49),DX49,DX49-MIN(INT(ROUND(IF($F49=1,$C49*$J49,IF(HW49&gt;0,HW49*$K49,DX49*$J49))*IF(84=$R49,$S49,12)/12,6)+$B$4),DX49-$I49)))))</f>
        <v/>
      </c>
      <c r="DZ49" s="68">
        <f>IF($U49=0,0,IF($F49=4,0,IF($F49=3,0,IF(OR(85&gt;$R49,DY49&lt;=$I49),DY49,DY49-MIN(INT(ROUND(IF($F49=1,$C49*$J49,IF(HX49&gt;0,HX49*$K49,DY49*$J49))*IF(85=$R49,$S49,12)/12,6)+$B$4),DY49-$I49)))))</f>
        <v/>
      </c>
      <c r="EA49" s="68">
        <f>IF($U49=0,0,IF($F49=4,0,IF($F49=3,0,IF(OR(86&gt;$R49,DZ49&lt;=$I49),DZ49,DZ49-MIN(INT(ROUND(IF($F49=1,$C49*$J49,IF(HY49&gt;0,HY49*$K49,DZ49*$J49))*IF(86=$R49,$S49,12)/12,6)+$B$4),DZ49-$I49)))))</f>
        <v/>
      </c>
      <c r="EB49" s="68">
        <f>IF($U49=0,0,IF($F49=4,0,IF($F49=3,0,IF(OR(87&gt;$R49,EA49&lt;=$I49),EA49,EA49-MIN(INT(ROUND(IF($F49=1,$C49*$J49,IF(HZ49&gt;0,HZ49*$K49,EA49*$J49))*IF(87=$R49,$S49,12)/12,6)+$B$4),EA49-$I49)))))</f>
        <v/>
      </c>
      <c r="EC49" s="68">
        <f>IF($U49=0,0,IF($F49=4,0,IF($F49=3,0,IF(OR(88&gt;$R49,EB49&lt;=$I49),EB49,EB49-MIN(INT(ROUND(IF($F49=1,$C49*$J49,IF(IA49&gt;0,IA49*$K49,EB49*$J49))*IF(88=$R49,$S49,12)/12,6)+$B$4),EB49-$I49)))))</f>
        <v/>
      </c>
      <c r="ED49" s="68">
        <f>IF($U49=0,0,IF($F49=4,0,IF($F49=3,0,IF(OR(89&gt;$R49,EC49&lt;=$I49),EC49,EC49-MIN(INT(ROUND(IF($F49=1,$C49*$J49,IF(IB49&gt;0,IB49*$K49,EC49*$J49))*IF(89=$R49,$S49,12)/12,6)+$B$4),EC49-$I49)))))</f>
        <v/>
      </c>
      <c r="EE49" s="68">
        <f>IF($U49=0,0,IF($F49=4,0,IF($F49=3,0,IF(OR(90&gt;$R49,ED49&lt;=$I49),ED49,ED49-MIN(INT(ROUND(IF($F49=1,$C49*$J49,IF(IC49&gt;0,IC49*$K49,ED49*$J49))*IF(90=$R49,$S49,12)/12,6)+$B$4),ED49-$I49)))))</f>
        <v/>
      </c>
      <c r="EF49" s="68">
        <f>IF($U49=0,0,IF($F49=4,0,IF($F49=3,0,IF(OR(91&gt;$R49,EE49&lt;=$I49),EE49,EE49-MIN(INT(ROUND(IF($F49=1,$C49*$J49,IF(ID49&gt;0,ID49*$K49,EE49*$J49))*IF(91=$R49,$S49,12)/12,6)+$B$4),EE49-$I49)))))</f>
        <v/>
      </c>
      <c r="EG49" s="68">
        <f>IF($U49=0,0,IF($F49=4,0,IF($F49=3,0,IF(OR(92&gt;$R49,EF49&lt;=$I49),EF49,EF49-MIN(INT(ROUND(IF($F49=1,$C49*$J49,IF(IE49&gt;0,IE49*$K49,EF49*$J49))*IF(92=$R49,$S49,12)/12,6)+$B$4),EF49-$I49)))))</f>
        <v/>
      </c>
      <c r="EH49" s="68">
        <f>IF($U49=0,0,IF($F49=4,0,IF($F49=3,0,IF(OR(93&gt;$R49,EG49&lt;=$I49),EG49,EG49-MIN(INT(ROUND(IF($F49=1,$C49*$J49,IF(IF49&gt;0,IF49*$K49,EG49*$J49))*IF(93=$R49,$S49,12)/12,6)+$B$4),EG49-$I49)))))</f>
        <v/>
      </c>
      <c r="EI49" s="68">
        <f>IF($U49=0,0,IF($F49=4,0,IF($F49=3,0,IF(OR(94&gt;$R49,EH49&lt;=$I49),EH49,EH49-MIN(INT(ROUND(IF($F49=1,$C49*$J49,IF(IG49&gt;0,IG49*$K49,EH49*$J49))*IF(94=$R49,$S49,12)/12,6)+$B$4),EH49-$I49)))))</f>
        <v/>
      </c>
      <c r="EJ49" s="68">
        <f>IF($U49=0,0,IF($F49=4,0,IF($F49=3,0,IF(OR(95&gt;$R49,EI49&lt;=$I49),EI49,EI49-MIN(INT(ROUND(IF($F49=1,$C49*$J49,IF(IH49&gt;0,IH49*$K49,EI49*$J49))*IF(95=$R49,$S49,12)/12,6)+$B$4),EI49-$I49)))))</f>
        <v/>
      </c>
      <c r="EK49" s="68">
        <f>IF($U49=0,0,IF($F49=4,0,IF($F49=3,0,IF(OR(96&gt;$R49,EJ49&lt;=$I49),EJ49,EJ49-MIN(INT(ROUND(IF($F49=1,$C49*$J49,IF(II49&gt;0,II49*$K49,EJ49*$J49))*IF(96=$R49,$S49,12)/12,6)+$B$4),EJ49-$I49)))))</f>
        <v/>
      </c>
      <c r="EL49" s="68">
        <f>IF($U49=0,0,IF($F49=4,0,IF($F49=3,0,IF(OR(97&gt;$R49,EK49&lt;=$I49),EK49,EK49-MIN(INT(ROUND(IF($F49=1,$C49*$J49,IF(IJ49&gt;0,IJ49*$K49,EK49*$J49))*IF(97=$R49,$S49,12)/12,6)+$B$4),EK49-$I49)))))</f>
        <v/>
      </c>
      <c r="EM49" s="68">
        <f>IF($U49=0,0,IF($F49=4,0,IF($F49=3,0,IF(OR(98&gt;$R49,EL49&lt;=$I49),EL49,EL49-MIN(INT(ROUND(IF($F49=1,$C49*$J49,IF(IK49&gt;0,IK49*$K49,EL49*$J49))*IF(98=$R49,$S49,12)/12,6)+$B$4),EL49-$I49)))))</f>
        <v/>
      </c>
      <c r="EN49" s="68">
        <f>IF($U49=0,0,IF($F49=4,0,IF($F49=3,0,IF(OR(99&gt;$R49,EM49&lt;=$I49),EM49,EM49-MIN(INT(ROUND(IF($F49=1,$C49*$J49,IF(IL49&gt;0,IL49*$K49,EM49*$J49))*IF(99=$R49,$S49,12)/12,6)+$B$4),EM49-$I49)))))</f>
        <v/>
      </c>
      <c r="EO49" s="68">
        <f>IF($U49=0,0,IF($F49=4,0,IF($F49=3,0,IF(OR(100&gt;$R49,EN49&lt;=$I49),EN49,EN49-MIN(INT(ROUND(IF($F49=1,$C49*$J49,IF(IM49&gt;0,IM49*$K49,EN49*$J49))*IF(100=$R49,$S49,12)/12,6)+$B$4),EN49-$I49)))))</f>
        <v/>
      </c>
      <c r="EP49" s="68">
        <f>IF($U49=0,0,IF($F49=4,0,IF($F49=3,0,IF(OR(101&gt;$R49,EO49&lt;=$I49),EO49,EO49-MIN(INT(ROUND(IF($F49=1,$C49*$J49,IF(IN49&gt;0,IN49*$K49,EO49*$J49))*IF(101=$R49,$S49,12)/12,6)+$B$4),EO49-$I49)))))</f>
        <v/>
      </c>
      <c r="EQ49" s="68" t="n"/>
      <c r="ER49" s="68">
        <f>IF(OR($U49=0,$F49&lt;&gt;2),0,IF(ROUND(AS49*$J49,6)&lt;ROUND($M49,6),AS49,0))</f>
        <v/>
      </c>
      <c r="ES49" s="68">
        <f>IF(OR($U49=0,$F49&lt;&gt;2),0,IF(ER49&gt;0,ER49,IF(ROUND(AT49*$J49,6)&lt;ROUND($M49,6),AT49,0)))</f>
        <v/>
      </c>
      <c r="ET49" s="68">
        <f>IF(OR($U49=0,$F49&lt;&gt;2),0,IF(ES49&gt;0,ES49,IF(ROUND(AU49*$J49,6)&lt;ROUND($M49,6),AU49,0)))</f>
        <v/>
      </c>
      <c r="EU49" s="68">
        <f>IF(OR($U49=0,$F49&lt;&gt;2),0,IF(ET49&gt;0,ET49,IF(ROUND(AV49*$J49,6)&lt;ROUND($M49,6),AV49,0)))</f>
        <v/>
      </c>
      <c r="EV49" s="68">
        <f>IF(OR($U49=0,$F49&lt;&gt;2),0,IF(EU49&gt;0,EU49,IF(ROUND(AW49*$J49,6)&lt;ROUND($M49,6),AW49,0)))</f>
        <v/>
      </c>
      <c r="EW49" s="68">
        <f>IF(OR($U49=0,$F49&lt;&gt;2),0,IF(EV49&gt;0,EV49,IF(ROUND(AX49*$J49,6)&lt;ROUND($M49,6),AX49,0)))</f>
        <v/>
      </c>
      <c r="EX49" s="68">
        <f>IF(OR($U49=0,$F49&lt;&gt;2),0,IF(EW49&gt;0,EW49,IF(ROUND(AY49*$J49,6)&lt;ROUND($M49,6),AY49,0)))</f>
        <v/>
      </c>
      <c r="EY49" s="68">
        <f>IF(OR($U49=0,$F49&lt;&gt;2),0,IF(EX49&gt;0,EX49,IF(ROUND(AZ49*$J49,6)&lt;ROUND($M49,6),AZ49,0)))</f>
        <v/>
      </c>
      <c r="EZ49" s="68">
        <f>IF(OR($U49=0,$F49&lt;&gt;2),0,IF(EY49&gt;0,EY49,IF(ROUND(BA49*$J49,6)&lt;ROUND($M49,6),BA49,0)))</f>
        <v/>
      </c>
      <c r="FA49" s="68">
        <f>IF(OR($U49=0,$F49&lt;&gt;2),0,IF(EZ49&gt;0,EZ49,IF(ROUND(BB49*$J49,6)&lt;ROUND($M49,6),BB49,0)))</f>
        <v/>
      </c>
      <c r="FB49" s="68">
        <f>IF(OR($U49=0,$F49&lt;&gt;2),0,IF(FA49&gt;0,FA49,IF(ROUND(BC49*$J49,6)&lt;ROUND($M49,6),BC49,0)))</f>
        <v/>
      </c>
      <c r="FC49" s="68">
        <f>IF(OR($U49=0,$F49&lt;&gt;2),0,IF(FB49&gt;0,FB49,IF(ROUND(BD49*$J49,6)&lt;ROUND($M49,6),BD49,0)))</f>
        <v/>
      </c>
      <c r="FD49" s="68">
        <f>IF(OR($U49=0,$F49&lt;&gt;2),0,IF(FC49&gt;0,FC49,IF(ROUND(BE49*$J49,6)&lt;ROUND($M49,6),BE49,0)))</f>
        <v/>
      </c>
      <c r="FE49" s="68">
        <f>IF(OR($U49=0,$F49&lt;&gt;2),0,IF(FD49&gt;0,FD49,IF(ROUND(BF49*$J49,6)&lt;ROUND($M49,6),BF49,0)))</f>
        <v/>
      </c>
      <c r="FF49" s="68">
        <f>IF(OR($U49=0,$F49&lt;&gt;2),0,IF(FE49&gt;0,FE49,IF(ROUND(BG49*$J49,6)&lt;ROUND($M49,6),BG49,0)))</f>
        <v/>
      </c>
      <c r="FG49" s="68">
        <f>IF(OR($U49=0,$F49&lt;&gt;2),0,IF(FF49&gt;0,FF49,IF(ROUND(BH49*$J49,6)&lt;ROUND($M49,6),BH49,0)))</f>
        <v/>
      </c>
      <c r="FH49" s="68">
        <f>IF(OR($U49=0,$F49&lt;&gt;2),0,IF(FG49&gt;0,FG49,IF(ROUND(BI49*$J49,6)&lt;ROUND($M49,6),BI49,0)))</f>
        <v/>
      </c>
      <c r="FI49" s="68">
        <f>IF(OR($U49=0,$F49&lt;&gt;2),0,IF(FH49&gt;0,FH49,IF(ROUND(BJ49*$J49,6)&lt;ROUND($M49,6),BJ49,0)))</f>
        <v/>
      </c>
      <c r="FJ49" s="68">
        <f>IF(OR($U49=0,$F49&lt;&gt;2),0,IF(FI49&gt;0,FI49,IF(ROUND(BK49*$J49,6)&lt;ROUND($M49,6),BK49,0)))</f>
        <v/>
      </c>
      <c r="FK49" s="68">
        <f>IF(OR($U49=0,$F49&lt;&gt;2),0,IF(FJ49&gt;0,FJ49,IF(ROUND(BL49*$J49,6)&lt;ROUND($M49,6),BL49,0)))</f>
        <v/>
      </c>
      <c r="FL49" s="68">
        <f>IF(OR($U49=0,$F49&lt;&gt;2),0,IF(FK49&gt;0,FK49,IF(ROUND(BM49*$J49,6)&lt;ROUND($M49,6),BM49,0)))</f>
        <v/>
      </c>
      <c r="FM49" s="68">
        <f>IF(OR($U49=0,$F49&lt;&gt;2),0,IF(FL49&gt;0,FL49,IF(ROUND(BN49*$J49,6)&lt;ROUND($M49,6),BN49,0)))</f>
        <v/>
      </c>
      <c r="FN49" s="68">
        <f>IF(OR($U49=0,$F49&lt;&gt;2),0,IF(FM49&gt;0,FM49,IF(ROUND(BO49*$J49,6)&lt;ROUND($M49,6),BO49,0)))</f>
        <v/>
      </c>
      <c r="FO49" s="68">
        <f>IF(OR($U49=0,$F49&lt;&gt;2),0,IF(FN49&gt;0,FN49,IF(ROUND(BP49*$J49,6)&lt;ROUND($M49,6),BP49,0)))</f>
        <v/>
      </c>
      <c r="FP49" s="68">
        <f>IF(OR($U49=0,$F49&lt;&gt;2),0,IF(FO49&gt;0,FO49,IF(ROUND(BQ49*$J49,6)&lt;ROUND($M49,6),BQ49,0)))</f>
        <v/>
      </c>
      <c r="FQ49" s="68">
        <f>IF(OR($U49=0,$F49&lt;&gt;2),0,IF(FP49&gt;0,FP49,IF(ROUND(BR49*$J49,6)&lt;ROUND($M49,6),BR49,0)))</f>
        <v/>
      </c>
      <c r="FR49" s="68">
        <f>IF(OR($U49=0,$F49&lt;&gt;2),0,IF(FQ49&gt;0,FQ49,IF(ROUND(BS49*$J49,6)&lt;ROUND($M49,6),BS49,0)))</f>
        <v/>
      </c>
      <c r="FS49" s="68">
        <f>IF(OR($U49=0,$F49&lt;&gt;2),0,IF(FR49&gt;0,FR49,IF(ROUND(BT49*$J49,6)&lt;ROUND($M49,6),BT49,0)))</f>
        <v/>
      </c>
      <c r="FT49" s="68">
        <f>IF(OR($U49=0,$F49&lt;&gt;2),0,IF(FS49&gt;0,FS49,IF(ROUND(BU49*$J49,6)&lt;ROUND($M49,6),BU49,0)))</f>
        <v/>
      </c>
      <c r="FU49" s="68">
        <f>IF(OR($U49=0,$F49&lt;&gt;2),0,IF(FT49&gt;0,FT49,IF(ROUND(BV49*$J49,6)&lt;ROUND($M49,6),BV49,0)))</f>
        <v/>
      </c>
      <c r="FV49" s="68">
        <f>IF(OR($U49=0,$F49&lt;&gt;2),0,IF(FU49&gt;0,FU49,IF(ROUND(BW49*$J49,6)&lt;ROUND($M49,6),BW49,0)))</f>
        <v/>
      </c>
      <c r="FW49" s="68">
        <f>IF(OR($U49=0,$F49&lt;&gt;2),0,IF(FV49&gt;0,FV49,IF(ROUND(BX49*$J49,6)&lt;ROUND($M49,6),BX49,0)))</f>
        <v/>
      </c>
      <c r="FX49" s="68">
        <f>IF(OR($U49=0,$F49&lt;&gt;2),0,IF(FW49&gt;0,FW49,IF(ROUND(BY49*$J49,6)&lt;ROUND($M49,6),BY49,0)))</f>
        <v/>
      </c>
      <c r="FY49" s="68">
        <f>IF(OR($U49=0,$F49&lt;&gt;2),0,IF(FX49&gt;0,FX49,IF(ROUND(BZ49*$J49,6)&lt;ROUND($M49,6),BZ49,0)))</f>
        <v/>
      </c>
      <c r="FZ49" s="68">
        <f>IF(OR($U49=0,$F49&lt;&gt;2),0,IF(FY49&gt;0,FY49,IF(ROUND(CA49*$J49,6)&lt;ROUND($M49,6),CA49,0)))</f>
        <v/>
      </c>
      <c r="GA49" s="68">
        <f>IF(OR($U49=0,$F49&lt;&gt;2),0,IF(FZ49&gt;0,FZ49,IF(ROUND(CB49*$J49,6)&lt;ROUND($M49,6),CB49,0)))</f>
        <v/>
      </c>
      <c r="GB49" s="68">
        <f>IF(OR($U49=0,$F49&lt;&gt;2),0,IF(GA49&gt;0,GA49,IF(ROUND(CC49*$J49,6)&lt;ROUND($M49,6),CC49,0)))</f>
        <v/>
      </c>
      <c r="GC49" s="68">
        <f>IF(OR($U49=0,$F49&lt;&gt;2),0,IF(GB49&gt;0,GB49,IF(ROUND(CD49*$J49,6)&lt;ROUND($M49,6),CD49,0)))</f>
        <v/>
      </c>
      <c r="GD49" s="68">
        <f>IF(OR($U49=0,$F49&lt;&gt;2),0,IF(GC49&gt;0,GC49,IF(ROUND(CE49*$J49,6)&lt;ROUND($M49,6),CE49,0)))</f>
        <v/>
      </c>
      <c r="GE49" s="68">
        <f>IF(OR($U49=0,$F49&lt;&gt;2),0,IF(GD49&gt;0,GD49,IF(ROUND(CF49*$J49,6)&lt;ROUND($M49,6),CF49,0)))</f>
        <v/>
      </c>
      <c r="GF49" s="68">
        <f>IF(OR($U49=0,$F49&lt;&gt;2),0,IF(GE49&gt;0,GE49,IF(ROUND(CG49*$J49,6)&lt;ROUND($M49,6),CG49,0)))</f>
        <v/>
      </c>
      <c r="GG49" s="68">
        <f>IF(OR($U49=0,$F49&lt;&gt;2),0,IF(GF49&gt;0,GF49,IF(ROUND(CH49*$J49,6)&lt;ROUND($M49,6),CH49,0)))</f>
        <v/>
      </c>
      <c r="GH49" s="68">
        <f>IF(OR($U49=0,$F49&lt;&gt;2),0,IF(GG49&gt;0,GG49,IF(ROUND(CI49*$J49,6)&lt;ROUND($M49,6),CI49,0)))</f>
        <v/>
      </c>
      <c r="GI49" s="68">
        <f>IF(OR($U49=0,$F49&lt;&gt;2),0,IF(GH49&gt;0,GH49,IF(ROUND(CJ49*$J49,6)&lt;ROUND($M49,6),CJ49,0)))</f>
        <v/>
      </c>
      <c r="GJ49" s="68">
        <f>IF(OR($U49=0,$F49&lt;&gt;2),0,IF(GI49&gt;0,GI49,IF(ROUND(CK49*$J49,6)&lt;ROUND($M49,6),CK49,0)))</f>
        <v/>
      </c>
      <c r="GK49" s="68">
        <f>IF(OR($U49=0,$F49&lt;&gt;2),0,IF(GJ49&gt;0,GJ49,IF(ROUND(CL49*$J49,6)&lt;ROUND($M49,6),CL49,0)))</f>
        <v/>
      </c>
      <c r="GL49" s="68">
        <f>IF(OR($U49=0,$F49&lt;&gt;2),0,IF(GK49&gt;0,GK49,IF(ROUND(CM49*$J49,6)&lt;ROUND($M49,6),CM49,0)))</f>
        <v/>
      </c>
      <c r="GM49" s="68">
        <f>IF(OR($U49=0,$F49&lt;&gt;2),0,IF(GL49&gt;0,GL49,IF(ROUND(CN49*$J49,6)&lt;ROUND($M49,6),CN49,0)))</f>
        <v/>
      </c>
      <c r="GN49" s="68">
        <f>IF(OR($U49=0,$F49&lt;&gt;2),0,IF(GM49&gt;0,GM49,IF(ROUND(CO49*$J49,6)&lt;ROUND($M49,6),CO49,0)))</f>
        <v/>
      </c>
      <c r="GO49" s="68">
        <f>IF(OR($U49=0,$F49&lt;&gt;2),0,IF(GN49&gt;0,GN49,IF(ROUND(CP49*$J49,6)&lt;ROUND($M49,6),CP49,0)))</f>
        <v/>
      </c>
      <c r="GP49" s="68">
        <f>IF(OR($U49=0,$F49&lt;&gt;2),0,IF(GO49&gt;0,GO49,IF(ROUND(CQ49*$J49,6)&lt;ROUND($M49,6),CQ49,0)))</f>
        <v/>
      </c>
      <c r="GQ49" s="68">
        <f>IF(OR($U49=0,$F49&lt;&gt;2),0,IF(GP49&gt;0,GP49,IF(ROUND(CR49*$J49,6)&lt;ROUND($M49,6),CR49,0)))</f>
        <v/>
      </c>
      <c r="GR49" s="68">
        <f>IF(OR($U49=0,$F49&lt;&gt;2),0,IF(GQ49&gt;0,GQ49,IF(ROUND(CS49*$J49,6)&lt;ROUND($M49,6),CS49,0)))</f>
        <v/>
      </c>
      <c r="GS49" s="68">
        <f>IF(OR($U49=0,$F49&lt;&gt;2),0,IF(GR49&gt;0,GR49,IF(ROUND(CT49*$J49,6)&lt;ROUND($M49,6),CT49,0)))</f>
        <v/>
      </c>
      <c r="GT49" s="68">
        <f>IF(OR($U49=0,$F49&lt;&gt;2),0,IF(GS49&gt;0,GS49,IF(ROUND(CU49*$J49,6)&lt;ROUND($M49,6),CU49,0)))</f>
        <v/>
      </c>
      <c r="GU49" s="68">
        <f>IF(OR($U49=0,$F49&lt;&gt;2),0,IF(GT49&gt;0,GT49,IF(ROUND(CV49*$J49,6)&lt;ROUND($M49,6),CV49,0)))</f>
        <v/>
      </c>
      <c r="GV49" s="68">
        <f>IF(OR($U49=0,$F49&lt;&gt;2),0,IF(GU49&gt;0,GU49,IF(ROUND(CW49*$J49,6)&lt;ROUND($M49,6),CW49,0)))</f>
        <v/>
      </c>
      <c r="GW49" s="68">
        <f>IF(OR($U49=0,$F49&lt;&gt;2),0,IF(GV49&gt;0,GV49,IF(ROUND(CX49*$J49,6)&lt;ROUND($M49,6),CX49,0)))</f>
        <v/>
      </c>
      <c r="GX49" s="68">
        <f>IF(OR($U49=0,$F49&lt;&gt;2),0,IF(GW49&gt;0,GW49,IF(ROUND(CY49*$J49,6)&lt;ROUND($M49,6),CY49,0)))</f>
        <v/>
      </c>
      <c r="GY49" s="68">
        <f>IF(OR($U49=0,$F49&lt;&gt;2),0,IF(GX49&gt;0,GX49,IF(ROUND(CZ49*$J49,6)&lt;ROUND($M49,6),CZ49,0)))</f>
        <v/>
      </c>
      <c r="GZ49" s="68">
        <f>IF(OR($U49=0,$F49&lt;&gt;2),0,IF(GY49&gt;0,GY49,IF(ROUND(DA49*$J49,6)&lt;ROUND($M49,6),DA49,0)))</f>
        <v/>
      </c>
      <c r="HA49" s="68">
        <f>IF(OR($U49=0,$F49&lt;&gt;2),0,IF(GZ49&gt;0,GZ49,IF(ROUND(DB49*$J49,6)&lt;ROUND($M49,6),DB49,0)))</f>
        <v/>
      </c>
      <c r="HB49" s="68">
        <f>IF(OR($U49=0,$F49&lt;&gt;2),0,IF(HA49&gt;0,HA49,IF(ROUND(DC49*$J49,6)&lt;ROUND($M49,6),DC49,0)))</f>
        <v/>
      </c>
      <c r="HC49" s="68">
        <f>IF(OR($U49=0,$F49&lt;&gt;2),0,IF(HB49&gt;0,HB49,IF(ROUND(DD49*$J49,6)&lt;ROUND($M49,6),DD49,0)))</f>
        <v/>
      </c>
      <c r="HD49" s="68">
        <f>IF(OR($U49=0,$F49&lt;&gt;2),0,IF(HC49&gt;0,HC49,IF(ROUND(DE49*$J49,6)&lt;ROUND($M49,6),DE49,0)))</f>
        <v/>
      </c>
      <c r="HE49" s="68">
        <f>IF(OR($U49=0,$F49&lt;&gt;2),0,IF(HD49&gt;0,HD49,IF(ROUND(DF49*$J49,6)&lt;ROUND($M49,6),DF49,0)))</f>
        <v/>
      </c>
      <c r="HF49" s="68">
        <f>IF(OR($U49=0,$F49&lt;&gt;2),0,IF(HE49&gt;0,HE49,IF(ROUND(DG49*$J49,6)&lt;ROUND($M49,6),DG49,0)))</f>
        <v/>
      </c>
      <c r="HG49" s="68">
        <f>IF(OR($U49=0,$F49&lt;&gt;2),0,IF(HF49&gt;0,HF49,IF(ROUND(DH49*$J49,6)&lt;ROUND($M49,6),DH49,0)))</f>
        <v/>
      </c>
      <c r="HH49" s="68">
        <f>IF(OR($U49=0,$F49&lt;&gt;2),0,IF(HG49&gt;0,HG49,IF(ROUND(DI49*$J49,6)&lt;ROUND($M49,6),DI49,0)))</f>
        <v/>
      </c>
      <c r="HI49" s="68">
        <f>IF(OR($U49=0,$F49&lt;&gt;2),0,IF(HH49&gt;0,HH49,IF(ROUND(DJ49*$J49,6)&lt;ROUND($M49,6),DJ49,0)))</f>
        <v/>
      </c>
      <c r="HJ49" s="68">
        <f>IF(OR($U49=0,$F49&lt;&gt;2),0,IF(HI49&gt;0,HI49,IF(ROUND(DK49*$J49,6)&lt;ROUND($M49,6),DK49,0)))</f>
        <v/>
      </c>
      <c r="HK49" s="68">
        <f>IF(OR($U49=0,$F49&lt;&gt;2),0,IF(HJ49&gt;0,HJ49,IF(ROUND(DL49*$J49,6)&lt;ROUND($M49,6),DL49,0)))</f>
        <v/>
      </c>
      <c r="HL49" s="68">
        <f>IF(OR($U49=0,$F49&lt;&gt;2),0,IF(HK49&gt;0,HK49,IF(ROUND(DM49*$J49,6)&lt;ROUND($M49,6),DM49,0)))</f>
        <v/>
      </c>
      <c r="HM49" s="68">
        <f>IF(OR($U49=0,$F49&lt;&gt;2),0,IF(HL49&gt;0,HL49,IF(ROUND(DN49*$J49,6)&lt;ROUND($M49,6),DN49,0)))</f>
        <v/>
      </c>
      <c r="HN49" s="68">
        <f>IF(OR($U49=0,$F49&lt;&gt;2),0,IF(HM49&gt;0,HM49,IF(ROUND(DO49*$J49,6)&lt;ROUND($M49,6),DO49,0)))</f>
        <v/>
      </c>
      <c r="HO49" s="68">
        <f>IF(OR($U49=0,$F49&lt;&gt;2),0,IF(HN49&gt;0,HN49,IF(ROUND(DP49*$J49,6)&lt;ROUND($M49,6),DP49,0)))</f>
        <v/>
      </c>
      <c r="HP49" s="68">
        <f>IF(OR($U49=0,$F49&lt;&gt;2),0,IF(HO49&gt;0,HO49,IF(ROUND(DQ49*$J49,6)&lt;ROUND($M49,6),DQ49,0)))</f>
        <v/>
      </c>
      <c r="HQ49" s="68">
        <f>IF(OR($U49=0,$F49&lt;&gt;2),0,IF(HP49&gt;0,HP49,IF(ROUND(DR49*$J49,6)&lt;ROUND($M49,6),DR49,0)))</f>
        <v/>
      </c>
      <c r="HR49" s="68">
        <f>IF(OR($U49=0,$F49&lt;&gt;2),0,IF(HQ49&gt;0,HQ49,IF(ROUND(DS49*$J49,6)&lt;ROUND($M49,6),DS49,0)))</f>
        <v/>
      </c>
      <c r="HS49" s="68">
        <f>IF(OR($U49=0,$F49&lt;&gt;2),0,IF(HR49&gt;0,HR49,IF(ROUND(DT49*$J49,6)&lt;ROUND($M49,6),DT49,0)))</f>
        <v/>
      </c>
      <c r="HT49" s="68">
        <f>IF(OR($U49=0,$F49&lt;&gt;2),0,IF(HS49&gt;0,HS49,IF(ROUND(DU49*$J49,6)&lt;ROUND($M49,6),DU49,0)))</f>
        <v/>
      </c>
      <c r="HU49" s="68">
        <f>IF(OR($U49=0,$F49&lt;&gt;2),0,IF(HT49&gt;0,HT49,IF(ROUND(DV49*$J49,6)&lt;ROUND($M49,6),DV49,0)))</f>
        <v/>
      </c>
      <c r="HV49" s="68">
        <f>IF(OR($U49=0,$F49&lt;&gt;2),0,IF(HU49&gt;0,HU49,IF(ROUND(DW49*$J49,6)&lt;ROUND($M49,6),DW49,0)))</f>
        <v/>
      </c>
      <c r="HW49" s="68">
        <f>IF(OR($U49=0,$F49&lt;&gt;2),0,IF(HV49&gt;0,HV49,IF(ROUND(DX49*$J49,6)&lt;ROUND($M49,6),DX49,0)))</f>
        <v/>
      </c>
      <c r="HX49" s="68">
        <f>IF(OR($U49=0,$F49&lt;&gt;2),0,IF(HW49&gt;0,HW49,IF(ROUND(DY49*$J49,6)&lt;ROUND($M49,6),DY49,0)))</f>
        <v/>
      </c>
      <c r="HY49" s="68">
        <f>IF(OR($U49=0,$F49&lt;&gt;2),0,IF(HX49&gt;0,HX49,IF(ROUND(DZ49*$J49,6)&lt;ROUND($M49,6),DZ49,0)))</f>
        <v/>
      </c>
      <c r="HZ49" s="68">
        <f>IF(OR($U49=0,$F49&lt;&gt;2),0,IF(HY49&gt;0,HY49,IF(ROUND(EA49*$J49,6)&lt;ROUND($M49,6),EA49,0)))</f>
        <v/>
      </c>
      <c r="IA49" s="68">
        <f>IF(OR($U49=0,$F49&lt;&gt;2),0,IF(HZ49&gt;0,HZ49,IF(ROUND(EB49*$J49,6)&lt;ROUND($M49,6),EB49,0)))</f>
        <v/>
      </c>
      <c r="IB49" s="68">
        <f>IF(OR($U49=0,$F49&lt;&gt;2),0,IF(IA49&gt;0,IA49,IF(ROUND(EC49*$J49,6)&lt;ROUND($M49,6),EC49,0)))</f>
        <v/>
      </c>
      <c r="IC49" s="68">
        <f>IF(OR($U49=0,$F49&lt;&gt;2),0,IF(IB49&gt;0,IB49,IF(ROUND(ED49*$J49,6)&lt;ROUND($M49,6),ED49,0)))</f>
        <v/>
      </c>
      <c r="ID49" s="68">
        <f>IF(OR($U49=0,$F49&lt;&gt;2),0,IF(IC49&gt;0,IC49,IF(ROUND(EE49*$J49,6)&lt;ROUND($M49,6),EE49,0)))</f>
        <v/>
      </c>
      <c r="IE49" s="68">
        <f>IF(OR($U49=0,$F49&lt;&gt;2),0,IF(ID49&gt;0,ID49,IF(ROUND(EF49*$J49,6)&lt;ROUND($M49,6),EF49,0)))</f>
        <v/>
      </c>
      <c r="IF49" s="68">
        <f>IF(OR($U49=0,$F49&lt;&gt;2),0,IF(IE49&gt;0,IE49,IF(ROUND(EG49*$J49,6)&lt;ROUND($M49,6),EG49,0)))</f>
        <v/>
      </c>
      <c r="IG49" s="68">
        <f>IF(OR($U49=0,$F49&lt;&gt;2),0,IF(IF49&gt;0,IF49,IF(ROUND(EH49*$J49,6)&lt;ROUND($M49,6),EH49,0)))</f>
        <v/>
      </c>
      <c r="IH49" s="68">
        <f>IF(OR($U49=0,$F49&lt;&gt;2),0,IF(IG49&gt;0,IG49,IF(ROUND(EI49*$J49,6)&lt;ROUND($M49,6),EI49,0)))</f>
        <v/>
      </c>
      <c r="II49" s="68">
        <f>IF(OR($U49=0,$F49&lt;&gt;2),0,IF(IH49&gt;0,IH49,IF(ROUND(EJ49*$J49,6)&lt;ROUND($M49,6),EJ49,0)))</f>
        <v/>
      </c>
      <c r="IJ49" s="68">
        <f>IF(OR($U49=0,$F49&lt;&gt;2),0,IF(II49&gt;0,II49,IF(ROUND(EK49*$J49,6)&lt;ROUND($M49,6),EK49,0)))</f>
        <v/>
      </c>
      <c r="IK49" s="68">
        <f>IF(OR($U49=0,$F49&lt;&gt;2),0,IF(IJ49&gt;0,IJ49,IF(ROUND(EL49*$J49,6)&lt;ROUND($M49,6),EL49,0)))</f>
        <v/>
      </c>
      <c r="IL49" s="68">
        <f>IF(OR($U49=0,$F49&lt;&gt;2),0,IF(IK49&gt;0,IK49,IF(ROUND(EM49*$J49,6)&lt;ROUND($M49,6),EM49,0)))</f>
        <v/>
      </c>
      <c r="IM49" s="68">
        <f>IF(OR($U49=0,$F49&lt;&gt;2),0,IF(IL49&gt;0,IL49,IF(ROUND(EN49*$J49,6)&lt;ROUND($M49,6),EN49,0)))</f>
        <v/>
      </c>
      <c r="IN49" s="68">
        <f>IF(OR($U49=0,$F49&lt;&gt;2),0,IF(IM49&gt;0,IM49,IF(ROUND(EO49*$J49,6)&lt;ROUND($M49,6),EO49,0)))</f>
        <v/>
      </c>
    </row>
    <row r="50">
      <c r="A50" s="68" t="n">
        <v>45</v>
      </c>
      <c r="B50" s="68">
        <f>IF(OR(TRIM('固定資産台帳'!$B50)&lt;&gt;"",'固定資産台帳'!$E50&lt;&gt;"",'固定資産台帳'!$G50&lt;&gt;"",'固定資産台帳'!$H50&lt;&gt;""),1,0)</f>
        <v/>
      </c>
      <c r="C50" s="68">
        <f>IF(ISNUMBER('固定資産台帳'!$G50),MAX(ROUND('固定資産台帳'!$G50,0),0),0)</f>
        <v/>
      </c>
      <c r="D50" s="84">
        <f>IF(ISNUMBER('固定資産台帳'!$E50),INT('固定資産台帳'!$E50),0)</f>
        <v/>
      </c>
      <c r="E50" s="84">
        <f>IF(ISNUMBER('固定資産台帳'!$F50),INT('固定資産台帳'!$F50),$D50)</f>
        <v/>
      </c>
      <c r="F50" s="68">
        <f>IF('固定資産台帳'!$H50="定額法",1,IF(OR('固定資産台帳'!$H50="定率法",'固定資産台帳'!$H50="定率法（200%）",'固定資産台帳'!$H50="定率法（250%）"),2,IF('固定資産台帳'!$H50="一括償却（3年）",3,IF('固定資産台帳'!$H50="少額特例",4,0))))</f>
        <v/>
      </c>
      <c r="G50" s="68">
        <f>IF('固定資産台帳'!$H50="定率法（250%）",250,IF('固定資産台帳'!$H50="定率法（200%）",200,IF($D50&gt;=DATE(2012,4,1),200,250)))</f>
        <v/>
      </c>
      <c r="H50" s="68">
        <f>IF(ISNUMBER('固定資産台帳'!$I50),IF(AND('固定資産台帳'!$I50&gt;=2,'固定資産台帳'!$I50&lt;=100,'固定資産台帳'!$I50=INT('固定資産台帳'!$I50)),'固定資産台帳'!$I50,0),0)</f>
        <v/>
      </c>
      <c r="I50" s="68">
        <f>IF('固定資産台帳'!$C50="無形固定資産",0,1)</f>
        <v/>
      </c>
      <c r="J50" s="68">
        <f>IF(OR($H50=0,$F50=0,$F50&gt;2),0,IF($F50=1,INDEX('償却率表'!$B$6:$B$104,$H50-1),IF($G50=200,INDEX('償却率表'!$C$6:$C$104,$H50-1),INDEX('償却率表'!$F$6:$F$104,$H50-1))))</f>
        <v/>
      </c>
      <c r="K50" s="68">
        <f>IF(AND($F50=2,$H50&gt;0),IF($G50=200,INDEX('償却率表'!$D$6:$D$104,$H50-1),INDEX('償却率表'!$G$6:$G$104,$H50-1)),0)</f>
        <v/>
      </c>
      <c r="L50" s="68">
        <f>IF(AND($F50=2,$H50&gt;0),IF($G50=200,INDEX('償却率表'!$E$6:$E$104,$H50-1),INDEX('償却率表'!$H$6:$H$104,$H50-1)),0)</f>
        <v/>
      </c>
      <c r="M50" s="68">
        <f>$C50*$L50</f>
        <v/>
      </c>
      <c r="N50" s="68">
        <f>IF($B$1=1,1,IF('固定資産台帳'!$J50="",1,IF(ISNUMBER('固定資産台帳'!$J50),IF(AND('固定資産台帳'!$J50&gt;0,'固定資産台帳'!$J50&lt;=1),'固定資産台帳'!$J50,0),0)))</f>
        <v/>
      </c>
      <c r="O50" s="68">
        <f>IF($E50=0,0,YEAR($E50)-IF(MONTH($E50)&lt;$B$2,1,0))</f>
        <v/>
      </c>
      <c r="P50" s="68">
        <f>IF($E50=0,0,12-MOD(MONTH($E50)-$B$2,12))</f>
        <v/>
      </c>
      <c r="Q50" s="84">
        <f>IF(ISNUMBER('固定資産台帳'!$K50),INT('固定資産台帳'!$K50),0)</f>
        <v/>
      </c>
      <c r="R50" s="68">
        <f>IF(OR($Q50=0,$E50=0),999,YEAR($Q50)-IF(MONTH($Q50)&lt;$B$2,1,0)-$O50)</f>
        <v/>
      </c>
      <c r="S50" s="68">
        <f>IF($R50=999,0,MOD(MONTH($Q50)-$B$2,12)+1-IF($R50=0,12-$P50,0))</f>
        <v/>
      </c>
      <c r="T50" s="68">
        <f>IF($B50=0,0,IF($C50&lt;=0,1,IF($D50=0,2,IF($F50=0,3,IF(AND($F50&lt;=2,$H50=0),4,IF(AND($F50&lt;=2,$D50&lt;DATE(2007,4,1)),5,IF($E50&lt;$D50,6,IF(AND($Q50&gt;0,$Q50&lt;$E50),7,IF($N50=0,8,IF($B$3=0,9,0))))))))))</f>
        <v/>
      </c>
      <c r="U50" s="68">
        <f>IF(AND($B50=1,$T50=0),1,0)</f>
        <v/>
      </c>
      <c r="V50" s="68">
        <f>$B$3-$O50</f>
        <v/>
      </c>
      <c r="W50" s="68">
        <f>IF(AND($U50=1,$V50&gt;=0),1,0)</f>
        <v/>
      </c>
      <c r="X50" s="68">
        <f>IF($W50=0,0,IF($V50=0,$C50,INDEX($AS50:$EP50,MIN($V50,102))))</f>
        <v/>
      </c>
      <c r="Y50" s="68">
        <f>IF($W50=0,0,INDEX($AS50:$EP50,MIN($V50,101)+1))</f>
        <v/>
      </c>
      <c r="Z50" s="68">
        <f>$X50-$Y50</f>
        <v/>
      </c>
      <c r="AA50" s="68">
        <f>IF(AND($W50=1,$F50=2,$V50&gt;=1),INDEX($ER50:$IN50,MIN($V50,101)),0)</f>
        <v/>
      </c>
      <c r="AB50" s="68">
        <f>IF(OR($W50=0,$F50&gt;2,$Z50=0),0,IF($V50=0,IF($R50=0,$S50,$P50),IF($V50=$R50,$S50,12)))</f>
        <v/>
      </c>
      <c r="AC50" s="68">
        <f>IF($W50=0,0,INT(ROUND($Z50*$N50,6)+$B$4))</f>
        <v/>
      </c>
      <c r="AD50" s="68">
        <f>IF(AND($W50=1,$F50&lt;=2,$V50=$R50),1,0)</f>
        <v/>
      </c>
      <c r="AE50" s="68">
        <f>IF(AND($W50=1,$F50&lt;=2,$V50&gt;$R50),1,0)</f>
        <v/>
      </c>
      <c r="AF50" s="68">
        <f>IF(AND($W50=1,$AE50=0,OR($Z50&gt;0,$AD50=1)),1,0)</f>
        <v/>
      </c>
      <c r="AG50" s="68">
        <f>IF($AF50=1,SUM($AF$6:$AF50),0)</f>
        <v/>
      </c>
      <c r="AH50" s="68">
        <f>IF($T50=0,"",CHOOSE($T50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50" s="68">
        <f>IF(AND($F50=2,OR('固定資産台帳'!$C50="建物",'固定資産台帳'!$C50="無形固定資産",AND(OR('固定資産台帳'!$C50="建物附属設備",'固定資産台帳'!$C50="構築物"),$D50&gt;=DATE(2016,4,1)))),"この資産は定額法だけです（定率法は使えません）。","")&amp;IF(AND($F50=3,$C50&gt;=200000),"一括償却は20万円未満の資産だけです。","")&amp;IF(AND($F50=3,$B$1=0,$C50&lt;100000),"10万円未満は一括償却にせず、全額をその年の経費にします。","")&amp;IF(AND($F50=4,$C50&lt;100000),"10万円未満は少額特例ではなく、全額をその年の経費にします。","")&amp;IF(AND($F50=4,$D50&lt;DATE(2026,4,1),$C50&gt;=300000),"2026年3月31日までの取得で少額特例が使えるのは30万円未満です。","")&amp;IF(AND($F50=4,$D50&gt;=DATE(2026,4,1),$C50&gt;=400000),"少額特例は40万円未満の資産だけです。","")&amp;IF(AND($F50=4,OR($D50&lt;DATE(2006,4,1),$D50&gt;DATE(2029,3,31))),"少額特例は2006年4月1日〜2029年3月31日に取得した資産だけです。","")&amp;IF(AND($F50=2,$G50=250,$D50&gt;DATE(2012,12,31)),"250%定率法は2012年12月31日までの取得だけです。","")</f>
        <v/>
      </c>
      <c r="AJ50" s="68">
        <f>IF(AND($F50=2,'固定資産台帳'!$H50="定率法（200%）",$D50&lt;DATE(2012,4,1)),"2012年3月31日までの取得に200%を使うのは、経過措置の届出をした場合です。","")&amp;IF(AND($F50=2,'固定資産台帳'!$H50="定率法（250%）",$D50&gt;=DATE(2012,4,1),$D50&lt;=DATE(2012,12,31)),"2012年4〜12月の取得に250%を使うのは、経過措置を選んだ場合です。","")</f>
        <v/>
      </c>
      <c r="AK50" s="68">
        <f>IF($U50=0,"",IF($V50&lt;0,"表示している年より後に使い始める資産です。",IF($AE50=1,"売却・除却済みです。",IF($AD50=1,"この年に売却・除却。期末の帳簿価額 "&amp;TEXT($Y50,"#,##0")&amp;"円を帳簿から外します。",IF($F50=4,IF($V50=0,"少額特例：この年に全額を経費にします。","少額特例で経費にした資産です。"),IF($F50=3,IF($V50&gt;2,"一括償却は終わっています。","一括償却 "&amp;($V50+1)&amp;"年目（3年のうち）。"),IF($Z50=0,"償却済み（帳簿価額 "&amp;TEXT($Y50,"#,##0")&amp;"円）。",IF($AA50&gt;0,"改定償却率で計算（改定取得価額 "&amp;TEXT($AA50,"#,##0")&amp;"円）。",IF($V50=0,"この年に使い始め（"&amp;$AB50&amp;"か月分）。","")))))))))</f>
        <v/>
      </c>
      <c r="AL50" s="68">
        <f>IF(AND($U50=1,$F50=4,$V50=0),$C50,0)</f>
        <v/>
      </c>
      <c r="AM50" s="68">
        <f>IF($F50=2,INT(ROUND($M50,6)+$B$4),0)</f>
        <v/>
      </c>
      <c r="AN50" s="68">
        <f>IF($W50=0,0,IF($F50=2,IF($AA50&gt;0,$AA50,$X50),$C50))</f>
        <v/>
      </c>
      <c r="AO50" s="68">
        <f>IF($W50=0,"",IF($F50=3,"1/3",IF($F50=4,"―",IF($AA50&gt;0,$K50,$J50))))</f>
        <v/>
      </c>
      <c r="AP50" s="68" t="n"/>
      <c r="AQ50" s="68" t="n"/>
      <c r="AR50" s="68" t="n"/>
      <c r="AS50" s="68">
        <f>IF($U50=0,0,IF($F50=4,0,IF($F50=3,MAX($C50-INT(ROUND($C50/3,6)+$B$4),0),$C50-MIN(INT(ROUND($C50*$J50*IF($R50=0,$S50,$P50)/12,6)+$B$4),MAX($C50-$I50,0)))))</f>
        <v/>
      </c>
      <c r="AT50" s="68">
        <f>IF($U50=0,0,IF($F50=4,0,IF($F50=3,AS50-MIN(INT(ROUND($C50/3,6)+$B$4),AS50),IF(OR(1&gt;$R50,AS50&lt;=$I50),AS50,AS50-MIN(INT(ROUND(IF($F50=1,$C50*$J50,IF(ER50&gt;0,ER50*$K50,AS50*$J50))*IF(1=$R50,$S50,12)/12,6)+$B$4),AS50-$I50)))))</f>
        <v/>
      </c>
      <c r="AU50" s="68">
        <f>IF($U50=0,0,IF($F50=4,0,IF($F50=3,0,IF(OR(2&gt;$R50,AT50&lt;=$I50),AT50,AT50-MIN(INT(ROUND(IF($F50=1,$C50*$J50,IF(ES50&gt;0,ES50*$K50,AT50*$J50))*IF(2=$R50,$S50,12)/12,6)+$B$4),AT50-$I50)))))</f>
        <v/>
      </c>
      <c r="AV50" s="68">
        <f>IF($U50=0,0,IF($F50=4,0,IF($F50=3,0,IF(OR(3&gt;$R50,AU50&lt;=$I50),AU50,AU50-MIN(INT(ROUND(IF($F50=1,$C50*$J50,IF(ET50&gt;0,ET50*$K50,AU50*$J50))*IF(3=$R50,$S50,12)/12,6)+$B$4),AU50-$I50)))))</f>
        <v/>
      </c>
      <c r="AW50" s="68">
        <f>IF($U50=0,0,IF($F50=4,0,IF($F50=3,0,IF(OR(4&gt;$R50,AV50&lt;=$I50),AV50,AV50-MIN(INT(ROUND(IF($F50=1,$C50*$J50,IF(EU50&gt;0,EU50*$K50,AV50*$J50))*IF(4=$R50,$S50,12)/12,6)+$B$4),AV50-$I50)))))</f>
        <v/>
      </c>
      <c r="AX50" s="68">
        <f>IF($U50=0,0,IF($F50=4,0,IF($F50=3,0,IF(OR(5&gt;$R50,AW50&lt;=$I50),AW50,AW50-MIN(INT(ROUND(IF($F50=1,$C50*$J50,IF(EV50&gt;0,EV50*$K50,AW50*$J50))*IF(5=$R50,$S50,12)/12,6)+$B$4),AW50-$I50)))))</f>
        <v/>
      </c>
      <c r="AY50" s="68">
        <f>IF($U50=0,0,IF($F50=4,0,IF($F50=3,0,IF(OR(6&gt;$R50,AX50&lt;=$I50),AX50,AX50-MIN(INT(ROUND(IF($F50=1,$C50*$J50,IF(EW50&gt;0,EW50*$K50,AX50*$J50))*IF(6=$R50,$S50,12)/12,6)+$B$4),AX50-$I50)))))</f>
        <v/>
      </c>
      <c r="AZ50" s="68">
        <f>IF($U50=0,0,IF($F50=4,0,IF($F50=3,0,IF(OR(7&gt;$R50,AY50&lt;=$I50),AY50,AY50-MIN(INT(ROUND(IF($F50=1,$C50*$J50,IF(EX50&gt;0,EX50*$K50,AY50*$J50))*IF(7=$R50,$S50,12)/12,6)+$B$4),AY50-$I50)))))</f>
        <v/>
      </c>
      <c r="BA50" s="68">
        <f>IF($U50=0,0,IF($F50=4,0,IF($F50=3,0,IF(OR(8&gt;$R50,AZ50&lt;=$I50),AZ50,AZ50-MIN(INT(ROUND(IF($F50=1,$C50*$J50,IF(EY50&gt;0,EY50*$K50,AZ50*$J50))*IF(8=$R50,$S50,12)/12,6)+$B$4),AZ50-$I50)))))</f>
        <v/>
      </c>
      <c r="BB50" s="68">
        <f>IF($U50=0,0,IF($F50=4,0,IF($F50=3,0,IF(OR(9&gt;$R50,BA50&lt;=$I50),BA50,BA50-MIN(INT(ROUND(IF($F50=1,$C50*$J50,IF(EZ50&gt;0,EZ50*$K50,BA50*$J50))*IF(9=$R50,$S50,12)/12,6)+$B$4),BA50-$I50)))))</f>
        <v/>
      </c>
      <c r="BC50" s="68">
        <f>IF($U50=0,0,IF($F50=4,0,IF($F50=3,0,IF(OR(10&gt;$R50,BB50&lt;=$I50),BB50,BB50-MIN(INT(ROUND(IF($F50=1,$C50*$J50,IF(FA50&gt;0,FA50*$K50,BB50*$J50))*IF(10=$R50,$S50,12)/12,6)+$B$4),BB50-$I50)))))</f>
        <v/>
      </c>
      <c r="BD50" s="68">
        <f>IF($U50=0,0,IF($F50=4,0,IF($F50=3,0,IF(OR(11&gt;$R50,BC50&lt;=$I50),BC50,BC50-MIN(INT(ROUND(IF($F50=1,$C50*$J50,IF(FB50&gt;0,FB50*$K50,BC50*$J50))*IF(11=$R50,$S50,12)/12,6)+$B$4),BC50-$I50)))))</f>
        <v/>
      </c>
      <c r="BE50" s="68">
        <f>IF($U50=0,0,IF($F50=4,0,IF($F50=3,0,IF(OR(12&gt;$R50,BD50&lt;=$I50),BD50,BD50-MIN(INT(ROUND(IF($F50=1,$C50*$J50,IF(FC50&gt;0,FC50*$K50,BD50*$J50))*IF(12=$R50,$S50,12)/12,6)+$B$4),BD50-$I50)))))</f>
        <v/>
      </c>
      <c r="BF50" s="68">
        <f>IF($U50=0,0,IF($F50=4,0,IF($F50=3,0,IF(OR(13&gt;$R50,BE50&lt;=$I50),BE50,BE50-MIN(INT(ROUND(IF($F50=1,$C50*$J50,IF(FD50&gt;0,FD50*$K50,BE50*$J50))*IF(13=$R50,$S50,12)/12,6)+$B$4),BE50-$I50)))))</f>
        <v/>
      </c>
      <c r="BG50" s="68">
        <f>IF($U50=0,0,IF($F50=4,0,IF($F50=3,0,IF(OR(14&gt;$R50,BF50&lt;=$I50),BF50,BF50-MIN(INT(ROUND(IF($F50=1,$C50*$J50,IF(FE50&gt;0,FE50*$K50,BF50*$J50))*IF(14=$R50,$S50,12)/12,6)+$B$4),BF50-$I50)))))</f>
        <v/>
      </c>
      <c r="BH50" s="68">
        <f>IF($U50=0,0,IF($F50=4,0,IF($F50=3,0,IF(OR(15&gt;$R50,BG50&lt;=$I50),BG50,BG50-MIN(INT(ROUND(IF($F50=1,$C50*$J50,IF(FF50&gt;0,FF50*$K50,BG50*$J50))*IF(15=$R50,$S50,12)/12,6)+$B$4),BG50-$I50)))))</f>
        <v/>
      </c>
      <c r="BI50" s="68">
        <f>IF($U50=0,0,IF($F50=4,0,IF($F50=3,0,IF(OR(16&gt;$R50,BH50&lt;=$I50),BH50,BH50-MIN(INT(ROUND(IF($F50=1,$C50*$J50,IF(FG50&gt;0,FG50*$K50,BH50*$J50))*IF(16=$R50,$S50,12)/12,6)+$B$4),BH50-$I50)))))</f>
        <v/>
      </c>
      <c r="BJ50" s="68">
        <f>IF($U50=0,0,IF($F50=4,0,IF($F50=3,0,IF(OR(17&gt;$R50,BI50&lt;=$I50),BI50,BI50-MIN(INT(ROUND(IF($F50=1,$C50*$J50,IF(FH50&gt;0,FH50*$K50,BI50*$J50))*IF(17=$R50,$S50,12)/12,6)+$B$4),BI50-$I50)))))</f>
        <v/>
      </c>
      <c r="BK50" s="68">
        <f>IF($U50=0,0,IF($F50=4,0,IF($F50=3,0,IF(OR(18&gt;$R50,BJ50&lt;=$I50),BJ50,BJ50-MIN(INT(ROUND(IF($F50=1,$C50*$J50,IF(FI50&gt;0,FI50*$K50,BJ50*$J50))*IF(18=$R50,$S50,12)/12,6)+$B$4),BJ50-$I50)))))</f>
        <v/>
      </c>
      <c r="BL50" s="68">
        <f>IF($U50=0,0,IF($F50=4,0,IF($F50=3,0,IF(OR(19&gt;$R50,BK50&lt;=$I50),BK50,BK50-MIN(INT(ROUND(IF($F50=1,$C50*$J50,IF(FJ50&gt;0,FJ50*$K50,BK50*$J50))*IF(19=$R50,$S50,12)/12,6)+$B$4),BK50-$I50)))))</f>
        <v/>
      </c>
      <c r="BM50" s="68">
        <f>IF($U50=0,0,IF($F50=4,0,IF($F50=3,0,IF(OR(20&gt;$R50,BL50&lt;=$I50),BL50,BL50-MIN(INT(ROUND(IF($F50=1,$C50*$J50,IF(FK50&gt;0,FK50*$K50,BL50*$J50))*IF(20=$R50,$S50,12)/12,6)+$B$4),BL50-$I50)))))</f>
        <v/>
      </c>
      <c r="BN50" s="68">
        <f>IF($U50=0,0,IF($F50=4,0,IF($F50=3,0,IF(OR(21&gt;$R50,BM50&lt;=$I50),BM50,BM50-MIN(INT(ROUND(IF($F50=1,$C50*$J50,IF(FL50&gt;0,FL50*$K50,BM50*$J50))*IF(21=$R50,$S50,12)/12,6)+$B$4),BM50-$I50)))))</f>
        <v/>
      </c>
      <c r="BO50" s="68">
        <f>IF($U50=0,0,IF($F50=4,0,IF($F50=3,0,IF(OR(22&gt;$R50,BN50&lt;=$I50),BN50,BN50-MIN(INT(ROUND(IF($F50=1,$C50*$J50,IF(FM50&gt;0,FM50*$K50,BN50*$J50))*IF(22=$R50,$S50,12)/12,6)+$B$4),BN50-$I50)))))</f>
        <v/>
      </c>
      <c r="BP50" s="68">
        <f>IF($U50=0,0,IF($F50=4,0,IF($F50=3,0,IF(OR(23&gt;$R50,BO50&lt;=$I50),BO50,BO50-MIN(INT(ROUND(IF($F50=1,$C50*$J50,IF(FN50&gt;0,FN50*$K50,BO50*$J50))*IF(23=$R50,$S50,12)/12,6)+$B$4),BO50-$I50)))))</f>
        <v/>
      </c>
      <c r="BQ50" s="68">
        <f>IF($U50=0,0,IF($F50=4,0,IF($F50=3,0,IF(OR(24&gt;$R50,BP50&lt;=$I50),BP50,BP50-MIN(INT(ROUND(IF($F50=1,$C50*$J50,IF(FO50&gt;0,FO50*$K50,BP50*$J50))*IF(24=$R50,$S50,12)/12,6)+$B$4),BP50-$I50)))))</f>
        <v/>
      </c>
      <c r="BR50" s="68">
        <f>IF($U50=0,0,IF($F50=4,0,IF($F50=3,0,IF(OR(25&gt;$R50,BQ50&lt;=$I50),BQ50,BQ50-MIN(INT(ROUND(IF($F50=1,$C50*$J50,IF(FP50&gt;0,FP50*$K50,BQ50*$J50))*IF(25=$R50,$S50,12)/12,6)+$B$4),BQ50-$I50)))))</f>
        <v/>
      </c>
      <c r="BS50" s="68">
        <f>IF($U50=0,0,IF($F50=4,0,IF($F50=3,0,IF(OR(26&gt;$R50,BR50&lt;=$I50),BR50,BR50-MIN(INT(ROUND(IF($F50=1,$C50*$J50,IF(FQ50&gt;0,FQ50*$K50,BR50*$J50))*IF(26=$R50,$S50,12)/12,6)+$B$4),BR50-$I50)))))</f>
        <v/>
      </c>
      <c r="BT50" s="68">
        <f>IF($U50=0,0,IF($F50=4,0,IF($F50=3,0,IF(OR(27&gt;$R50,BS50&lt;=$I50),BS50,BS50-MIN(INT(ROUND(IF($F50=1,$C50*$J50,IF(FR50&gt;0,FR50*$K50,BS50*$J50))*IF(27=$R50,$S50,12)/12,6)+$B$4),BS50-$I50)))))</f>
        <v/>
      </c>
      <c r="BU50" s="68">
        <f>IF($U50=0,0,IF($F50=4,0,IF($F50=3,0,IF(OR(28&gt;$R50,BT50&lt;=$I50),BT50,BT50-MIN(INT(ROUND(IF($F50=1,$C50*$J50,IF(FS50&gt;0,FS50*$K50,BT50*$J50))*IF(28=$R50,$S50,12)/12,6)+$B$4),BT50-$I50)))))</f>
        <v/>
      </c>
      <c r="BV50" s="68">
        <f>IF($U50=0,0,IF($F50=4,0,IF($F50=3,0,IF(OR(29&gt;$R50,BU50&lt;=$I50),BU50,BU50-MIN(INT(ROUND(IF($F50=1,$C50*$J50,IF(FT50&gt;0,FT50*$K50,BU50*$J50))*IF(29=$R50,$S50,12)/12,6)+$B$4),BU50-$I50)))))</f>
        <v/>
      </c>
      <c r="BW50" s="68">
        <f>IF($U50=0,0,IF($F50=4,0,IF($F50=3,0,IF(OR(30&gt;$R50,BV50&lt;=$I50),BV50,BV50-MIN(INT(ROUND(IF($F50=1,$C50*$J50,IF(FU50&gt;0,FU50*$K50,BV50*$J50))*IF(30=$R50,$S50,12)/12,6)+$B$4),BV50-$I50)))))</f>
        <v/>
      </c>
      <c r="BX50" s="68">
        <f>IF($U50=0,0,IF($F50=4,0,IF($F50=3,0,IF(OR(31&gt;$R50,BW50&lt;=$I50),BW50,BW50-MIN(INT(ROUND(IF($F50=1,$C50*$J50,IF(FV50&gt;0,FV50*$K50,BW50*$J50))*IF(31=$R50,$S50,12)/12,6)+$B$4),BW50-$I50)))))</f>
        <v/>
      </c>
      <c r="BY50" s="68">
        <f>IF($U50=0,0,IF($F50=4,0,IF($F50=3,0,IF(OR(32&gt;$R50,BX50&lt;=$I50),BX50,BX50-MIN(INT(ROUND(IF($F50=1,$C50*$J50,IF(FW50&gt;0,FW50*$K50,BX50*$J50))*IF(32=$R50,$S50,12)/12,6)+$B$4),BX50-$I50)))))</f>
        <v/>
      </c>
      <c r="BZ50" s="68">
        <f>IF($U50=0,0,IF($F50=4,0,IF($F50=3,0,IF(OR(33&gt;$R50,BY50&lt;=$I50),BY50,BY50-MIN(INT(ROUND(IF($F50=1,$C50*$J50,IF(FX50&gt;0,FX50*$K50,BY50*$J50))*IF(33=$R50,$S50,12)/12,6)+$B$4),BY50-$I50)))))</f>
        <v/>
      </c>
      <c r="CA50" s="68">
        <f>IF($U50=0,0,IF($F50=4,0,IF($F50=3,0,IF(OR(34&gt;$R50,BZ50&lt;=$I50),BZ50,BZ50-MIN(INT(ROUND(IF($F50=1,$C50*$J50,IF(FY50&gt;0,FY50*$K50,BZ50*$J50))*IF(34=$R50,$S50,12)/12,6)+$B$4),BZ50-$I50)))))</f>
        <v/>
      </c>
      <c r="CB50" s="68">
        <f>IF($U50=0,0,IF($F50=4,0,IF($F50=3,0,IF(OR(35&gt;$R50,CA50&lt;=$I50),CA50,CA50-MIN(INT(ROUND(IF($F50=1,$C50*$J50,IF(FZ50&gt;0,FZ50*$K50,CA50*$J50))*IF(35=$R50,$S50,12)/12,6)+$B$4),CA50-$I50)))))</f>
        <v/>
      </c>
      <c r="CC50" s="68">
        <f>IF($U50=0,0,IF($F50=4,0,IF($F50=3,0,IF(OR(36&gt;$R50,CB50&lt;=$I50),CB50,CB50-MIN(INT(ROUND(IF($F50=1,$C50*$J50,IF(GA50&gt;0,GA50*$K50,CB50*$J50))*IF(36=$R50,$S50,12)/12,6)+$B$4),CB50-$I50)))))</f>
        <v/>
      </c>
      <c r="CD50" s="68">
        <f>IF($U50=0,0,IF($F50=4,0,IF($F50=3,0,IF(OR(37&gt;$R50,CC50&lt;=$I50),CC50,CC50-MIN(INT(ROUND(IF($F50=1,$C50*$J50,IF(GB50&gt;0,GB50*$K50,CC50*$J50))*IF(37=$R50,$S50,12)/12,6)+$B$4),CC50-$I50)))))</f>
        <v/>
      </c>
      <c r="CE50" s="68">
        <f>IF($U50=0,0,IF($F50=4,0,IF($F50=3,0,IF(OR(38&gt;$R50,CD50&lt;=$I50),CD50,CD50-MIN(INT(ROUND(IF($F50=1,$C50*$J50,IF(GC50&gt;0,GC50*$K50,CD50*$J50))*IF(38=$R50,$S50,12)/12,6)+$B$4),CD50-$I50)))))</f>
        <v/>
      </c>
      <c r="CF50" s="68">
        <f>IF($U50=0,0,IF($F50=4,0,IF($F50=3,0,IF(OR(39&gt;$R50,CE50&lt;=$I50),CE50,CE50-MIN(INT(ROUND(IF($F50=1,$C50*$J50,IF(GD50&gt;0,GD50*$K50,CE50*$J50))*IF(39=$R50,$S50,12)/12,6)+$B$4),CE50-$I50)))))</f>
        <v/>
      </c>
      <c r="CG50" s="68">
        <f>IF($U50=0,0,IF($F50=4,0,IF($F50=3,0,IF(OR(40&gt;$R50,CF50&lt;=$I50),CF50,CF50-MIN(INT(ROUND(IF($F50=1,$C50*$J50,IF(GE50&gt;0,GE50*$K50,CF50*$J50))*IF(40=$R50,$S50,12)/12,6)+$B$4),CF50-$I50)))))</f>
        <v/>
      </c>
      <c r="CH50" s="68">
        <f>IF($U50=0,0,IF($F50=4,0,IF($F50=3,0,IF(OR(41&gt;$R50,CG50&lt;=$I50),CG50,CG50-MIN(INT(ROUND(IF($F50=1,$C50*$J50,IF(GF50&gt;0,GF50*$K50,CG50*$J50))*IF(41=$R50,$S50,12)/12,6)+$B$4),CG50-$I50)))))</f>
        <v/>
      </c>
      <c r="CI50" s="68">
        <f>IF($U50=0,0,IF($F50=4,0,IF($F50=3,0,IF(OR(42&gt;$R50,CH50&lt;=$I50),CH50,CH50-MIN(INT(ROUND(IF($F50=1,$C50*$J50,IF(GG50&gt;0,GG50*$K50,CH50*$J50))*IF(42=$R50,$S50,12)/12,6)+$B$4),CH50-$I50)))))</f>
        <v/>
      </c>
      <c r="CJ50" s="68">
        <f>IF($U50=0,0,IF($F50=4,0,IF($F50=3,0,IF(OR(43&gt;$R50,CI50&lt;=$I50),CI50,CI50-MIN(INT(ROUND(IF($F50=1,$C50*$J50,IF(GH50&gt;0,GH50*$K50,CI50*$J50))*IF(43=$R50,$S50,12)/12,6)+$B$4),CI50-$I50)))))</f>
        <v/>
      </c>
      <c r="CK50" s="68">
        <f>IF($U50=0,0,IF($F50=4,0,IF($F50=3,0,IF(OR(44&gt;$R50,CJ50&lt;=$I50),CJ50,CJ50-MIN(INT(ROUND(IF($F50=1,$C50*$J50,IF(GI50&gt;0,GI50*$K50,CJ50*$J50))*IF(44=$R50,$S50,12)/12,6)+$B$4),CJ50-$I50)))))</f>
        <v/>
      </c>
      <c r="CL50" s="68">
        <f>IF($U50=0,0,IF($F50=4,0,IF($F50=3,0,IF(OR(45&gt;$R50,CK50&lt;=$I50),CK50,CK50-MIN(INT(ROUND(IF($F50=1,$C50*$J50,IF(GJ50&gt;0,GJ50*$K50,CK50*$J50))*IF(45=$R50,$S50,12)/12,6)+$B$4),CK50-$I50)))))</f>
        <v/>
      </c>
      <c r="CM50" s="68">
        <f>IF($U50=0,0,IF($F50=4,0,IF($F50=3,0,IF(OR(46&gt;$R50,CL50&lt;=$I50),CL50,CL50-MIN(INT(ROUND(IF($F50=1,$C50*$J50,IF(GK50&gt;0,GK50*$K50,CL50*$J50))*IF(46=$R50,$S50,12)/12,6)+$B$4),CL50-$I50)))))</f>
        <v/>
      </c>
      <c r="CN50" s="68">
        <f>IF($U50=0,0,IF($F50=4,0,IF($F50=3,0,IF(OR(47&gt;$R50,CM50&lt;=$I50),CM50,CM50-MIN(INT(ROUND(IF($F50=1,$C50*$J50,IF(GL50&gt;0,GL50*$K50,CM50*$J50))*IF(47=$R50,$S50,12)/12,6)+$B$4),CM50-$I50)))))</f>
        <v/>
      </c>
      <c r="CO50" s="68">
        <f>IF($U50=0,0,IF($F50=4,0,IF($F50=3,0,IF(OR(48&gt;$R50,CN50&lt;=$I50),CN50,CN50-MIN(INT(ROUND(IF($F50=1,$C50*$J50,IF(GM50&gt;0,GM50*$K50,CN50*$J50))*IF(48=$R50,$S50,12)/12,6)+$B$4),CN50-$I50)))))</f>
        <v/>
      </c>
      <c r="CP50" s="68">
        <f>IF($U50=0,0,IF($F50=4,0,IF($F50=3,0,IF(OR(49&gt;$R50,CO50&lt;=$I50),CO50,CO50-MIN(INT(ROUND(IF($F50=1,$C50*$J50,IF(GN50&gt;0,GN50*$K50,CO50*$J50))*IF(49=$R50,$S50,12)/12,6)+$B$4),CO50-$I50)))))</f>
        <v/>
      </c>
      <c r="CQ50" s="68">
        <f>IF($U50=0,0,IF($F50=4,0,IF($F50=3,0,IF(OR(50&gt;$R50,CP50&lt;=$I50),CP50,CP50-MIN(INT(ROUND(IF($F50=1,$C50*$J50,IF(GO50&gt;0,GO50*$K50,CP50*$J50))*IF(50=$R50,$S50,12)/12,6)+$B$4),CP50-$I50)))))</f>
        <v/>
      </c>
      <c r="CR50" s="68">
        <f>IF($U50=0,0,IF($F50=4,0,IF($F50=3,0,IF(OR(51&gt;$R50,CQ50&lt;=$I50),CQ50,CQ50-MIN(INT(ROUND(IF($F50=1,$C50*$J50,IF(GP50&gt;0,GP50*$K50,CQ50*$J50))*IF(51=$R50,$S50,12)/12,6)+$B$4),CQ50-$I50)))))</f>
        <v/>
      </c>
      <c r="CS50" s="68">
        <f>IF($U50=0,0,IF($F50=4,0,IF($F50=3,0,IF(OR(52&gt;$R50,CR50&lt;=$I50),CR50,CR50-MIN(INT(ROUND(IF($F50=1,$C50*$J50,IF(GQ50&gt;0,GQ50*$K50,CR50*$J50))*IF(52=$R50,$S50,12)/12,6)+$B$4),CR50-$I50)))))</f>
        <v/>
      </c>
      <c r="CT50" s="68">
        <f>IF($U50=0,0,IF($F50=4,0,IF($F50=3,0,IF(OR(53&gt;$R50,CS50&lt;=$I50),CS50,CS50-MIN(INT(ROUND(IF($F50=1,$C50*$J50,IF(GR50&gt;0,GR50*$K50,CS50*$J50))*IF(53=$R50,$S50,12)/12,6)+$B$4),CS50-$I50)))))</f>
        <v/>
      </c>
      <c r="CU50" s="68">
        <f>IF($U50=0,0,IF($F50=4,0,IF($F50=3,0,IF(OR(54&gt;$R50,CT50&lt;=$I50),CT50,CT50-MIN(INT(ROUND(IF($F50=1,$C50*$J50,IF(GS50&gt;0,GS50*$K50,CT50*$J50))*IF(54=$R50,$S50,12)/12,6)+$B$4),CT50-$I50)))))</f>
        <v/>
      </c>
      <c r="CV50" s="68">
        <f>IF($U50=0,0,IF($F50=4,0,IF($F50=3,0,IF(OR(55&gt;$R50,CU50&lt;=$I50),CU50,CU50-MIN(INT(ROUND(IF($F50=1,$C50*$J50,IF(GT50&gt;0,GT50*$K50,CU50*$J50))*IF(55=$R50,$S50,12)/12,6)+$B$4),CU50-$I50)))))</f>
        <v/>
      </c>
      <c r="CW50" s="68">
        <f>IF($U50=0,0,IF($F50=4,0,IF($F50=3,0,IF(OR(56&gt;$R50,CV50&lt;=$I50),CV50,CV50-MIN(INT(ROUND(IF($F50=1,$C50*$J50,IF(GU50&gt;0,GU50*$K50,CV50*$J50))*IF(56=$R50,$S50,12)/12,6)+$B$4),CV50-$I50)))))</f>
        <v/>
      </c>
      <c r="CX50" s="68">
        <f>IF($U50=0,0,IF($F50=4,0,IF($F50=3,0,IF(OR(57&gt;$R50,CW50&lt;=$I50),CW50,CW50-MIN(INT(ROUND(IF($F50=1,$C50*$J50,IF(GV50&gt;0,GV50*$K50,CW50*$J50))*IF(57=$R50,$S50,12)/12,6)+$B$4),CW50-$I50)))))</f>
        <v/>
      </c>
      <c r="CY50" s="68">
        <f>IF($U50=0,0,IF($F50=4,0,IF($F50=3,0,IF(OR(58&gt;$R50,CX50&lt;=$I50),CX50,CX50-MIN(INT(ROUND(IF($F50=1,$C50*$J50,IF(GW50&gt;0,GW50*$K50,CX50*$J50))*IF(58=$R50,$S50,12)/12,6)+$B$4),CX50-$I50)))))</f>
        <v/>
      </c>
      <c r="CZ50" s="68">
        <f>IF($U50=0,0,IF($F50=4,0,IF($F50=3,0,IF(OR(59&gt;$R50,CY50&lt;=$I50),CY50,CY50-MIN(INT(ROUND(IF($F50=1,$C50*$J50,IF(GX50&gt;0,GX50*$K50,CY50*$J50))*IF(59=$R50,$S50,12)/12,6)+$B$4),CY50-$I50)))))</f>
        <v/>
      </c>
      <c r="DA50" s="68">
        <f>IF($U50=0,0,IF($F50=4,0,IF($F50=3,0,IF(OR(60&gt;$R50,CZ50&lt;=$I50),CZ50,CZ50-MIN(INT(ROUND(IF($F50=1,$C50*$J50,IF(GY50&gt;0,GY50*$K50,CZ50*$J50))*IF(60=$R50,$S50,12)/12,6)+$B$4),CZ50-$I50)))))</f>
        <v/>
      </c>
      <c r="DB50" s="68">
        <f>IF($U50=0,0,IF($F50=4,0,IF($F50=3,0,IF(OR(61&gt;$R50,DA50&lt;=$I50),DA50,DA50-MIN(INT(ROUND(IF($F50=1,$C50*$J50,IF(GZ50&gt;0,GZ50*$K50,DA50*$J50))*IF(61=$R50,$S50,12)/12,6)+$B$4),DA50-$I50)))))</f>
        <v/>
      </c>
      <c r="DC50" s="68">
        <f>IF($U50=0,0,IF($F50=4,0,IF($F50=3,0,IF(OR(62&gt;$R50,DB50&lt;=$I50),DB50,DB50-MIN(INT(ROUND(IF($F50=1,$C50*$J50,IF(HA50&gt;0,HA50*$K50,DB50*$J50))*IF(62=$R50,$S50,12)/12,6)+$B$4),DB50-$I50)))))</f>
        <v/>
      </c>
      <c r="DD50" s="68">
        <f>IF($U50=0,0,IF($F50=4,0,IF($F50=3,0,IF(OR(63&gt;$R50,DC50&lt;=$I50),DC50,DC50-MIN(INT(ROUND(IF($F50=1,$C50*$J50,IF(HB50&gt;0,HB50*$K50,DC50*$J50))*IF(63=$R50,$S50,12)/12,6)+$B$4),DC50-$I50)))))</f>
        <v/>
      </c>
      <c r="DE50" s="68">
        <f>IF($U50=0,0,IF($F50=4,0,IF($F50=3,0,IF(OR(64&gt;$R50,DD50&lt;=$I50),DD50,DD50-MIN(INT(ROUND(IF($F50=1,$C50*$J50,IF(HC50&gt;0,HC50*$K50,DD50*$J50))*IF(64=$R50,$S50,12)/12,6)+$B$4),DD50-$I50)))))</f>
        <v/>
      </c>
      <c r="DF50" s="68">
        <f>IF($U50=0,0,IF($F50=4,0,IF($F50=3,0,IF(OR(65&gt;$R50,DE50&lt;=$I50),DE50,DE50-MIN(INT(ROUND(IF($F50=1,$C50*$J50,IF(HD50&gt;0,HD50*$K50,DE50*$J50))*IF(65=$R50,$S50,12)/12,6)+$B$4),DE50-$I50)))))</f>
        <v/>
      </c>
      <c r="DG50" s="68">
        <f>IF($U50=0,0,IF($F50=4,0,IF($F50=3,0,IF(OR(66&gt;$R50,DF50&lt;=$I50),DF50,DF50-MIN(INT(ROUND(IF($F50=1,$C50*$J50,IF(HE50&gt;0,HE50*$K50,DF50*$J50))*IF(66=$R50,$S50,12)/12,6)+$B$4),DF50-$I50)))))</f>
        <v/>
      </c>
      <c r="DH50" s="68">
        <f>IF($U50=0,0,IF($F50=4,0,IF($F50=3,0,IF(OR(67&gt;$R50,DG50&lt;=$I50),DG50,DG50-MIN(INT(ROUND(IF($F50=1,$C50*$J50,IF(HF50&gt;0,HF50*$K50,DG50*$J50))*IF(67=$R50,$S50,12)/12,6)+$B$4),DG50-$I50)))))</f>
        <v/>
      </c>
      <c r="DI50" s="68">
        <f>IF($U50=0,0,IF($F50=4,0,IF($F50=3,0,IF(OR(68&gt;$R50,DH50&lt;=$I50),DH50,DH50-MIN(INT(ROUND(IF($F50=1,$C50*$J50,IF(HG50&gt;0,HG50*$K50,DH50*$J50))*IF(68=$R50,$S50,12)/12,6)+$B$4),DH50-$I50)))))</f>
        <v/>
      </c>
      <c r="DJ50" s="68">
        <f>IF($U50=0,0,IF($F50=4,0,IF($F50=3,0,IF(OR(69&gt;$R50,DI50&lt;=$I50),DI50,DI50-MIN(INT(ROUND(IF($F50=1,$C50*$J50,IF(HH50&gt;0,HH50*$K50,DI50*$J50))*IF(69=$R50,$S50,12)/12,6)+$B$4),DI50-$I50)))))</f>
        <v/>
      </c>
      <c r="DK50" s="68">
        <f>IF($U50=0,0,IF($F50=4,0,IF($F50=3,0,IF(OR(70&gt;$R50,DJ50&lt;=$I50),DJ50,DJ50-MIN(INT(ROUND(IF($F50=1,$C50*$J50,IF(HI50&gt;0,HI50*$K50,DJ50*$J50))*IF(70=$R50,$S50,12)/12,6)+$B$4),DJ50-$I50)))))</f>
        <v/>
      </c>
      <c r="DL50" s="68">
        <f>IF($U50=0,0,IF($F50=4,0,IF($F50=3,0,IF(OR(71&gt;$R50,DK50&lt;=$I50),DK50,DK50-MIN(INT(ROUND(IF($F50=1,$C50*$J50,IF(HJ50&gt;0,HJ50*$K50,DK50*$J50))*IF(71=$R50,$S50,12)/12,6)+$B$4),DK50-$I50)))))</f>
        <v/>
      </c>
      <c r="DM50" s="68">
        <f>IF($U50=0,0,IF($F50=4,0,IF($F50=3,0,IF(OR(72&gt;$R50,DL50&lt;=$I50),DL50,DL50-MIN(INT(ROUND(IF($F50=1,$C50*$J50,IF(HK50&gt;0,HK50*$K50,DL50*$J50))*IF(72=$R50,$S50,12)/12,6)+$B$4),DL50-$I50)))))</f>
        <v/>
      </c>
      <c r="DN50" s="68">
        <f>IF($U50=0,0,IF($F50=4,0,IF($F50=3,0,IF(OR(73&gt;$R50,DM50&lt;=$I50),DM50,DM50-MIN(INT(ROUND(IF($F50=1,$C50*$J50,IF(HL50&gt;0,HL50*$K50,DM50*$J50))*IF(73=$R50,$S50,12)/12,6)+$B$4),DM50-$I50)))))</f>
        <v/>
      </c>
      <c r="DO50" s="68">
        <f>IF($U50=0,0,IF($F50=4,0,IF($F50=3,0,IF(OR(74&gt;$R50,DN50&lt;=$I50),DN50,DN50-MIN(INT(ROUND(IF($F50=1,$C50*$J50,IF(HM50&gt;0,HM50*$K50,DN50*$J50))*IF(74=$R50,$S50,12)/12,6)+$B$4),DN50-$I50)))))</f>
        <v/>
      </c>
      <c r="DP50" s="68">
        <f>IF($U50=0,0,IF($F50=4,0,IF($F50=3,0,IF(OR(75&gt;$R50,DO50&lt;=$I50),DO50,DO50-MIN(INT(ROUND(IF($F50=1,$C50*$J50,IF(HN50&gt;0,HN50*$K50,DO50*$J50))*IF(75=$R50,$S50,12)/12,6)+$B$4),DO50-$I50)))))</f>
        <v/>
      </c>
      <c r="DQ50" s="68">
        <f>IF($U50=0,0,IF($F50=4,0,IF($F50=3,0,IF(OR(76&gt;$R50,DP50&lt;=$I50),DP50,DP50-MIN(INT(ROUND(IF($F50=1,$C50*$J50,IF(HO50&gt;0,HO50*$K50,DP50*$J50))*IF(76=$R50,$S50,12)/12,6)+$B$4),DP50-$I50)))))</f>
        <v/>
      </c>
      <c r="DR50" s="68">
        <f>IF($U50=0,0,IF($F50=4,0,IF($F50=3,0,IF(OR(77&gt;$R50,DQ50&lt;=$I50),DQ50,DQ50-MIN(INT(ROUND(IF($F50=1,$C50*$J50,IF(HP50&gt;0,HP50*$K50,DQ50*$J50))*IF(77=$R50,$S50,12)/12,6)+$B$4),DQ50-$I50)))))</f>
        <v/>
      </c>
      <c r="DS50" s="68">
        <f>IF($U50=0,0,IF($F50=4,0,IF($F50=3,0,IF(OR(78&gt;$R50,DR50&lt;=$I50),DR50,DR50-MIN(INT(ROUND(IF($F50=1,$C50*$J50,IF(HQ50&gt;0,HQ50*$K50,DR50*$J50))*IF(78=$R50,$S50,12)/12,6)+$B$4),DR50-$I50)))))</f>
        <v/>
      </c>
      <c r="DT50" s="68">
        <f>IF($U50=0,0,IF($F50=4,0,IF($F50=3,0,IF(OR(79&gt;$R50,DS50&lt;=$I50),DS50,DS50-MIN(INT(ROUND(IF($F50=1,$C50*$J50,IF(HR50&gt;0,HR50*$K50,DS50*$J50))*IF(79=$R50,$S50,12)/12,6)+$B$4),DS50-$I50)))))</f>
        <v/>
      </c>
      <c r="DU50" s="68">
        <f>IF($U50=0,0,IF($F50=4,0,IF($F50=3,0,IF(OR(80&gt;$R50,DT50&lt;=$I50),DT50,DT50-MIN(INT(ROUND(IF($F50=1,$C50*$J50,IF(HS50&gt;0,HS50*$K50,DT50*$J50))*IF(80=$R50,$S50,12)/12,6)+$B$4),DT50-$I50)))))</f>
        <v/>
      </c>
      <c r="DV50" s="68">
        <f>IF($U50=0,0,IF($F50=4,0,IF($F50=3,0,IF(OR(81&gt;$R50,DU50&lt;=$I50),DU50,DU50-MIN(INT(ROUND(IF($F50=1,$C50*$J50,IF(HT50&gt;0,HT50*$K50,DU50*$J50))*IF(81=$R50,$S50,12)/12,6)+$B$4),DU50-$I50)))))</f>
        <v/>
      </c>
      <c r="DW50" s="68">
        <f>IF($U50=0,0,IF($F50=4,0,IF($F50=3,0,IF(OR(82&gt;$R50,DV50&lt;=$I50),DV50,DV50-MIN(INT(ROUND(IF($F50=1,$C50*$J50,IF(HU50&gt;0,HU50*$K50,DV50*$J50))*IF(82=$R50,$S50,12)/12,6)+$B$4),DV50-$I50)))))</f>
        <v/>
      </c>
      <c r="DX50" s="68">
        <f>IF($U50=0,0,IF($F50=4,0,IF($F50=3,0,IF(OR(83&gt;$R50,DW50&lt;=$I50),DW50,DW50-MIN(INT(ROUND(IF($F50=1,$C50*$J50,IF(HV50&gt;0,HV50*$K50,DW50*$J50))*IF(83=$R50,$S50,12)/12,6)+$B$4),DW50-$I50)))))</f>
        <v/>
      </c>
      <c r="DY50" s="68">
        <f>IF($U50=0,0,IF($F50=4,0,IF($F50=3,0,IF(OR(84&gt;$R50,DX50&lt;=$I50),DX50,DX50-MIN(INT(ROUND(IF($F50=1,$C50*$J50,IF(HW50&gt;0,HW50*$K50,DX50*$J50))*IF(84=$R50,$S50,12)/12,6)+$B$4),DX50-$I50)))))</f>
        <v/>
      </c>
      <c r="DZ50" s="68">
        <f>IF($U50=0,0,IF($F50=4,0,IF($F50=3,0,IF(OR(85&gt;$R50,DY50&lt;=$I50),DY50,DY50-MIN(INT(ROUND(IF($F50=1,$C50*$J50,IF(HX50&gt;0,HX50*$K50,DY50*$J50))*IF(85=$R50,$S50,12)/12,6)+$B$4),DY50-$I50)))))</f>
        <v/>
      </c>
      <c r="EA50" s="68">
        <f>IF($U50=0,0,IF($F50=4,0,IF($F50=3,0,IF(OR(86&gt;$R50,DZ50&lt;=$I50),DZ50,DZ50-MIN(INT(ROUND(IF($F50=1,$C50*$J50,IF(HY50&gt;0,HY50*$K50,DZ50*$J50))*IF(86=$R50,$S50,12)/12,6)+$B$4),DZ50-$I50)))))</f>
        <v/>
      </c>
      <c r="EB50" s="68">
        <f>IF($U50=0,0,IF($F50=4,0,IF($F50=3,0,IF(OR(87&gt;$R50,EA50&lt;=$I50),EA50,EA50-MIN(INT(ROUND(IF($F50=1,$C50*$J50,IF(HZ50&gt;0,HZ50*$K50,EA50*$J50))*IF(87=$R50,$S50,12)/12,6)+$B$4),EA50-$I50)))))</f>
        <v/>
      </c>
      <c r="EC50" s="68">
        <f>IF($U50=0,0,IF($F50=4,0,IF($F50=3,0,IF(OR(88&gt;$R50,EB50&lt;=$I50),EB50,EB50-MIN(INT(ROUND(IF($F50=1,$C50*$J50,IF(IA50&gt;0,IA50*$K50,EB50*$J50))*IF(88=$R50,$S50,12)/12,6)+$B$4),EB50-$I50)))))</f>
        <v/>
      </c>
      <c r="ED50" s="68">
        <f>IF($U50=0,0,IF($F50=4,0,IF($F50=3,0,IF(OR(89&gt;$R50,EC50&lt;=$I50),EC50,EC50-MIN(INT(ROUND(IF($F50=1,$C50*$J50,IF(IB50&gt;0,IB50*$K50,EC50*$J50))*IF(89=$R50,$S50,12)/12,6)+$B$4),EC50-$I50)))))</f>
        <v/>
      </c>
      <c r="EE50" s="68">
        <f>IF($U50=0,0,IF($F50=4,0,IF($F50=3,0,IF(OR(90&gt;$R50,ED50&lt;=$I50),ED50,ED50-MIN(INT(ROUND(IF($F50=1,$C50*$J50,IF(IC50&gt;0,IC50*$K50,ED50*$J50))*IF(90=$R50,$S50,12)/12,6)+$B$4),ED50-$I50)))))</f>
        <v/>
      </c>
      <c r="EF50" s="68">
        <f>IF($U50=0,0,IF($F50=4,0,IF($F50=3,0,IF(OR(91&gt;$R50,EE50&lt;=$I50),EE50,EE50-MIN(INT(ROUND(IF($F50=1,$C50*$J50,IF(ID50&gt;0,ID50*$K50,EE50*$J50))*IF(91=$R50,$S50,12)/12,6)+$B$4),EE50-$I50)))))</f>
        <v/>
      </c>
      <c r="EG50" s="68">
        <f>IF($U50=0,0,IF($F50=4,0,IF($F50=3,0,IF(OR(92&gt;$R50,EF50&lt;=$I50),EF50,EF50-MIN(INT(ROUND(IF($F50=1,$C50*$J50,IF(IE50&gt;0,IE50*$K50,EF50*$J50))*IF(92=$R50,$S50,12)/12,6)+$B$4),EF50-$I50)))))</f>
        <v/>
      </c>
      <c r="EH50" s="68">
        <f>IF($U50=0,0,IF($F50=4,0,IF($F50=3,0,IF(OR(93&gt;$R50,EG50&lt;=$I50),EG50,EG50-MIN(INT(ROUND(IF($F50=1,$C50*$J50,IF(IF50&gt;0,IF50*$K50,EG50*$J50))*IF(93=$R50,$S50,12)/12,6)+$B$4),EG50-$I50)))))</f>
        <v/>
      </c>
      <c r="EI50" s="68">
        <f>IF($U50=0,0,IF($F50=4,0,IF($F50=3,0,IF(OR(94&gt;$R50,EH50&lt;=$I50),EH50,EH50-MIN(INT(ROUND(IF($F50=1,$C50*$J50,IF(IG50&gt;0,IG50*$K50,EH50*$J50))*IF(94=$R50,$S50,12)/12,6)+$B$4),EH50-$I50)))))</f>
        <v/>
      </c>
      <c r="EJ50" s="68">
        <f>IF($U50=0,0,IF($F50=4,0,IF($F50=3,0,IF(OR(95&gt;$R50,EI50&lt;=$I50),EI50,EI50-MIN(INT(ROUND(IF($F50=1,$C50*$J50,IF(IH50&gt;0,IH50*$K50,EI50*$J50))*IF(95=$R50,$S50,12)/12,6)+$B$4),EI50-$I50)))))</f>
        <v/>
      </c>
      <c r="EK50" s="68">
        <f>IF($U50=0,0,IF($F50=4,0,IF($F50=3,0,IF(OR(96&gt;$R50,EJ50&lt;=$I50),EJ50,EJ50-MIN(INT(ROUND(IF($F50=1,$C50*$J50,IF(II50&gt;0,II50*$K50,EJ50*$J50))*IF(96=$R50,$S50,12)/12,6)+$B$4),EJ50-$I50)))))</f>
        <v/>
      </c>
      <c r="EL50" s="68">
        <f>IF($U50=0,0,IF($F50=4,0,IF($F50=3,0,IF(OR(97&gt;$R50,EK50&lt;=$I50),EK50,EK50-MIN(INT(ROUND(IF($F50=1,$C50*$J50,IF(IJ50&gt;0,IJ50*$K50,EK50*$J50))*IF(97=$R50,$S50,12)/12,6)+$B$4),EK50-$I50)))))</f>
        <v/>
      </c>
      <c r="EM50" s="68">
        <f>IF($U50=0,0,IF($F50=4,0,IF($F50=3,0,IF(OR(98&gt;$R50,EL50&lt;=$I50),EL50,EL50-MIN(INT(ROUND(IF($F50=1,$C50*$J50,IF(IK50&gt;0,IK50*$K50,EL50*$J50))*IF(98=$R50,$S50,12)/12,6)+$B$4),EL50-$I50)))))</f>
        <v/>
      </c>
      <c r="EN50" s="68">
        <f>IF($U50=0,0,IF($F50=4,0,IF($F50=3,0,IF(OR(99&gt;$R50,EM50&lt;=$I50),EM50,EM50-MIN(INT(ROUND(IF($F50=1,$C50*$J50,IF(IL50&gt;0,IL50*$K50,EM50*$J50))*IF(99=$R50,$S50,12)/12,6)+$B$4),EM50-$I50)))))</f>
        <v/>
      </c>
      <c r="EO50" s="68">
        <f>IF($U50=0,0,IF($F50=4,0,IF($F50=3,0,IF(OR(100&gt;$R50,EN50&lt;=$I50),EN50,EN50-MIN(INT(ROUND(IF($F50=1,$C50*$J50,IF(IM50&gt;0,IM50*$K50,EN50*$J50))*IF(100=$R50,$S50,12)/12,6)+$B$4),EN50-$I50)))))</f>
        <v/>
      </c>
      <c r="EP50" s="68">
        <f>IF($U50=0,0,IF($F50=4,0,IF($F50=3,0,IF(OR(101&gt;$R50,EO50&lt;=$I50),EO50,EO50-MIN(INT(ROUND(IF($F50=1,$C50*$J50,IF(IN50&gt;0,IN50*$K50,EO50*$J50))*IF(101=$R50,$S50,12)/12,6)+$B$4),EO50-$I50)))))</f>
        <v/>
      </c>
      <c r="EQ50" s="68" t="n"/>
      <c r="ER50" s="68">
        <f>IF(OR($U50=0,$F50&lt;&gt;2),0,IF(ROUND(AS50*$J50,6)&lt;ROUND($M50,6),AS50,0))</f>
        <v/>
      </c>
      <c r="ES50" s="68">
        <f>IF(OR($U50=0,$F50&lt;&gt;2),0,IF(ER50&gt;0,ER50,IF(ROUND(AT50*$J50,6)&lt;ROUND($M50,6),AT50,0)))</f>
        <v/>
      </c>
      <c r="ET50" s="68">
        <f>IF(OR($U50=0,$F50&lt;&gt;2),0,IF(ES50&gt;0,ES50,IF(ROUND(AU50*$J50,6)&lt;ROUND($M50,6),AU50,0)))</f>
        <v/>
      </c>
      <c r="EU50" s="68">
        <f>IF(OR($U50=0,$F50&lt;&gt;2),0,IF(ET50&gt;0,ET50,IF(ROUND(AV50*$J50,6)&lt;ROUND($M50,6),AV50,0)))</f>
        <v/>
      </c>
      <c r="EV50" s="68">
        <f>IF(OR($U50=0,$F50&lt;&gt;2),0,IF(EU50&gt;0,EU50,IF(ROUND(AW50*$J50,6)&lt;ROUND($M50,6),AW50,0)))</f>
        <v/>
      </c>
      <c r="EW50" s="68">
        <f>IF(OR($U50=0,$F50&lt;&gt;2),0,IF(EV50&gt;0,EV50,IF(ROUND(AX50*$J50,6)&lt;ROUND($M50,6),AX50,0)))</f>
        <v/>
      </c>
      <c r="EX50" s="68">
        <f>IF(OR($U50=0,$F50&lt;&gt;2),0,IF(EW50&gt;0,EW50,IF(ROUND(AY50*$J50,6)&lt;ROUND($M50,6),AY50,0)))</f>
        <v/>
      </c>
      <c r="EY50" s="68">
        <f>IF(OR($U50=0,$F50&lt;&gt;2),0,IF(EX50&gt;0,EX50,IF(ROUND(AZ50*$J50,6)&lt;ROUND($M50,6),AZ50,0)))</f>
        <v/>
      </c>
      <c r="EZ50" s="68">
        <f>IF(OR($U50=0,$F50&lt;&gt;2),0,IF(EY50&gt;0,EY50,IF(ROUND(BA50*$J50,6)&lt;ROUND($M50,6),BA50,0)))</f>
        <v/>
      </c>
      <c r="FA50" s="68">
        <f>IF(OR($U50=0,$F50&lt;&gt;2),0,IF(EZ50&gt;0,EZ50,IF(ROUND(BB50*$J50,6)&lt;ROUND($M50,6),BB50,0)))</f>
        <v/>
      </c>
      <c r="FB50" s="68">
        <f>IF(OR($U50=0,$F50&lt;&gt;2),0,IF(FA50&gt;0,FA50,IF(ROUND(BC50*$J50,6)&lt;ROUND($M50,6),BC50,0)))</f>
        <v/>
      </c>
      <c r="FC50" s="68">
        <f>IF(OR($U50=0,$F50&lt;&gt;2),0,IF(FB50&gt;0,FB50,IF(ROUND(BD50*$J50,6)&lt;ROUND($M50,6),BD50,0)))</f>
        <v/>
      </c>
      <c r="FD50" s="68">
        <f>IF(OR($U50=0,$F50&lt;&gt;2),0,IF(FC50&gt;0,FC50,IF(ROUND(BE50*$J50,6)&lt;ROUND($M50,6),BE50,0)))</f>
        <v/>
      </c>
      <c r="FE50" s="68">
        <f>IF(OR($U50=0,$F50&lt;&gt;2),0,IF(FD50&gt;0,FD50,IF(ROUND(BF50*$J50,6)&lt;ROUND($M50,6),BF50,0)))</f>
        <v/>
      </c>
      <c r="FF50" s="68">
        <f>IF(OR($U50=0,$F50&lt;&gt;2),0,IF(FE50&gt;0,FE50,IF(ROUND(BG50*$J50,6)&lt;ROUND($M50,6),BG50,0)))</f>
        <v/>
      </c>
      <c r="FG50" s="68">
        <f>IF(OR($U50=0,$F50&lt;&gt;2),0,IF(FF50&gt;0,FF50,IF(ROUND(BH50*$J50,6)&lt;ROUND($M50,6),BH50,0)))</f>
        <v/>
      </c>
      <c r="FH50" s="68">
        <f>IF(OR($U50=0,$F50&lt;&gt;2),0,IF(FG50&gt;0,FG50,IF(ROUND(BI50*$J50,6)&lt;ROUND($M50,6),BI50,0)))</f>
        <v/>
      </c>
      <c r="FI50" s="68">
        <f>IF(OR($U50=0,$F50&lt;&gt;2),0,IF(FH50&gt;0,FH50,IF(ROUND(BJ50*$J50,6)&lt;ROUND($M50,6),BJ50,0)))</f>
        <v/>
      </c>
      <c r="FJ50" s="68">
        <f>IF(OR($U50=0,$F50&lt;&gt;2),0,IF(FI50&gt;0,FI50,IF(ROUND(BK50*$J50,6)&lt;ROUND($M50,6),BK50,0)))</f>
        <v/>
      </c>
      <c r="FK50" s="68">
        <f>IF(OR($U50=0,$F50&lt;&gt;2),0,IF(FJ50&gt;0,FJ50,IF(ROUND(BL50*$J50,6)&lt;ROUND($M50,6),BL50,0)))</f>
        <v/>
      </c>
      <c r="FL50" s="68">
        <f>IF(OR($U50=0,$F50&lt;&gt;2),0,IF(FK50&gt;0,FK50,IF(ROUND(BM50*$J50,6)&lt;ROUND($M50,6),BM50,0)))</f>
        <v/>
      </c>
      <c r="FM50" s="68">
        <f>IF(OR($U50=0,$F50&lt;&gt;2),0,IF(FL50&gt;0,FL50,IF(ROUND(BN50*$J50,6)&lt;ROUND($M50,6),BN50,0)))</f>
        <v/>
      </c>
      <c r="FN50" s="68">
        <f>IF(OR($U50=0,$F50&lt;&gt;2),0,IF(FM50&gt;0,FM50,IF(ROUND(BO50*$J50,6)&lt;ROUND($M50,6),BO50,0)))</f>
        <v/>
      </c>
      <c r="FO50" s="68">
        <f>IF(OR($U50=0,$F50&lt;&gt;2),0,IF(FN50&gt;0,FN50,IF(ROUND(BP50*$J50,6)&lt;ROUND($M50,6),BP50,0)))</f>
        <v/>
      </c>
      <c r="FP50" s="68">
        <f>IF(OR($U50=0,$F50&lt;&gt;2),0,IF(FO50&gt;0,FO50,IF(ROUND(BQ50*$J50,6)&lt;ROUND($M50,6),BQ50,0)))</f>
        <v/>
      </c>
      <c r="FQ50" s="68">
        <f>IF(OR($U50=0,$F50&lt;&gt;2),0,IF(FP50&gt;0,FP50,IF(ROUND(BR50*$J50,6)&lt;ROUND($M50,6),BR50,0)))</f>
        <v/>
      </c>
      <c r="FR50" s="68">
        <f>IF(OR($U50=0,$F50&lt;&gt;2),0,IF(FQ50&gt;0,FQ50,IF(ROUND(BS50*$J50,6)&lt;ROUND($M50,6),BS50,0)))</f>
        <v/>
      </c>
      <c r="FS50" s="68">
        <f>IF(OR($U50=0,$F50&lt;&gt;2),0,IF(FR50&gt;0,FR50,IF(ROUND(BT50*$J50,6)&lt;ROUND($M50,6),BT50,0)))</f>
        <v/>
      </c>
      <c r="FT50" s="68">
        <f>IF(OR($U50=0,$F50&lt;&gt;2),0,IF(FS50&gt;0,FS50,IF(ROUND(BU50*$J50,6)&lt;ROUND($M50,6),BU50,0)))</f>
        <v/>
      </c>
      <c r="FU50" s="68">
        <f>IF(OR($U50=0,$F50&lt;&gt;2),0,IF(FT50&gt;0,FT50,IF(ROUND(BV50*$J50,6)&lt;ROUND($M50,6),BV50,0)))</f>
        <v/>
      </c>
      <c r="FV50" s="68">
        <f>IF(OR($U50=0,$F50&lt;&gt;2),0,IF(FU50&gt;0,FU50,IF(ROUND(BW50*$J50,6)&lt;ROUND($M50,6),BW50,0)))</f>
        <v/>
      </c>
      <c r="FW50" s="68">
        <f>IF(OR($U50=0,$F50&lt;&gt;2),0,IF(FV50&gt;0,FV50,IF(ROUND(BX50*$J50,6)&lt;ROUND($M50,6),BX50,0)))</f>
        <v/>
      </c>
      <c r="FX50" s="68">
        <f>IF(OR($U50=0,$F50&lt;&gt;2),0,IF(FW50&gt;0,FW50,IF(ROUND(BY50*$J50,6)&lt;ROUND($M50,6),BY50,0)))</f>
        <v/>
      </c>
      <c r="FY50" s="68">
        <f>IF(OR($U50=0,$F50&lt;&gt;2),0,IF(FX50&gt;0,FX50,IF(ROUND(BZ50*$J50,6)&lt;ROUND($M50,6),BZ50,0)))</f>
        <v/>
      </c>
      <c r="FZ50" s="68">
        <f>IF(OR($U50=0,$F50&lt;&gt;2),0,IF(FY50&gt;0,FY50,IF(ROUND(CA50*$J50,6)&lt;ROUND($M50,6),CA50,0)))</f>
        <v/>
      </c>
      <c r="GA50" s="68">
        <f>IF(OR($U50=0,$F50&lt;&gt;2),0,IF(FZ50&gt;0,FZ50,IF(ROUND(CB50*$J50,6)&lt;ROUND($M50,6),CB50,0)))</f>
        <v/>
      </c>
      <c r="GB50" s="68">
        <f>IF(OR($U50=0,$F50&lt;&gt;2),0,IF(GA50&gt;0,GA50,IF(ROUND(CC50*$J50,6)&lt;ROUND($M50,6),CC50,0)))</f>
        <v/>
      </c>
      <c r="GC50" s="68">
        <f>IF(OR($U50=0,$F50&lt;&gt;2),0,IF(GB50&gt;0,GB50,IF(ROUND(CD50*$J50,6)&lt;ROUND($M50,6),CD50,0)))</f>
        <v/>
      </c>
      <c r="GD50" s="68">
        <f>IF(OR($U50=0,$F50&lt;&gt;2),0,IF(GC50&gt;0,GC50,IF(ROUND(CE50*$J50,6)&lt;ROUND($M50,6),CE50,0)))</f>
        <v/>
      </c>
      <c r="GE50" s="68">
        <f>IF(OR($U50=0,$F50&lt;&gt;2),0,IF(GD50&gt;0,GD50,IF(ROUND(CF50*$J50,6)&lt;ROUND($M50,6),CF50,0)))</f>
        <v/>
      </c>
      <c r="GF50" s="68">
        <f>IF(OR($U50=0,$F50&lt;&gt;2),0,IF(GE50&gt;0,GE50,IF(ROUND(CG50*$J50,6)&lt;ROUND($M50,6),CG50,0)))</f>
        <v/>
      </c>
      <c r="GG50" s="68">
        <f>IF(OR($U50=0,$F50&lt;&gt;2),0,IF(GF50&gt;0,GF50,IF(ROUND(CH50*$J50,6)&lt;ROUND($M50,6),CH50,0)))</f>
        <v/>
      </c>
      <c r="GH50" s="68">
        <f>IF(OR($U50=0,$F50&lt;&gt;2),0,IF(GG50&gt;0,GG50,IF(ROUND(CI50*$J50,6)&lt;ROUND($M50,6),CI50,0)))</f>
        <v/>
      </c>
      <c r="GI50" s="68">
        <f>IF(OR($U50=0,$F50&lt;&gt;2),0,IF(GH50&gt;0,GH50,IF(ROUND(CJ50*$J50,6)&lt;ROUND($M50,6),CJ50,0)))</f>
        <v/>
      </c>
      <c r="GJ50" s="68">
        <f>IF(OR($U50=0,$F50&lt;&gt;2),0,IF(GI50&gt;0,GI50,IF(ROUND(CK50*$J50,6)&lt;ROUND($M50,6),CK50,0)))</f>
        <v/>
      </c>
      <c r="GK50" s="68">
        <f>IF(OR($U50=0,$F50&lt;&gt;2),0,IF(GJ50&gt;0,GJ50,IF(ROUND(CL50*$J50,6)&lt;ROUND($M50,6),CL50,0)))</f>
        <v/>
      </c>
      <c r="GL50" s="68">
        <f>IF(OR($U50=0,$F50&lt;&gt;2),0,IF(GK50&gt;0,GK50,IF(ROUND(CM50*$J50,6)&lt;ROUND($M50,6),CM50,0)))</f>
        <v/>
      </c>
      <c r="GM50" s="68">
        <f>IF(OR($U50=0,$F50&lt;&gt;2),0,IF(GL50&gt;0,GL50,IF(ROUND(CN50*$J50,6)&lt;ROUND($M50,6),CN50,0)))</f>
        <v/>
      </c>
      <c r="GN50" s="68">
        <f>IF(OR($U50=0,$F50&lt;&gt;2),0,IF(GM50&gt;0,GM50,IF(ROUND(CO50*$J50,6)&lt;ROUND($M50,6),CO50,0)))</f>
        <v/>
      </c>
      <c r="GO50" s="68">
        <f>IF(OR($U50=0,$F50&lt;&gt;2),0,IF(GN50&gt;0,GN50,IF(ROUND(CP50*$J50,6)&lt;ROUND($M50,6),CP50,0)))</f>
        <v/>
      </c>
      <c r="GP50" s="68">
        <f>IF(OR($U50=0,$F50&lt;&gt;2),0,IF(GO50&gt;0,GO50,IF(ROUND(CQ50*$J50,6)&lt;ROUND($M50,6),CQ50,0)))</f>
        <v/>
      </c>
      <c r="GQ50" s="68">
        <f>IF(OR($U50=0,$F50&lt;&gt;2),0,IF(GP50&gt;0,GP50,IF(ROUND(CR50*$J50,6)&lt;ROUND($M50,6),CR50,0)))</f>
        <v/>
      </c>
      <c r="GR50" s="68">
        <f>IF(OR($U50=0,$F50&lt;&gt;2),0,IF(GQ50&gt;0,GQ50,IF(ROUND(CS50*$J50,6)&lt;ROUND($M50,6),CS50,0)))</f>
        <v/>
      </c>
      <c r="GS50" s="68">
        <f>IF(OR($U50=0,$F50&lt;&gt;2),0,IF(GR50&gt;0,GR50,IF(ROUND(CT50*$J50,6)&lt;ROUND($M50,6),CT50,0)))</f>
        <v/>
      </c>
      <c r="GT50" s="68">
        <f>IF(OR($U50=0,$F50&lt;&gt;2),0,IF(GS50&gt;0,GS50,IF(ROUND(CU50*$J50,6)&lt;ROUND($M50,6),CU50,0)))</f>
        <v/>
      </c>
      <c r="GU50" s="68">
        <f>IF(OR($U50=0,$F50&lt;&gt;2),0,IF(GT50&gt;0,GT50,IF(ROUND(CV50*$J50,6)&lt;ROUND($M50,6),CV50,0)))</f>
        <v/>
      </c>
      <c r="GV50" s="68">
        <f>IF(OR($U50=0,$F50&lt;&gt;2),0,IF(GU50&gt;0,GU50,IF(ROUND(CW50*$J50,6)&lt;ROUND($M50,6),CW50,0)))</f>
        <v/>
      </c>
      <c r="GW50" s="68">
        <f>IF(OR($U50=0,$F50&lt;&gt;2),0,IF(GV50&gt;0,GV50,IF(ROUND(CX50*$J50,6)&lt;ROUND($M50,6),CX50,0)))</f>
        <v/>
      </c>
      <c r="GX50" s="68">
        <f>IF(OR($U50=0,$F50&lt;&gt;2),0,IF(GW50&gt;0,GW50,IF(ROUND(CY50*$J50,6)&lt;ROUND($M50,6),CY50,0)))</f>
        <v/>
      </c>
      <c r="GY50" s="68">
        <f>IF(OR($U50=0,$F50&lt;&gt;2),0,IF(GX50&gt;0,GX50,IF(ROUND(CZ50*$J50,6)&lt;ROUND($M50,6),CZ50,0)))</f>
        <v/>
      </c>
      <c r="GZ50" s="68">
        <f>IF(OR($U50=0,$F50&lt;&gt;2),0,IF(GY50&gt;0,GY50,IF(ROUND(DA50*$J50,6)&lt;ROUND($M50,6),DA50,0)))</f>
        <v/>
      </c>
      <c r="HA50" s="68">
        <f>IF(OR($U50=0,$F50&lt;&gt;2),0,IF(GZ50&gt;0,GZ50,IF(ROUND(DB50*$J50,6)&lt;ROUND($M50,6),DB50,0)))</f>
        <v/>
      </c>
      <c r="HB50" s="68">
        <f>IF(OR($U50=0,$F50&lt;&gt;2),0,IF(HA50&gt;0,HA50,IF(ROUND(DC50*$J50,6)&lt;ROUND($M50,6),DC50,0)))</f>
        <v/>
      </c>
      <c r="HC50" s="68">
        <f>IF(OR($U50=0,$F50&lt;&gt;2),0,IF(HB50&gt;0,HB50,IF(ROUND(DD50*$J50,6)&lt;ROUND($M50,6),DD50,0)))</f>
        <v/>
      </c>
      <c r="HD50" s="68">
        <f>IF(OR($U50=0,$F50&lt;&gt;2),0,IF(HC50&gt;0,HC50,IF(ROUND(DE50*$J50,6)&lt;ROUND($M50,6),DE50,0)))</f>
        <v/>
      </c>
      <c r="HE50" s="68">
        <f>IF(OR($U50=0,$F50&lt;&gt;2),0,IF(HD50&gt;0,HD50,IF(ROUND(DF50*$J50,6)&lt;ROUND($M50,6),DF50,0)))</f>
        <v/>
      </c>
      <c r="HF50" s="68">
        <f>IF(OR($U50=0,$F50&lt;&gt;2),0,IF(HE50&gt;0,HE50,IF(ROUND(DG50*$J50,6)&lt;ROUND($M50,6),DG50,0)))</f>
        <v/>
      </c>
      <c r="HG50" s="68">
        <f>IF(OR($U50=0,$F50&lt;&gt;2),0,IF(HF50&gt;0,HF50,IF(ROUND(DH50*$J50,6)&lt;ROUND($M50,6),DH50,0)))</f>
        <v/>
      </c>
      <c r="HH50" s="68">
        <f>IF(OR($U50=0,$F50&lt;&gt;2),0,IF(HG50&gt;0,HG50,IF(ROUND(DI50*$J50,6)&lt;ROUND($M50,6),DI50,0)))</f>
        <v/>
      </c>
      <c r="HI50" s="68">
        <f>IF(OR($U50=0,$F50&lt;&gt;2),0,IF(HH50&gt;0,HH50,IF(ROUND(DJ50*$J50,6)&lt;ROUND($M50,6),DJ50,0)))</f>
        <v/>
      </c>
      <c r="HJ50" s="68">
        <f>IF(OR($U50=0,$F50&lt;&gt;2),0,IF(HI50&gt;0,HI50,IF(ROUND(DK50*$J50,6)&lt;ROUND($M50,6),DK50,0)))</f>
        <v/>
      </c>
      <c r="HK50" s="68">
        <f>IF(OR($U50=0,$F50&lt;&gt;2),0,IF(HJ50&gt;0,HJ50,IF(ROUND(DL50*$J50,6)&lt;ROUND($M50,6),DL50,0)))</f>
        <v/>
      </c>
      <c r="HL50" s="68">
        <f>IF(OR($U50=0,$F50&lt;&gt;2),0,IF(HK50&gt;0,HK50,IF(ROUND(DM50*$J50,6)&lt;ROUND($M50,6),DM50,0)))</f>
        <v/>
      </c>
      <c r="HM50" s="68">
        <f>IF(OR($U50=0,$F50&lt;&gt;2),0,IF(HL50&gt;0,HL50,IF(ROUND(DN50*$J50,6)&lt;ROUND($M50,6),DN50,0)))</f>
        <v/>
      </c>
      <c r="HN50" s="68">
        <f>IF(OR($U50=0,$F50&lt;&gt;2),0,IF(HM50&gt;0,HM50,IF(ROUND(DO50*$J50,6)&lt;ROUND($M50,6),DO50,0)))</f>
        <v/>
      </c>
      <c r="HO50" s="68">
        <f>IF(OR($U50=0,$F50&lt;&gt;2),0,IF(HN50&gt;0,HN50,IF(ROUND(DP50*$J50,6)&lt;ROUND($M50,6),DP50,0)))</f>
        <v/>
      </c>
      <c r="HP50" s="68">
        <f>IF(OR($U50=0,$F50&lt;&gt;2),0,IF(HO50&gt;0,HO50,IF(ROUND(DQ50*$J50,6)&lt;ROUND($M50,6),DQ50,0)))</f>
        <v/>
      </c>
      <c r="HQ50" s="68">
        <f>IF(OR($U50=0,$F50&lt;&gt;2),0,IF(HP50&gt;0,HP50,IF(ROUND(DR50*$J50,6)&lt;ROUND($M50,6),DR50,0)))</f>
        <v/>
      </c>
      <c r="HR50" s="68">
        <f>IF(OR($U50=0,$F50&lt;&gt;2),0,IF(HQ50&gt;0,HQ50,IF(ROUND(DS50*$J50,6)&lt;ROUND($M50,6),DS50,0)))</f>
        <v/>
      </c>
      <c r="HS50" s="68">
        <f>IF(OR($U50=0,$F50&lt;&gt;2),0,IF(HR50&gt;0,HR50,IF(ROUND(DT50*$J50,6)&lt;ROUND($M50,6),DT50,0)))</f>
        <v/>
      </c>
      <c r="HT50" s="68">
        <f>IF(OR($U50=0,$F50&lt;&gt;2),0,IF(HS50&gt;0,HS50,IF(ROUND(DU50*$J50,6)&lt;ROUND($M50,6),DU50,0)))</f>
        <v/>
      </c>
      <c r="HU50" s="68">
        <f>IF(OR($U50=0,$F50&lt;&gt;2),0,IF(HT50&gt;0,HT50,IF(ROUND(DV50*$J50,6)&lt;ROUND($M50,6),DV50,0)))</f>
        <v/>
      </c>
      <c r="HV50" s="68">
        <f>IF(OR($U50=0,$F50&lt;&gt;2),0,IF(HU50&gt;0,HU50,IF(ROUND(DW50*$J50,6)&lt;ROUND($M50,6),DW50,0)))</f>
        <v/>
      </c>
      <c r="HW50" s="68">
        <f>IF(OR($U50=0,$F50&lt;&gt;2),0,IF(HV50&gt;0,HV50,IF(ROUND(DX50*$J50,6)&lt;ROUND($M50,6),DX50,0)))</f>
        <v/>
      </c>
      <c r="HX50" s="68">
        <f>IF(OR($U50=0,$F50&lt;&gt;2),0,IF(HW50&gt;0,HW50,IF(ROUND(DY50*$J50,6)&lt;ROUND($M50,6),DY50,0)))</f>
        <v/>
      </c>
      <c r="HY50" s="68">
        <f>IF(OR($U50=0,$F50&lt;&gt;2),0,IF(HX50&gt;0,HX50,IF(ROUND(DZ50*$J50,6)&lt;ROUND($M50,6),DZ50,0)))</f>
        <v/>
      </c>
      <c r="HZ50" s="68">
        <f>IF(OR($U50=0,$F50&lt;&gt;2),0,IF(HY50&gt;0,HY50,IF(ROUND(EA50*$J50,6)&lt;ROUND($M50,6),EA50,0)))</f>
        <v/>
      </c>
      <c r="IA50" s="68">
        <f>IF(OR($U50=0,$F50&lt;&gt;2),0,IF(HZ50&gt;0,HZ50,IF(ROUND(EB50*$J50,6)&lt;ROUND($M50,6),EB50,0)))</f>
        <v/>
      </c>
      <c r="IB50" s="68">
        <f>IF(OR($U50=0,$F50&lt;&gt;2),0,IF(IA50&gt;0,IA50,IF(ROUND(EC50*$J50,6)&lt;ROUND($M50,6),EC50,0)))</f>
        <v/>
      </c>
      <c r="IC50" s="68">
        <f>IF(OR($U50=0,$F50&lt;&gt;2),0,IF(IB50&gt;0,IB50,IF(ROUND(ED50*$J50,6)&lt;ROUND($M50,6),ED50,0)))</f>
        <v/>
      </c>
      <c r="ID50" s="68">
        <f>IF(OR($U50=0,$F50&lt;&gt;2),0,IF(IC50&gt;0,IC50,IF(ROUND(EE50*$J50,6)&lt;ROUND($M50,6),EE50,0)))</f>
        <v/>
      </c>
      <c r="IE50" s="68">
        <f>IF(OR($U50=0,$F50&lt;&gt;2),0,IF(ID50&gt;0,ID50,IF(ROUND(EF50*$J50,6)&lt;ROUND($M50,6),EF50,0)))</f>
        <v/>
      </c>
      <c r="IF50" s="68">
        <f>IF(OR($U50=0,$F50&lt;&gt;2),0,IF(IE50&gt;0,IE50,IF(ROUND(EG50*$J50,6)&lt;ROUND($M50,6),EG50,0)))</f>
        <v/>
      </c>
      <c r="IG50" s="68">
        <f>IF(OR($U50=0,$F50&lt;&gt;2),0,IF(IF50&gt;0,IF50,IF(ROUND(EH50*$J50,6)&lt;ROUND($M50,6),EH50,0)))</f>
        <v/>
      </c>
      <c r="IH50" s="68">
        <f>IF(OR($U50=0,$F50&lt;&gt;2),0,IF(IG50&gt;0,IG50,IF(ROUND(EI50*$J50,6)&lt;ROUND($M50,6),EI50,0)))</f>
        <v/>
      </c>
      <c r="II50" s="68">
        <f>IF(OR($U50=0,$F50&lt;&gt;2),0,IF(IH50&gt;0,IH50,IF(ROUND(EJ50*$J50,6)&lt;ROUND($M50,6),EJ50,0)))</f>
        <v/>
      </c>
      <c r="IJ50" s="68">
        <f>IF(OR($U50=0,$F50&lt;&gt;2),0,IF(II50&gt;0,II50,IF(ROUND(EK50*$J50,6)&lt;ROUND($M50,6),EK50,0)))</f>
        <v/>
      </c>
      <c r="IK50" s="68">
        <f>IF(OR($U50=0,$F50&lt;&gt;2),0,IF(IJ50&gt;0,IJ50,IF(ROUND(EL50*$J50,6)&lt;ROUND($M50,6),EL50,0)))</f>
        <v/>
      </c>
      <c r="IL50" s="68">
        <f>IF(OR($U50=0,$F50&lt;&gt;2),0,IF(IK50&gt;0,IK50,IF(ROUND(EM50*$J50,6)&lt;ROUND($M50,6),EM50,0)))</f>
        <v/>
      </c>
      <c r="IM50" s="68">
        <f>IF(OR($U50=0,$F50&lt;&gt;2),0,IF(IL50&gt;0,IL50,IF(ROUND(EN50*$J50,6)&lt;ROUND($M50,6),EN50,0)))</f>
        <v/>
      </c>
      <c r="IN50" s="68">
        <f>IF(OR($U50=0,$F50&lt;&gt;2),0,IF(IM50&gt;0,IM50,IF(ROUND(EO50*$J50,6)&lt;ROUND($M50,6),EO50,0)))</f>
        <v/>
      </c>
    </row>
    <row r="51">
      <c r="A51" s="68" t="n">
        <v>46</v>
      </c>
      <c r="B51" s="68">
        <f>IF(OR(TRIM('固定資産台帳'!$B51)&lt;&gt;"",'固定資産台帳'!$E51&lt;&gt;"",'固定資産台帳'!$G51&lt;&gt;"",'固定資産台帳'!$H51&lt;&gt;""),1,0)</f>
        <v/>
      </c>
      <c r="C51" s="68">
        <f>IF(ISNUMBER('固定資産台帳'!$G51),MAX(ROUND('固定資産台帳'!$G51,0),0),0)</f>
        <v/>
      </c>
      <c r="D51" s="84">
        <f>IF(ISNUMBER('固定資産台帳'!$E51),INT('固定資産台帳'!$E51),0)</f>
        <v/>
      </c>
      <c r="E51" s="84">
        <f>IF(ISNUMBER('固定資産台帳'!$F51),INT('固定資産台帳'!$F51),$D51)</f>
        <v/>
      </c>
      <c r="F51" s="68">
        <f>IF('固定資産台帳'!$H51="定額法",1,IF(OR('固定資産台帳'!$H51="定率法",'固定資産台帳'!$H51="定率法（200%）",'固定資産台帳'!$H51="定率法（250%）"),2,IF('固定資産台帳'!$H51="一括償却（3年）",3,IF('固定資産台帳'!$H51="少額特例",4,0))))</f>
        <v/>
      </c>
      <c r="G51" s="68">
        <f>IF('固定資産台帳'!$H51="定率法（250%）",250,IF('固定資産台帳'!$H51="定率法（200%）",200,IF($D51&gt;=DATE(2012,4,1),200,250)))</f>
        <v/>
      </c>
      <c r="H51" s="68">
        <f>IF(ISNUMBER('固定資産台帳'!$I51),IF(AND('固定資産台帳'!$I51&gt;=2,'固定資産台帳'!$I51&lt;=100,'固定資産台帳'!$I51=INT('固定資産台帳'!$I51)),'固定資産台帳'!$I51,0),0)</f>
        <v/>
      </c>
      <c r="I51" s="68">
        <f>IF('固定資産台帳'!$C51="無形固定資産",0,1)</f>
        <v/>
      </c>
      <c r="J51" s="68">
        <f>IF(OR($H51=0,$F51=0,$F51&gt;2),0,IF($F51=1,INDEX('償却率表'!$B$6:$B$104,$H51-1),IF($G51=200,INDEX('償却率表'!$C$6:$C$104,$H51-1),INDEX('償却率表'!$F$6:$F$104,$H51-1))))</f>
        <v/>
      </c>
      <c r="K51" s="68">
        <f>IF(AND($F51=2,$H51&gt;0),IF($G51=200,INDEX('償却率表'!$D$6:$D$104,$H51-1),INDEX('償却率表'!$G$6:$G$104,$H51-1)),0)</f>
        <v/>
      </c>
      <c r="L51" s="68">
        <f>IF(AND($F51=2,$H51&gt;0),IF($G51=200,INDEX('償却率表'!$E$6:$E$104,$H51-1),INDEX('償却率表'!$H$6:$H$104,$H51-1)),0)</f>
        <v/>
      </c>
      <c r="M51" s="68">
        <f>$C51*$L51</f>
        <v/>
      </c>
      <c r="N51" s="68">
        <f>IF($B$1=1,1,IF('固定資産台帳'!$J51="",1,IF(ISNUMBER('固定資産台帳'!$J51),IF(AND('固定資産台帳'!$J51&gt;0,'固定資産台帳'!$J51&lt;=1),'固定資産台帳'!$J51,0),0)))</f>
        <v/>
      </c>
      <c r="O51" s="68">
        <f>IF($E51=0,0,YEAR($E51)-IF(MONTH($E51)&lt;$B$2,1,0))</f>
        <v/>
      </c>
      <c r="P51" s="68">
        <f>IF($E51=0,0,12-MOD(MONTH($E51)-$B$2,12))</f>
        <v/>
      </c>
      <c r="Q51" s="84">
        <f>IF(ISNUMBER('固定資産台帳'!$K51),INT('固定資産台帳'!$K51),0)</f>
        <v/>
      </c>
      <c r="R51" s="68">
        <f>IF(OR($Q51=0,$E51=0),999,YEAR($Q51)-IF(MONTH($Q51)&lt;$B$2,1,0)-$O51)</f>
        <v/>
      </c>
      <c r="S51" s="68">
        <f>IF($R51=999,0,MOD(MONTH($Q51)-$B$2,12)+1-IF($R51=0,12-$P51,0))</f>
        <v/>
      </c>
      <c r="T51" s="68">
        <f>IF($B51=0,0,IF($C51&lt;=0,1,IF($D51=0,2,IF($F51=0,3,IF(AND($F51&lt;=2,$H51=0),4,IF(AND($F51&lt;=2,$D51&lt;DATE(2007,4,1)),5,IF($E51&lt;$D51,6,IF(AND($Q51&gt;0,$Q51&lt;$E51),7,IF($N51=0,8,IF($B$3=0,9,0))))))))))</f>
        <v/>
      </c>
      <c r="U51" s="68">
        <f>IF(AND($B51=1,$T51=0),1,0)</f>
        <v/>
      </c>
      <c r="V51" s="68">
        <f>$B$3-$O51</f>
        <v/>
      </c>
      <c r="W51" s="68">
        <f>IF(AND($U51=1,$V51&gt;=0),1,0)</f>
        <v/>
      </c>
      <c r="X51" s="68">
        <f>IF($W51=0,0,IF($V51=0,$C51,INDEX($AS51:$EP51,MIN($V51,102))))</f>
        <v/>
      </c>
      <c r="Y51" s="68">
        <f>IF($W51=0,0,INDEX($AS51:$EP51,MIN($V51,101)+1))</f>
        <v/>
      </c>
      <c r="Z51" s="68">
        <f>$X51-$Y51</f>
        <v/>
      </c>
      <c r="AA51" s="68">
        <f>IF(AND($W51=1,$F51=2,$V51&gt;=1),INDEX($ER51:$IN51,MIN($V51,101)),0)</f>
        <v/>
      </c>
      <c r="AB51" s="68">
        <f>IF(OR($W51=0,$F51&gt;2,$Z51=0),0,IF($V51=0,IF($R51=0,$S51,$P51),IF($V51=$R51,$S51,12)))</f>
        <v/>
      </c>
      <c r="AC51" s="68">
        <f>IF($W51=0,0,INT(ROUND($Z51*$N51,6)+$B$4))</f>
        <v/>
      </c>
      <c r="AD51" s="68">
        <f>IF(AND($W51=1,$F51&lt;=2,$V51=$R51),1,0)</f>
        <v/>
      </c>
      <c r="AE51" s="68">
        <f>IF(AND($W51=1,$F51&lt;=2,$V51&gt;$R51),1,0)</f>
        <v/>
      </c>
      <c r="AF51" s="68">
        <f>IF(AND($W51=1,$AE51=0,OR($Z51&gt;0,$AD51=1)),1,0)</f>
        <v/>
      </c>
      <c r="AG51" s="68">
        <f>IF($AF51=1,SUM($AF$6:$AF51),0)</f>
        <v/>
      </c>
      <c r="AH51" s="68">
        <f>IF($T51=0,"",CHOOSE($T51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51" s="68">
        <f>IF(AND($F51=2,OR('固定資産台帳'!$C51="建物",'固定資産台帳'!$C51="無形固定資産",AND(OR('固定資産台帳'!$C51="建物附属設備",'固定資産台帳'!$C51="構築物"),$D51&gt;=DATE(2016,4,1)))),"この資産は定額法だけです（定率法は使えません）。","")&amp;IF(AND($F51=3,$C51&gt;=200000),"一括償却は20万円未満の資産だけです。","")&amp;IF(AND($F51=3,$B$1=0,$C51&lt;100000),"10万円未満は一括償却にせず、全額をその年の経費にします。","")&amp;IF(AND($F51=4,$C51&lt;100000),"10万円未満は少額特例ではなく、全額をその年の経費にします。","")&amp;IF(AND($F51=4,$D51&lt;DATE(2026,4,1),$C51&gt;=300000),"2026年3月31日までの取得で少額特例が使えるのは30万円未満です。","")&amp;IF(AND($F51=4,$D51&gt;=DATE(2026,4,1),$C51&gt;=400000),"少額特例は40万円未満の資産だけです。","")&amp;IF(AND($F51=4,OR($D51&lt;DATE(2006,4,1),$D51&gt;DATE(2029,3,31))),"少額特例は2006年4月1日〜2029年3月31日に取得した資産だけです。","")&amp;IF(AND($F51=2,$G51=250,$D51&gt;DATE(2012,12,31)),"250%定率法は2012年12月31日までの取得だけです。","")</f>
        <v/>
      </c>
      <c r="AJ51" s="68">
        <f>IF(AND($F51=2,'固定資産台帳'!$H51="定率法（200%）",$D51&lt;DATE(2012,4,1)),"2012年3月31日までの取得に200%を使うのは、経過措置の届出をした場合です。","")&amp;IF(AND($F51=2,'固定資産台帳'!$H51="定率法（250%）",$D51&gt;=DATE(2012,4,1),$D51&lt;=DATE(2012,12,31)),"2012年4〜12月の取得に250%を使うのは、経過措置を選んだ場合です。","")</f>
        <v/>
      </c>
      <c r="AK51" s="68">
        <f>IF($U51=0,"",IF($V51&lt;0,"表示している年より後に使い始める資産です。",IF($AE51=1,"売却・除却済みです。",IF($AD51=1,"この年に売却・除却。期末の帳簿価額 "&amp;TEXT($Y51,"#,##0")&amp;"円を帳簿から外します。",IF($F51=4,IF($V51=0,"少額特例：この年に全額を経費にします。","少額特例で経費にした資産です。"),IF($F51=3,IF($V51&gt;2,"一括償却は終わっています。","一括償却 "&amp;($V51+1)&amp;"年目（3年のうち）。"),IF($Z51=0,"償却済み（帳簿価額 "&amp;TEXT($Y51,"#,##0")&amp;"円）。",IF($AA51&gt;0,"改定償却率で計算（改定取得価額 "&amp;TEXT($AA51,"#,##0")&amp;"円）。",IF($V51=0,"この年に使い始め（"&amp;$AB51&amp;"か月分）。","")))))))))</f>
        <v/>
      </c>
      <c r="AL51" s="68">
        <f>IF(AND($U51=1,$F51=4,$V51=0),$C51,0)</f>
        <v/>
      </c>
      <c r="AM51" s="68">
        <f>IF($F51=2,INT(ROUND($M51,6)+$B$4),0)</f>
        <v/>
      </c>
      <c r="AN51" s="68">
        <f>IF($W51=0,0,IF($F51=2,IF($AA51&gt;0,$AA51,$X51),$C51))</f>
        <v/>
      </c>
      <c r="AO51" s="68">
        <f>IF($W51=0,"",IF($F51=3,"1/3",IF($F51=4,"―",IF($AA51&gt;0,$K51,$J51))))</f>
        <v/>
      </c>
      <c r="AP51" s="68" t="n"/>
      <c r="AQ51" s="68" t="n"/>
      <c r="AR51" s="68" t="n"/>
      <c r="AS51" s="68">
        <f>IF($U51=0,0,IF($F51=4,0,IF($F51=3,MAX($C51-INT(ROUND($C51/3,6)+$B$4),0),$C51-MIN(INT(ROUND($C51*$J51*IF($R51=0,$S51,$P51)/12,6)+$B$4),MAX($C51-$I51,0)))))</f>
        <v/>
      </c>
      <c r="AT51" s="68">
        <f>IF($U51=0,0,IF($F51=4,0,IF($F51=3,AS51-MIN(INT(ROUND($C51/3,6)+$B$4),AS51),IF(OR(1&gt;$R51,AS51&lt;=$I51),AS51,AS51-MIN(INT(ROUND(IF($F51=1,$C51*$J51,IF(ER51&gt;0,ER51*$K51,AS51*$J51))*IF(1=$R51,$S51,12)/12,6)+$B$4),AS51-$I51)))))</f>
        <v/>
      </c>
      <c r="AU51" s="68">
        <f>IF($U51=0,0,IF($F51=4,0,IF($F51=3,0,IF(OR(2&gt;$R51,AT51&lt;=$I51),AT51,AT51-MIN(INT(ROUND(IF($F51=1,$C51*$J51,IF(ES51&gt;0,ES51*$K51,AT51*$J51))*IF(2=$R51,$S51,12)/12,6)+$B$4),AT51-$I51)))))</f>
        <v/>
      </c>
      <c r="AV51" s="68">
        <f>IF($U51=0,0,IF($F51=4,0,IF($F51=3,0,IF(OR(3&gt;$R51,AU51&lt;=$I51),AU51,AU51-MIN(INT(ROUND(IF($F51=1,$C51*$J51,IF(ET51&gt;0,ET51*$K51,AU51*$J51))*IF(3=$R51,$S51,12)/12,6)+$B$4),AU51-$I51)))))</f>
        <v/>
      </c>
      <c r="AW51" s="68">
        <f>IF($U51=0,0,IF($F51=4,0,IF($F51=3,0,IF(OR(4&gt;$R51,AV51&lt;=$I51),AV51,AV51-MIN(INT(ROUND(IF($F51=1,$C51*$J51,IF(EU51&gt;0,EU51*$K51,AV51*$J51))*IF(4=$R51,$S51,12)/12,6)+$B$4),AV51-$I51)))))</f>
        <v/>
      </c>
      <c r="AX51" s="68">
        <f>IF($U51=0,0,IF($F51=4,0,IF($F51=3,0,IF(OR(5&gt;$R51,AW51&lt;=$I51),AW51,AW51-MIN(INT(ROUND(IF($F51=1,$C51*$J51,IF(EV51&gt;0,EV51*$K51,AW51*$J51))*IF(5=$R51,$S51,12)/12,6)+$B$4),AW51-$I51)))))</f>
        <v/>
      </c>
      <c r="AY51" s="68">
        <f>IF($U51=0,0,IF($F51=4,0,IF($F51=3,0,IF(OR(6&gt;$R51,AX51&lt;=$I51),AX51,AX51-MIN(INT(ROUND(IF($F51=1,$C51*$J51,IF(EW51&gt;0,EW51*$K51,AX51*$J51))*IF(6=$R51,$S51,12)/12,6)+$B$4),AX51-$I51)))))</f>
        <v/>
      </c>
      <c r="AZ51" s="68">
        <f>IF($U51=0,0,IF($F51=4,0,IF($F51=3,0,IF(OR(7&gt;$R51,AY51&lt;=$I51),AY51,AY51-MIN(INT(ROUND(IF($F51=1,$C51*$J51,IF(EX51&gt;0,EX51*$K51,AY51*$J51))*IF(7=$R51,$S51,12)/12,6)+$B$4),AY51-$I51)))))</f>
        <v/>
      </c>
      <c r="BA51" s="68">
        <f>IF($U51=0,0,IF($F51=4,0,IF($F51=3,0,IF(OR(8&gt;$R51,AZ51&lt;=$I51),AZ51,AZ51-MIN(INT(ROUND(IF($F51=1,$C51*$J51,IF(EY51&gt;0,EY51*$K51,AZ51*$J51))*IF(8=$R51,$S51,12)/12,6)+$B$4),AZ51-$I51)))))</f>
        <v/>
      </c>
      <c r="BB51" s="68">
        <f>IF($U51=0,0,IF($F51=4,0,IF($F51=3,0,IF(OR(9&gt;$R51,BA51&lt;=$I51),BA51,BA51-MIN(INT(ROUND(IF($F51=1,$C51*$J51,IF(EZ51&gt;0,EZ51*$K51,BA51*$J51))*IF(9=$R51,$S51,12)/12,6)+$B$4),BA51-$I51)))))</f>
        <v/>
      </c>
      <c r="BC51" s="68">
        <f>IF($U51=0,0,IF($F51=4,0,IF($F51=3,0,IF(OR(10&gt;$R51,BB51&lt;=$I51),BB51,BB51-MIN(INT(ROUND(IF($F51=1,$C51*$J51,IF(FA51&gt;0,FA51*$K51,BB51*$J51))*IF(10=$R51,$S51,12)/12,6)+$B$4),BB51-$I51)))))</f>
        <v/>
      </c>
      <c r="BD51" s="68">
        <f>IF($U51=0,0,IF($F51=4,0,IF($F51=3,0,IF(OR(11&gt;$R51,BC51&lt;=$I51),BC51,BC51-MIN(INT(ROUND(IF($F51=1,$C51*$J51,IF(FB51&gt;0,FB51*$K51,BC51*$J51))*IF(11=$R51,$S51,12)/12,6)+$B$4),BC51-$I51)))))</f>
        <v/>
      </c>
      <c r="BE51" s="68">
        <f>IF($U51=0,0,IF($F51=4,0,IF($F51=3,0,IF(OR(12&gt;$R51,BD51&lt;=$I51),BD51,BD51-MIN(INT(ROUND(IF($F51=1,$C51*$J51,IF(FC51&gt;0,FC51*$K51,BD51*$J51))*IF(12=$R51,$S51,12)/12,6)+$B$4),BD51-$I51)))))</f>
        <v/>
      </c>
      <c r="BF51" s="68">
        <f>IF($U51=0,0,IF($F51=4,0,IF($F51=3,0,IF(OR(13&gt;$R51,BE51&lt;=$I51),BE51,BE51-MIN(INT(ROUND(IF($F51=1,$C51*$J51,IF(FD51&gt;0,FD51*$K51,BE51*$J51))*IF(13=$R51,$S51,12)/12,6)+$B$4),BE51-$I51)))))</f>
        <v/>
      </c>
      <c r="BG51" s="68">
        <f>IF($U51=0,0,IF($F51=4,0,IF($F51=3,0,IF(OR(14&gt;$R51,BF51&lt;=$I51),BF51,BF51-MIN(INT(ROUND(IF($F51=1,$C51*$J51,IF(FE51&gt;0,FE51*$K51,BF51*$J51))*IF(14=$R51,$S51,12)/12,6)+$B$4),BF51-$I51)))))</f>
        <v/>
      </c>
      <c r="BH51" s="68">
        <f>IF($U51=0,0,IF($F51=4,0,IF($F51=3,0,IF(OR(15&gt;$R51,BG51&lt;=$I51),BG51,BG51-MIN(INT(ROUND(IF($F51=1,$C51*$J51,IF(FF51&gt;0,FF51*$K51,BG51*$J51))*IF(15=$R51,$S51,12)/12,6)+$B$4),BG51-$I51)))))</f>
        <v/>
      </c>
      <c r="BI51" s="68">
        <f>IF($U51=0,0,IF($F51=4,0,IF($F51=3,0,IF(OR(16&gt;$R51,BH51&lt;=$I51),BH51,BH51-MIN(INT(ROUND(IF($F51=1,$C51*$J51,IF(FG51&gt;0,FG51*$K51,BH51*$J51))*IF(16=$R51,$S51,12)/12,6)+$B$4),BH51-$I51)))))</f>
        <v/>
      </c>
      <c r="BJ51" s="68">
        <f>IF($U51=0,0,IF($F51=4,0,IF($F51=3,0,IF(OR(17&gt;$R51,BI51&lt;=$I51),BI51,BI51-MIN(INT(ROUND(IF($F51=1,$C51*$J51,IF(FH51&gt;0,FH51*$K51,BI51*$J51))*IF(17=$R51,$S51,12)/12,6)+$B$4),BI51-$I51)))))</f>
        <v/>
      </c>
      <c r="BK51" s="68">
        <f>IF($U51=0,0,IF($F51=4,0,IF($F51=3,0,IF(OR(18&gt;$R51,BJ51&lt;=$I51),BJ51,BJ51-MIN(INT(ROUND(IF($F51=1,$C51*$J51,IF(FI51&gt;0,FI51*$K51,BJ51*$J51))*IF(18=$R51,$S51,12)/12,6)+$B$4),BJ51-$I51)))))</f>
        <v/>
      </c>
      <c r="BL51" s="68">
        <f>IF($U51=0,0,IF($F51=4,0,IF($F51=3,0,IF(OR(19&gt;$R51,BK51&lt;=$I51),BK51,BK51-MIN(INT(ROUND(IF($F51=1,$C51*$J51,IF(FJ51&gt;0,FJ51*$K51,BK51*$J51))*IF(19=$R51,$S51,12)/12,6)+$B$4),BK51-$I51)))))</f>
        <v/>
      </c>
      <c r="BM51" s="68">
        <f>IF($U51=0,0,IF($F51=4,0,IF($F51=3,0,IF(OR(20&gt;$R51,BL51&lt;=$I51),BL51,BL51-MIN(INT(ROUND(IF($F51=1,$C51*$J51,IF(FK51&gt;0,FK51*$K51,BL51*$J51))*IF(20=$R51,$S51,12)/12,6)+$B$4),BL51-$I51)))))</f>
        <v/>
      </c>
      <c r="BN51" s="68">
        <f>IF($U51=0,0,IF($F51=4,0,IF($F51=3,0,IF(OR(21&gt;$R51,BM51&lt;=$I51),BM51,BM51-MIN(INT(ROUND(IF($F51=1,$C51*$J51,IF(FL51&gt;0,FL51*$K51,BM51*$J51))*IF(21=$R51,$S51,12)/12,6)+$B$4),BM51-$I51)))))</f>
        <v/>
      </c>
      <c r="BO51" s="68">
        <f>IF($U51=0,0,IF($F51=4,0,IF($F51=3,0,IF(OR(22&gt;$R51,BN51&lt;=$I51),BN51,BN51-MIN(INT(ROUND(IF($F51=1,$C51*$J51,IF(FM51&gt;0,FM51*$K51,BN51*$J51))*IF(22=$R51,$S51,12)/12,6)+$B$4),BN51-$I51)))))</f>
        <v/>
      </c>
      <c r="BP51" s="68">
        <f>IF($U51=0,0,IF($F51=4,0,IF($F51=3,0,IF(OR(23&gt;$R51,BO51&lt;=$I51),BO51,BO51-MIN(INT(ROUND(IF($F51=1,$C51*$J51,IF(FN51&gt;0,FN51*$K51,BO51*$J51))*IF(23=$R51,$S51,12)/12,6)+$B$4),BO51-$I51)))))</f>
        <v/>
      </c>
      <c r="BQ51" s="68">
        <f>IF($U51=0,0,IF($F51=4,0,IF($F51=3,0,IF(OR(24&gt;$R51,BP51&lt;=$I51),BP51,BP51-MIN(INT(ROUND(IF($F51=1,$C51*$J51,IF(FO51&gt;0,FO51*$K51,BP51*$J51))*IF(24=$R51,$S51,12)/12,6)+$B$4),BP51-$I51)))))</f>
        <v/>
      </c>
      <c r="BR51" s="68">
        <f>IF($U51=0,0,IF($F51=4,0,IF($F51=3,0,IF(OR(25&gt;$R51,BQ51&lt;=$I51),BQ51,BQ51-MIN(INT(ROUND(IF($F51=1,$C51*$J51,IF(FP51&gt;0,FP51*$K51,BQ51*$J51))*IF(25=$R51,$S51,12)/12,6)+$B$4),BQ51-$I51)))))</f>
        <v/>
      </c>
      <c r="BS51" s="68">
        <f>IF($U51=0,0,IF($F51=4,0,IF($F51=3,0,IF(OR(26&gt;$R51,BR51&lt;=$I51),BR51,BR51-MIN(INT(ROUND(IF($F51=1,$C51*$J51,IF(FQ51&gt;0,FQ51*$K51,BR51*$J51))*IF(26=$R51,$S51,12)/12,6)+$B$4),BR51-$I51)))))</f>
        <v/>
      </c>
      <c r="BT51" s="68">
        <f>IF($U51=0,0,IF($F51=4,0,IF($F51=3,0,IF(OR(27&gt;$R51,BS51&lt;=$I51),BS51,BS51-MIN(INT(ROUND(IF($F51=1,$C51*$J51,IF(FR51&gt;0,FR51*$K51,BS51*$J51))*IF(27=$R51,$S51,12)/12,6)+$B$4),BS51-$I51)))))</f>
        <v/>
      </c>
      <c r="BU51" s="68">
        <f>IF($U51=0,0,IF($F51=4,0,IF($F51=3,0,IF(OR(28&gt;$R51,BT51&lt;=$I51),BT51,BT51-MIN(INT(ROUND(IF($F51=1,$C51*$J51,IF(FS51&gt;0,FS51*$K51,BT51*$J51))*IF(28=$R51,$S51,12)/12,6)+$B$4),BT51-$I51)))))</f>
        <v/>
      </c>
      <c r="BV51" s="68">
        <f>IF($U51=0,0,IF($F51=4,0,IF($F51=3,0,IF(OR(29&gt;$R51,BU51&lt;=$I51),BU51,BU51-MIN(INT(ROUND(IF($F51=1,$C51*$J51,IF(FT51&gt;0,FT51*$K51,BU51*$J51))*IF(29=$R51,$S51,12)/12,6)+$B$4),BU51-$I51)))))</f>
        <v/>
      </c>
      <c r="BW51" s="68">
        <f>IF($U51=0,0,IF($F51=4,0,IF($F51=3,0,IF(OR(30&gt;$R51,BV51&lt;=$I51),BV51,BV51-MIN(INT(ROUND(IF($F51=1,$C51*$J51,IF(FU51&gt;0,FU51*$K51,BV51*$J51))*IF(30=$R51,$S51,12)/12,6)+$B$4),BV51-$I51)))))</f>
        <v/>
      </c>
      <c r="BX51" s="68">
        <f>IF($U51=0,0,IF($F51=4,0,IF($F51=3,0,IF(OR(31&gt;$R51,BW51&lt;=$I51),BW51,BW51-MIN(INT(ROUND(IF($F51=1,$C51*$J51,IF(FV51&gt;0,FV51*$K51,BW51*$J51))*IF(31=$R51,$S51,12)/12,6)+$B$4),BW51-$I51)))))</f>
        <v/>
      </c>
      <c r="BY51" s="68">
        <f>IF($U51=0,0,IF($F51=4,0,IF($F51=3,0,IF(OR(32&gt;$R51,BX51&lt;=$I51),BX51,BX51-MIN(INT(ROUND(IF($F51=1,$C51*$J51,IF(FW51&gt;0,FW51*$K51,BX51*$J51))*IF(32=$R51,$S51,12)/12,6)+$B$4),BX51-$I51)))))</f>
        <v/>
      </c>
      <c r="BZ51" s="68">
        <f>IF($U51=0,0,IF($F51=4,0,IF($F51=3,0,IF(OR(33&gt;$R51,BY51&lt;=$I51),BY51,BY51-MIN(INT(ROUND(IF($F51=1,$C51*$J51,IF(FX51&gt;0,FX51*$K51,BY51*$J51))*IF(33=$R51,$S51,12)/12,6)+$B$4),BY51-$I51)))))</f>
        <v/>
      </c>
      <c r="CA51" s="68">
        <f>IF($U51=0,0,IF($F51=4,0,IF($F51=3,0,IF(OR(34&gt;$R51,BZ51&lt;=$I51),BZ51,BZ51-MIN(INT(ROUND(IF($F51=1,$C51*$J51,IF(FY51&gt;0,FY51*$K51,BZ51*$J51))*IF(34=$R51,$S51,12)/12,6)+$B$4),BZ51-$I51)))))</f>
        <v/>
      </c>
      <c r="CB51" s="68">
        <f>IF($U51=0,0,IF($F51=4,0,IF($F51=3,0,IF(OR(35&gt;$R51,CA51&lt;=$I51),CA51,CA51-MIN(INT(ROUND(IF($F51=1,$C51*$J51,IF(FZ51&gt;0,FZ51*$K51,CA51*$J51))*IF(35=$R51,$S51,12)/12,6)+$B$4),CA51-$I51)))))</f>
        <v/>
      </c>
      <c r="CC51" s="68">
        <f>IF($U51=0,0,IF($F51=4,0,IF($F51=3,0,IF(OR(36&gt;$R51,CB51&lt;=$I51),CB51,CB51-MIN(INT(ROUND(IF($F51=1,$C51*$J51,IF(GA51&gt;0,GA51*$K51,CB51*$J51))*IF(36=$R51,$S51,12)/12,6)+$B$4),CB51-$I51)))))</f>
        <v/>
      </c>
      <c r="CD51" s="68">
        <f>IF($U51=0,0,IF($F51=4,0,IF($F51=3,0,IF(OR(37&gt;$R51,CC51&lt;=$I51),CC51,CC51-MIN(INT(ROUND(IF($F51=1,$C51*$J51,IF(GB51&gt;0,GB51*$K51,CC51*$J51))*IF(37=$R51,$S51,12)/12,6)+$B$4),CC51-$I51)))))</f>
        <v/>
      </c>
      <c r="CE51" s="68">
        <f>IF($U51=0,0,IF($F51=4,0,IF($F51=3,0,IF(OR(38&gt;$R51,CD51&lt;=$I51),CD51,CD51-MIN(INT(ROUND(IF($F51=1,$C51*$J51,IF(GC51&gt;0,GC51*$K51,CD51*$J51))*IF(38=$R51,$S51,12)/12,6)+$B$4),CD51-$I51)))))</f>
        <v/>
      </c>
      <c r="CF51" s="68">
        <f>IF($U51=0,0,IF($F51=4,0,IF($F51=3,0,IF(OR(39&gt;$R51,CE51&lt;=$I51),CE51,CE51-MIN(INT(ROUND(IF($F51=1,$C51*$J51,IF(GD51&gt;0,GD51*$K51,CE51*$J51))*IF(39=$R51,$S51,12)/12,6)+$B$4),CE51-$I51)))))</f>
        <v/>
      </c>
      <c r="CG51" s="68">
        <f>IF($U51=0,0,IF($F51=4,0,IF($F51=3,0,IF(OR(40&gt;$R51,CF51&lt;=$I51),CF51,CF51-MIN(INT(ROUND(IF($F51=1,$C51*$J51,IF(GE51&gt;0,GE51*$K51,CF51*$J51))*IF(40=$R51,$S51,12)/12,6)+$B$4),CF51-$I51)))))</f>
        <v/>
      </c>
      <c r="CH51" s="68">
        <f>IF($U51=0,0,IF($F51=4,0,IF($F51=3,0,IF(OR(41&gt;$R51,CG51&lt;=$I51),CG51,CG51-MIN(INT(ROUND(IF($F51=1,$C51*$J51,IF(GF51&gt;0,GF51*$K51,CG51*$J51))*IF(41=$R51,$S51,12)/12,6)+$B$4),CG51-$I51)))))</f>
        <v/>
      </c>
      <c r="CI51" s="68">
        <f>IF($U51=0,0,IF($F51=4,0,IF($F51=3,0,IF(OR(42&gt;$R51,CH51&lt;=$I51),CH51,CH51-MIN(INT(ROUND(IF($F51=1,$C51*$J51,IF(GG51&gt;0,GG51*$K51,CH51*$J51))*IF(42=$R51,$S51,12)/12,6)+$B$4),CH51-$I51)))))</f>
        <v/>
      </c>
      <c r="CJ51" s="68">
        <f>IF($U51=0,0,IF($F51=4,0,IF($F51=3,0,IF(OR(43&gt;$R51,CI51&lt;=$I51),CI51,CI51-MIN(INT(ROUND(IF($F51=1,$C51*$J51,IF(GH51&gt;0,GH51*$K51,CI51*$J51))*IF(43=$R51,$S51,12)/12,6)+$B$4),CI51-$I51)))))</f>
        <v/>
      </c>
      <c r="CK51" s="68">
        <f>IF($U51=0,0,IF($F51=4,0,IF($F51=3,0,IF(OR(44&gt;$R51,CJ51&lt;=$I51),CJ51,CJ51-MIN(INT(ROUND(IF($F51=1,$C51*$J51,IF(GI51&gt;0,GI51*$K51,CJ51*$J51))*IF(44=$R51,$S51,12)/12,6)+$B$4),CJ51-$I51)))))</f>
        <v/>
      </c>
      <c r="CL51" s="68">
        <f>IF($U51=0,0,IF($F51=4,0,IF($F51=3,0,IF(OR(45&gt;$R51,CK51&lt;=$I51),CK51,CK51-MIN(INT(ROUND(IF($F51=1,$C51*$J51,IF(GJ51&gt;0,GJ51*$K51,CK51*$J51))*IF(45=$R51,$S51,12)/12,6)+$B$4),CK51-$I51)))))</f>
        <v/>
      </c>
      <c r="CM51" s="68">
        <f>IF($U51=0,0,IF($F51=4,0,IF($F51=3,0,IF(OR(46&gt;$R51,CL51&lt;=$I51),CL51,CL51-MIN(INT(ROUND(IF($F51=1,$C51*$J51,IF(GK51&gt;0,GK51*$K51,CL51*$J51))*IF(46=$R51,$S51,12)/12,6)+$B$4),CL51-$I51)))))</f>
        <v/>
      </c>
      <c r="CN51" s="68">
        <f>IF($U51=0,0,IF($F51=4,0,IF($F51=3,0,IF(OR(47&gt;$R51,CM51&lt;=$I51),CM51,CM51-MIN(INT(ROUND(IF($F51=1,$C51*$J51,IF(GL51&gt;0,GL51*$K51,CM51*$J51))*IF(47=$R51,$S51,12)/12,6)+$B$4),CM51-$I51)))))</f>
        <v/>
      </c>
      <c r="CO51" s="68">
        <f>IF($U51=0,0,IF($F51=4,0,IF($F51=3,0,IF(OR(48&gt;$R51,CN51&lt;=$I51),CN51,CN51-MIN(INT(ROUND(IF($F51=1,$C51*$J51,IF(GM51&gt;0,GM51*$K51,CN51*$J51))*IF(48=$R51,$S51,12)/12,6)+$B$4),CN51-$I51)))))</f>
        <v/>
      </c>
      <c r="CP51" s="68">
        <f>IF($U51=0,0,IF($F51=4,0,IF($F51=3,0,IF(OR(49&gt;$R51,CO51&lt;=$I51),CO51,CO51-MIN(INT(ROUND(IF($F51=1,$C51*$J51,IF(GN51&gt;0,GN51*$K51,CO51*$J51))*IF(49=$R51,$S51,12)/12,6)+$B$4),CO51-$I51)))))</f>
        <v/>
      </c>
      <c r="CQ51" s="68">
        <f>IF($U51=0,0,IF($F51=4,0,IF($F51=3,0,IF(OR(50&gt;$R51,CP51&lt;=$I51),CP51,CP51-MIN(INT(ROUND(IF($F51=1,$C51*$J51,IF(GO51&gt;0,GO51*$K51,CP51*$J51))*IF(50=$R51,$S51,12)/12,6)+$B$4),CP51-$I51)))))</f>
        <v/>
      </c>
      <c r="CR51" s="68">
        <f>IF($U51=0,0,IF($F51=4,0,IF($F51=3,0,IF(OR(51&gt;$R51,CQ51&lt;=$I51),CQ51,CQ51-MIN(INT(ROUND(IF($F51=1,$C51*$J51,IF(GP51&gt;0,GP51*$K51,CQ51*$J51))*IF(51=$R51,$S51,12)/12,6)+$B$4),CQ51-$I51)))))</f>
        <v/>
      </c>
      <c r="CS51" s="68">
        <f>IF($U51=0,0,IF($F51=4,0,IF($F51=3,0,IF(OR(52&gt;$R51,CR51&lt;=$I51),CR51,CR51-MIN(INT(ROUND(IF($F51=1,$C51*$J51,IF(GQ51&gt;0,GQ51*$K51,CR51*$J51))*IF(52=$R51,$S51,12)/12,6)+$B$4),CR51-$I51)))))</f>
        <v/>
      </c>
      <c r="CT51" s="68">
        <f>IF($U51=0,0,IF($F51=4,0,IF($F51=3,0,IF(OR(53&gt;$R51,CS51&lt;=$I51),CS51,CS51-MIN(INT(ROUND(IF($F51=1,$C51*$J51,IF(GR51&gt;0,GR51*$K51,CS51*$J51))*IF(53=$R51,$S51,12)/12,6)+$B$4),CS51-$I51)))))</f>
        <v/>
      </c>
      <c r="CU51" s="68">
        <f>IF($U51=0,0,IF($F51=4,0,IF($F51=3,0,IF(OR(54&gt;$R51,CT51&lt;=$I51),CT51,CT51-MIN(INT(ROUND(IF($F51=1,$C51*$J51,IF(GS51&gt;0,GS51*$K51,CT51*$J51))*IF(54=$R51,$S51,12)/12,6)+$B$4),CT51-$I51)))))</f>
        <v/>
      </c>
      <c r="CV51" s="68">
        <f>IF($U51=0,0,IF($F51=4,0,IF($F51=3,0,IF(OR(55&gt;$R51,CU51&lt;=$I51),CU51,CU51-MIN(INT(ROUND(IF($F51=1,$C51*$J51,IF(GT51&gt;0,GT51*$K51,CU51*$J51))*IF(55=$R51,$S51,12)/12,6)+$B$4),CU51-$I51)))))</f>
        <v/>
      </c>
      <c r="CW51" s="68">
        <f>IF($U51=0,0,IF($F51=4,0,IF($F51=3,0,IF(OR(56&gt;$R51,CV51&lt;=$I51),CV51,CV51-MIN(INT(ROUND(IF($F51=1,$C51*$J51,IF(GU51&gt;0,GU51*$K51,CV51*$J51))*IF(56=$R51,$S51,12)/12,6)+$B$4),CV51-$I51)))))</f>
        <v/>
      </c>
      <c r="CX51" s="68">
        <f>IF($U51=0,0,IF($F51=4,0,IF($F51=3,0,IF(OR(57&gt;$R51,CW51&lt;=$I51),CW51,CW51-MIN(INT(ROUND(IF($F51=1,$C51*$J51,IF(GV51&gt;0,GV51*$K51,CW51*$J51))*IF(57=$R51,$S51,12)/12,6)+$B$4),CW51-$I51)))))</f>
        <v/>
      </c>
      <c r="CY51" s="68">
        <f>IF($U51=0,0,IF($F51=4,0,IF($F51=3,0,IF(OR(58&gt;$R51,CX51&lt;=$I51),CX51,CX51-MIN(INT(ROUND(IF($F51=1,$C51*$J51,IF(GW51&gt;0,GW51*$K51,CX51*$J51))*IF(58=$R51,$S51,12)/12,6)+$B$4),CX51-$I51)))))</f>
        <v/>
      </c>
      <c r="CZ51" s="68">
        <f>IF($U51=0,0,IF($F51=4,0,IF($F51=3,0,IF(OR(59&gt;$R51,CY51&lt;=$I51),CY51,CY51-MIN(INT(ROUND(IF($F51=1,$C51*$J51,IF(GX51&gt;0,GX51*$K51,CY51*$J51))*IF(59=$R51,$S51,12)/12,6)+$B$4),CY51-$I51)))))</f>
        <v/>
      </c>
      <c r="DA51" s="68">
        <f>IF($U51=0,0,IF($F51=4,0,IF($F51=3,0,IF(OR(60&gt;$R51,CZ51&lt;=$I51),CZ51,CZ51-MIN(INT(ROUND(IF($F51=1,$C51*$J51,IF(GY51&gt;0,GY51*$K51,CZ51*$J51))*IF(60=$R51,$S51,12)/12,6)+$B$4),CZ51-$I51)))))</f>
        <v/>
      </c>
      <c r="DB51" s="68">
        <f>IF($U51=0,0,IF($F51=4,0,IF($F51=3,0,IF(OR(61&gt;$R51,DA51&lt;=$I51),DA51,DA51-MIN(INT(ROUND(IF($F51=1,$C51*$J51,IF(GZ51&gt;0,GZ51*$K51,DA51*$J51))*IF(61=$R51,$S51,12)/12,6)+$B$4),DA51-$I51)))))</f>
        <v/>
      </c>
      <c r="DC51" s="68">
        <f>IF($U51=0,0,IF($F51=4,0,IF($F51=3,0,IF(OR(62&gt;$R51,DB51&lt;=$I51),DB51,DB51-MIN(INT(ROUND(IF($F51=1,$C51*$J51,IF(HA51&gt;0,HA51*$K51,DB51*$J51))*IF(62=$R51,$S51,12)/12,6)+$B$4),DB51-$I51)))))</f>
        <v/>
      </c>
      <c r="DD51" s="68">
        <f>IF($U51=0,0,IF($F51=4,0,IF($F51=3,0,IF(OR(63&gt;$R51,DC51&lt;=$I51),DC51,DC51-MIN(INT(ROUND(IF($F51=1,$C51*$J51,IF(HB51&gt;0,HB51*$K51,DC51*$J51))*IF(63=$R51,$S51,12)/12,6)+$B$4),DC51-$I51)))))</f>
        <v/>
      </c>
      <c r="DE51" s="68">
        <f>IF($U51=0,0,IF($F51=4,0,IF($F51=3,0,IF(OR(64&gt;$R51,DD51&lt;=$I51),DD51,DD51-MIN(INT(ROUND(IF($F51=1,$C51*$J51,IF(HC51&gt;0,HC51*$K51,DD51*$J51))*IF(64=$R51,$S51,12)/12,6)+$B$4),DD51-$I51)))))</f>
        <v/>
      </c>
      <c r="DF51" s="68">
        <f>IF($U51=0,0,IF($F51=4,0,IF($F51=3,0,IF(OR(65&gt;$R51,DE51&lt;=$I51),DE51,DE51-MIN(INT(ROUND(IF($F51=1,$C51*$J51,IF(HD51&gt;0,HD51*$K51,DE51*$J51))*IF(65=$R51,$S51,12)/12,6)+$B$4),DE51-$I51)))))</f>
        <v/>
      </c>
      <c r="DG51" s="68">
        <f>IF($U51=0,0,IF($F51=4,0,IF($F51=3,0,IF(OR(66&gt;$R51,DF51&lt;=$I51),DF51,DF51-MIN(INT(ROUND(IF($F51=1,$C51*$J51,IF(HE51&gt;0,HE51*$K51,DF51*$J51))*IF(66=$R51,$S51,12)/12,6)+$B$4),DF51-$I51)))))</f>
        <v/>
      </c>
      <c r="DH51" s="68">
        <f>IF($U51=0,0,IF($F51=4,0,IF($F51=3,0,IF(OR(67&gt;$R51,DG51&lt;=$I51),DG51,DG51-MIN(INT(ROUND(IF($F51=1,$C51*$J51,IF(HF51&gt;0,HF51*$K51,DG51*$J51))*IF(67=$R51,$S51,12)/12,6)+$B$4),DG51-$I51)))))</f>
        <v/>
      </c>
      <c r="DI51" s="68">
        <f>IF($U51=0,0,IF($F51=4,0,IF($F51=3,0,IF(OR(68&gt;$R51,DH51&lt;=$I51),DH51,DH51-MIN(INT(ROUND(IF($F51=1,$C51*$J51,IF(HG51&gt;0,HG51*$K51,DH51*$J51))*IF(68=$R51,$S51,12)/12,6)+$B$4),DH51-$I51)))))</f>
        <v/>
      </c>
      <c r="DJ51" s="68">
        <f>IF($U51=0,0,IF($F51=4,0,IF($F51=3,0,IF(OR(69&gt;$R51,DI51&lt;=$I51),DI51,DI51-MIN(INT(ROUND(IF($F51=1,$C51*$J51,IF(HH51&gt;0,HH51*$K51,DI51*$J51))*IF(69=$R51,$S51,12)/12,6)+$B$4),DI51-$I51)))))</f>
        <v/>
      </c>
      <c r="DK51" s="68">
        <f>IF($U51=0,0,IF($F51=4,0,IF($F51=3,0,IF(OR(70&gt;$R51,DJ51&lt;=$I51),DJ51,DJ51-MIN(INT(ROUND(IF($F51=1,$C51*$J51,IF(HI51&gt;0,HI51*$K51,DJ51*$J51))*IF(70=$R51,$S51,12)/12,6)+$B$4),DJ51-$I51)))))</f>
        <v/>
      </c>
      <c r="DL51" s="68">
        <f>IF($U51=0,0,IF($F51=4,0,IF($F51=3,0,IF(OR(71&gt;$R51,DK51&lt;=$I51),DK51,DK51-MIN(INT(ROUND(IF($F51=1,$C51*$J51,IF(HJ51&gt;0,HJ51*$K51,DK51*$J51))*IF(71=$R51,$S51,12)/12,6)+$B$4),DK51-$I51)))))</f>
        <v/>
      </c>
      <c r="DM51" s="68">
        <f>IF($U51=0,0,IF($F51=4,0,IF($F51=3,0,IF(OR(72&gt;$R51,DL51&lt;=$I51),DL51,DL51-MIN(INT(ROUND(IF($F51=1,$C51*$J51,IF(HK51&gt;0,HK51*$K51,DL51*$J51))*IF(72=$R51,$S51,12)/12,6)+$B$4),DL51-$I51)))))</f>
        <v/>
      </c>
      <c r="DN51" s="68">
        <f>IF($U51=0,0,IF($F51=4,0,IF($F51=3,0,IF(OR(73&gt;$R51,DM51&lt;=$I51),DM51,DM51-MIN(INT(ROUND(IF($F51=1,$C51*$J51,IF(HL51&gt;0,HL51*$K51,DM51*$J51))*IF(73=$R51,$S51,12)/12,6)+$B$4),DM51-$I51)))))</f>
        <v/>
      </c>
      <c r="DO51" s="68">
        <f>IF($U51=0,0,IF($F51=4,0,IF($F51=3,0,IF(OR(74&gt;$R51,DN51&lt;=$I51),DN51,DN51-MIN(INT(ROUND(IF($F51=1,$C51*$J51,IF(HM51&gt;0,HM51*$K51,DN51*$J51))*IF(74=$R51,$S51,12)/12,6)+$B$4),DN51-$I51)))))</f>
        <v/>
      </c>
      <c r="DP51" s="68">
        <f>IF($U51=0,0,IF($F51=4,0,IF($F51=3,0,IF(OR(75&gt;$R51,DO51&lt;=$I51),DO51,DO51-MIN(INT(ROUND(IF($F51=1,$C51*$J51,IF(HN51&gt;0,HN51*$K51,DO51*$J51))*IF(75=$R51,$S51,12)/12,6)+$B$4),DO51-$I51)))))</f>
        <v/>
      </c>
      <c r="DQ51" s="68">
        <f>IF($U51=0,0,IF($F51=4,0,IF($F51=3,0,IF(OR(76&gt;$R51,DP51&lt;=$I51),DP51,DP51-MIN(INT(ROUND(IF($F51=1,$C51*$J51,IF(HO51&gt;0,HO51*$K51,DP51*$J51))*IF(76=$R51,$S51,12)/12,6)+$B$4),DP51-$I51)))))</f>
        <v/>
      </c>
      <c r="DR51" s="68">
        <f>IF($U51=0,0,IF($F51=4,0,IF($F51=3,0,IF(OR(77&gt;$R51,DQ51&lt;=$I51),DQ51,DQ51-MIN(INT(ROUND(IF($F51=1,$C51*$J51,IF(HP51&gt;0,HP51*$K51,DQ51*$J51))*IF(77=$R51,$S51,12)/12,6)+$B$4),DQ51-$I51)))))</f>
        <v/>
      </c>
      <c r="DS51" s="68">
        <f>IF($U51=0,0,IF($F51=4,0,IF($F51=3,0,IF(OR(78&gt;$R51,DR51&lt;=$I51),DR51,DR51-MIN(INT(ROUND(IF($F51=1,$C51*$J51,IF(HQ51&gt;0,HQ51*$K51,DR51*$J51))*IF(78=$R51,$S51,12)/12,6)+$B$4),DR51-$I51)))))</f>
        <v/>
      </c>
      <c r="DT51" s="68">
        <f>IF($U51=0,0,IF($F51=4,0,IF($F51=3,0,IF(OR(79&gt;$R51,DS51&lt;=$I51),DS51,DS51-MIN(INT(ROUND(IF($F51=1,$C51*$J51,IF(HR51&gt;0,HR51*$K51,DS51*$J51))*IF(79=$R51,$S51,12)/12,6)+$B$4),DS51-$I51)))))</f>
        <v/>
      </c>
      <c r="DU51" s="68">
        <f>IF($U51=0,0,IF($F51=4,0,IF($F51=3,0,IF(OR(80&gt;$R51,DT51&lt;=$I51),DT51,DT51-MIN(INT(ROUND(IF($F51=1,$C51*$J51,IF(HS51&gt;0,HS51*$K51,DT51*$J51))*IF(80=$R51,$S51,12)/12,6)+$B$4),DT51-$I51)))))</f>
        <v/>
      </c>
      <c r="DV51" s="68">
        <f>IF($U51=0,0,IF($F51=4,0,IF($F51=3,0,IF(OR(81&gt;$R51,DU51&lt;=$I51),DU51,DU51-MIN(INT(ROUND(IF($F51=1,$C51*$J51,IF(HT51&gt;0,HT51*$K51,DU51*$J51))*IF(81=$R51,$S51,12)/12,6)+$B$4),DU51-$I51)))))</f>
        <v/>
      </c>
      <c r="DW51" s="68">
        <f>IF($U51=0,0,IF($F51=4,0,IF($F51=3,0,IF(OR(82&gt;$R51,DV51&lt;=$I51),DV51,DV51-MIN(INT(ROUND(IF($F51=1,$C51*$J51,IF(HU51&gt;0,HU51*$K51,DV51*$J51))*IF(82=$R51,$S51,12)/12,6)+$B$4),DV51-$I51)))))</f>
        <v/>
      </c>
      <c r="DX51" s="68">
        <f>IF($U51=0,0,IF($F51=4,0,IF($F51=3,0,IF(OR(83&gt;$R51,DW51&lt;=$I51),DW51,DW51-MIN(INT(ROUND(IF($F51=1,$C51*$J51,IF(HV51&gt;0,HV51*$K51,DW51*$J51))*IF(83=$R51,$S51,12)/12,6)+$B$4),DW51-$I51)))))</f>
        <v/>
      </c>
      <c r="DY51" s="68">
        <f>IF($U51=0,0,IF($F51=4,0,IF($F51=3,0,IF(OR(84&gt;$R51,DX51&lt;=$I51),DX51,DX51-MIN(INT(ROUND(IF($F51=1,$C51*$J51,IF(HW51&gt;0,HW51*$K51,DX51*$J51))*IF(84=$R51,$S51,12)/12,6)+$B$4),DX51-$I51)))))</f>
        <v/>
      </c>
      <c r="DZ51" s="68">
        <f>IF($U51=0,0,IF($F51=4,0,IF($F51=3,0,IF(OR(85&gt;$R51,DY51&lt;=$I51),DY51,DY51-MIN(INT(ROUND(IF($F51=1,$C51*$J51,IF(HX51&gt;0,HX51*$K51,DY51*$J51))*IF(85=$R51,$S51,12)/12,6)+$B$4),DY51-$I51)))))</f>
        <v/>
      </c>
      <c r="EA51" s="68">
        <f>IF($U51=0,0,IF($F51=4,0,IF($F51=3,0,IF(OR(86&gt;$R51,DZ51&lt;=$I51),DZ51,DZ51-MIN(INT(ROUND(IF($F51=1,$C51*$J51,IF(HY51&gt;0,HY51*$K51,DZ51*$J51))*IF(86=$R51,$S51,12)/12,6)+$B$4),DZ51-$I51)))))</f>
        <v/>
      </c>
      <c r="EB51" s="68">
        <f>IF($U51=0,0,IF($F51=4,0,IF($F51=3,0,IF(OR(87&gt;$R51,EA51&lt;=$I51),EA51,EA51-MIN(INT(ROUND(IF($F51=1,$C51*$J51,IF(HZ51&gt;0,HZ51*$K51,EA51*$J51))*IF(87=$R51,$S51,12)/12,6)+$B$4),EA51-$I51)))))</f>
        <v/>
      </c>
      <c r="EC51" s="68">
        <f>IF($U51=0,0,IF($F51=4,0,IF($F51=3,0,IF(OR(88&gt;$R51,EB51&lt;=$I51),EB51,EB51-MIN(INT(ROUND(IF($F51=1,$C51*$J51,IF(IA51&gt;0,IA51*$K51,EB51*$J51))*IF(88=$R51,$S51,12)/12,6)+$B$4),EB51-$I51)))))</f>
        <v/>
      </c>
      <c r="ED51" s="68">
        <f>IF($U51=0,0,IF($F51=4,0,IF($F51=3,0,IF(OR(89&gt;$R51,EC51&lt;=$I51),EC51,EC51-MIN(INT(ROUND(IF($F51=1,$C51*$J51,IF(IB51&gt;0,IB51*$K51,EC51*$J51))*IF(89=$R51,$S51,12)/12,6)+$B$4),EC51-$I51)))))</f>
        <v/>
      </c>
      <c r="EE51" s="68">
        <f>IF($U51=0,0,IF($F51=4,0,IF($F51=3,0,IF(OR(90&gt;$R51,ED51&lt;=$I51),ED51,ED51-MIN(INT(ROUND(IF($F51=1,$C51*$J51,IF(IC51&gt;0,IC51*$K51,ED51*$J51))*IF(90=$R51,$S51,12)/12,6)+$B$4),ED51-$I51)))))</f>
        <v/>
      </c>
      <c r="EF51" s="68">
        <f>IF($U51=0,0,IF($F51=4,0,IF($F51=3,0,IF(OR(91&gt;$R51,EE51&lt;=$I51),EE51,EE51-MIN(INT(ROUND(IF($F51=1,$C51*$J51,IF(ID51&gt;0,ID51*$K51,EE51*$J51))*IF(91=$R51,$S51,12)/12,6)+$B$4),EE51-$I51)))))</f>
        <v/>
      </c>
      <c r="EG51" s="68">
        <f>IF($U51=0,0,IF($F51=4,0,IF($F51=3,0,IF(OR(92&gt;$R51,EF51&lt;=$I51),EF51,EF51-MIN(INT(ROUND(IF($F51=1,$C51*$J51,IF(IE51&gt;0,IE51*$K51,EF51*$J51))*IF(92=$R51,$S51,12)/12,6)+$B$4),EF51-$I51)))))</f>
        <v/>
      </c>
      <c r="EH51" s="68">
        <f>IF($U51=0,0,IF($F51=4,0,IF($F51=3,0,IF(OR(93&gt;$R51,EG51&lt;=$I51),EG51,EG51-MIN(INT(ROUND(IF($F51=1,$C51*$J51,IF(IF51&gt;0,IF51*$K51,EG51*$J51))*IF(93=$R51,$S51,12)/12,6)+$B$4),EG51-$I51)))))</f>
        <v/>
      </c>
      <c r="EI51" s="68">
        <f>IF($U51=0,0,IF($F51=4,0,IF($F51=3,0,IF(OR(94&gt;$R51,EH51&lt;=$I51),EH51,EH51-MIN(INT(ROUND(IF($F51=1,$C51*$J51,IF(IG51&gt;0,IG51*$K51,EH51*$J51))*IF(94=$R51,$S51,12)/12,6)+$B$4),EH51-$I51)))))</f>
        <v/>
      </c>
      <c r="EJ51" s="68">
        <f>IF($U51=0,0,IF($F51=4,0,IF($F51=3,0,IF(OR(95&gt;$R51,EI51&lt;=$I51),EI51,EI51-MIN(INT(ROUND(IF($F51=1,$C51*$J51,IF(IH51&gt;0,IH51*$K51,EI51*$J51))*IF(95=$R51,$S51,12)/12,6)+$B$4),EI51-$I51)))))</f>
        <v/>
      </c>
      <c r="EK51" s="68">
        <f>IF($U51=0,0,IF($F51=4,0,IF($F51=3,0,IF(OR(96&gt;$R51,EJ51&lt;=$I51),EJ51,EJ51-MIN(INT(ROUND(IF($F51=1,$C51*$J51,IF(II51&gt;0,II51*$K51,EJ51*$J51))*IF(96=$R51,$S51,12)/12,6)+$B$4),EJ51-$I51)))))</f>
        <v/>
      </c>
      <c r="EL51" s="68">
        <f>IF($U51=0,0,IF($F51=4,0,IF($F51=3,0,IF(OR(97&gt;$R51,EK51&lt;=$I51),EK51,EK51-MIN(INT(ROUND(IF($F51=1,$C51*$J51,IF(IJ51&gt;0,IJ51*$K51,EK51*$J51))*IF(97=$R51,$S51,12)/12,6)+$B$4),EK51-$I51)))))</f>
        <v/>
      </c>
      <c r="EM51" s="68">
        <f>IF($U51=0,0,IF($F51=4,0,IF($F51=3,0,IF(OR(98&gt;$R51,EL51&lt;=$I51),EL51,EL51-MIN(INT(ROUND(IF($F51=1,$C51*$J51,IF(IK51&gt;0,IK51*$K51,EL51*$J51))*IF(98=$R51,$S51,12)/12,6)+$B$4),EL51-$I51)))))</f>
        <v/>
      </c>
      <c r="EN51" s="68">
        <f>IF($U51=0,0,IF($F51=4,0,IF($F51=3,0,IF(OR(99&gt;$R51,EM51&lt;=$I51),EM51,EM51-MIN(INT(ROUND(IF($F51=1,$C51*$J51,IF(IL51&gt;0,IL51*$K51,EM51*$J51))*IF(99=$R51,$S51,12)/12,6)+$B$4),EM51-$I51)))))</f>
        <v/>
      </c>
      <c r="EO51" s="68">
        <f>IF($U51=0,0,IF($F51=4,0,IF($F51=3,0,IF(OR(100&gt;$R51,EN51&lt;=$I51),EN51,EN51-MIN(INT(ROUND(IF($F51=1,$C51*$J51,IF(IM51&gt;0,IM51*$K51,EN51*$J51))*IF(100=$R51,$S51,12)/12,6)+$B$4),EN51-$I51)))))</f>
        <v/>
      </c>
      <c r="EP51" s="68">
        <f>IF($U51=0,0,IF($F51=4,0,IF($F51=3,0,IF(OR(101&gt;$R51,EO51&lt;=$I51),EO51,EO51-MIN(INT(ROUND(IF($F51=1,$C51*$J51,IF(IN51&gt;0,IN51*$K51,EO51*$J51))*IF(101=$R51,$S51,12)/12,6)+$B$4),EO51-$I51)))))</f>
        <v/>
      </c>
      <c r="EQ51" s="68" t="n"/>
      <c r="ER51" s="68">
        <f>IF(OR($U51=0,$F51&lt;&gt;2),0,IF(ROUND(AS51*$J51,6)&lt;ROUND($M51,6),AS51,0))</f>
        <v/>
      </c>
      <c r="ES51" s="68">
        <f>IF(OR($U51=0,$F51&lt;&gt;2),0,IF(ER51&gt;0,ER51,IF(ROUND(AT51*$J51,6)&lt;ROUND($M51,6),AT51,0)))</f>
        <v/>
      </c>
      <c r="ET51" s="68">
        <f>IF(OR($U51=0,$F51&lt;&gt;2),0,IF(ES51&gt;0,ES51,IF(ROUND(AU51*$J51,6)&lt;ROUND($M51,6),AU51,0)))</f>
        <v/>
      </c>
      <c r="EU51" s="68">
        <f>IF(OR($U51=0,$F51&lt;&gt;2),0,IF(ET51&gt;0,ET51,IF(ROUND(AV51*$J51,6)&lt;ROUND($M51,6),AV51,0)))</f>
        <v/>
      </c>
      <c r="EV51" s="68">
        <f>IF(OR($U51=0,$F51&lt;&gt;2),0,IF(EU51&gt;0,EU51,IF(ROUND(AW51*$J51,6)&lt;ROUND($M51,6),AW51,0)))</f>
        <v/>
      </c>
      <c r="EW51" s="68">
        <f>IF(OR($U51=0,$F51&lt;&gt;2),0,IF(EV51&gt;0,EV51,IF(ROUND(AX51*$J51,6)&lt;ROUND($M51,6),AX51,0)))</f>
        <v/>
      </c>
      <c r="EX51" s="68">
        <f>IF(OR($U51=0,$F51&lt;&gt;2),0,IF(EW51&gt;0,EW51,IF(ROUND(AY51*$J51,6)&lt;ROUND($M51,6),AY51,0)))</f>
        <v/>
      </c>
      <c r="EY51" s="68">
        <f>IF(OR($U51=0,$F51&lt;&gt;2),0,IF(EX51&gt;0,EX51,IF(ROUND(AZ51*$J51,6)&lt;ROUND($M51,6),AZ51,0)))</f>
        <v/>
      </c>
      <c r="EZ51" s="68">
        <f>IF(OR($U51=0,$F51&lt;&gt;2),0,IF(EY51&gt;0,EY51,IF(ROUND(BA51*$J51,6)&lt;ROUND($M51,6),BA51,0)))</f>
        <v/>
      </c>
      <c r="FA51" s="68">
        <f>IF(OR($U51=0,$F51&lt;&gt;2),0,IF(EZ51&gt;0,EZ51,IF(ROUND(BB51*$J51,6)&lt;ROUND($M51,6),BB51,0)))</f>
        <v/>
      </c>
      <c r="FB51" s="68">
        <f>IF(OR($U51=0,$F51&lt;&gt;2),0,IF(FA51&gt;0,FA51,IF(ROUND(BC51*$J51,6)&lt;ROUND($M51,6),BC51,0)))</f>
        <v/>
      </c>
      <c r="FC51" s="68">
        <f>IF(OR($U51=0,$F51&lt;&gt;2),0,IF(FB51&gt;0,FB51,IF(ROUND(BD51*$J51,6)&lt;ROUND($M51,6),BD51,0)))</f>
        <v/>
      </c>
      <c r="FD51" s="68">
        <f>IF(OR($U51=0,$F51&lt;&gt;2),0,IF(FC51&gt;0,FC51,IF(ROUND(BE51*$J51,6)&lt;ROUND($M51,6),BE51,0)))</f>
        <v/>
      </c>
      <c r="FE51" s="68">
        <f>IF(OR($U51=0,$F51&lt;&gt;2),0,IF(FD51&gt;0,FD51,IF(ROUND(BF51*$J51,6)&lt;ROUND($M51,6),BF51,0)))</f>
        <v/>
      </c>
      <c r="FF51" s="68">
        <f>IF(OR($U51=0,$F51&lt;&gt;2),0,IF(FE51&gt;0,FE51,IF(ROUND(BG51*$J51,6)&lt;ROUND($M51,6),BG51,0)))</f>
        <v/>
      </c>
      <c r="FG51" s="68">
        <f>IF(OR($U51=0,$F51&lt;&gt;2),0,IF(FF51&gt;0,FF51,IF(ROUND(BH51*$J51,6)&lt;ROUND($M51,6),BH51,0)))</f>
        <v/>
      </c>
      <c r="FH51" s="68">
        <f>IF(OR($U51=0,$F51&lt;&gt;2),0,IF(FG51&gt;0,FG51,IF(ROUND(BI51*$J51,6)&lt;ROUND($M51,6),BI51,0)))</f>
        <v/>
      </c>
      <c r="FI51" s="68">
        <f>IF(OR($U51=0,$F51&lt;&gt;2),0,IF(FH51&gt;0,FH51,IF(ROUND(BJ51*$J51,6)&lt;ROUND($M51,6),BJ51,0)))</f>
        <v/>
      </c>
      <c r="FJ51" s="68">
        <f>IF(OR($U51=0,$F51&lt;&gt;2),0,IF(FI51&gt;0,FI51,IF(ROUND(BK51*$J51,6)&lt;ROUND($M51,6),BK51,0)))</f>
        <v/>
      </c>
      <c r="FK51" s="68">
        <f>IF(OR($U51=0,$F51&lt;&gt;2),0,IF(FJ51&gt;0,FJ51,IF(ROUND(BL51*$J51,6)&lt;ROUND($M51,6),BL51,0)))</f>
        <v/>
      </c>
      <c r="FL51" s="68">
        <f>IF(OR($U51=0,$F51&lt;&gt;2),0,IF(FK51&gt;0,FK51,IF(ROUND(BM51*$J51,6)&lt;ROUND($M51,6),BM51,0)))</f>
        <v/>
      </c>
      <c r="FM51" s="68">
        <f>IF(OR($U51=0,$F51&lt;&gt;2),0,IF(FL51&gt;0,FL51,IF(ROUND(BN51*$J51,6)&lt;ROUND($M51,6),BN51,0)))</f>
        <v/>
      </c>
      <c r="FN51" s="68">
        <f>IF(OR($U51=0,$F51&lt;&gt;2),0,IF(FM51&gt;0,FM51,IF(ROUND(BO51*$J51,6)&lt;ROUND($M51,6),BO51,0)))</f>
        <v/>
      </c>
      <c r="FO51" s="68">
        <f>IF(OR($U51=0,$F51&lt;&gt;2),0,IF(FN51&gt;0,FN51,IF(ROUND(BP51*$J51,6)&lt;ROUND($M51,6),BP51,0)))</f>
        <v/>
      </c>
      <c r="FP51" s="68">
        <f>IF(OR($U51=0,$F51&lt;&gt;2),0,IF(FO51&gt;0,FO51,IF(ROUND(BQ51*$J51,6)&lt;ROUND($M51,6),BQ51,0)))</f>
        <v/>
      </c>
      <c r="FQ51" s="68">
        <f>IF(OR($U51=0,$F51&lt;&gt;2),0,IF(FP51&gt;0,FP51,IF(ROUND(BR51*$J51,6)&lt;ROUND($M51,6),BR51,0)))</f>
        <v/>
      </c>
      <c r="FR51" s="68">
        <f>IF(OR($U51=0,$F51&lt;&gt;2),0,IF(FQ51&gt;0,FQ51,IF(ROUND(BS51*$J51,6)&lt;ROUND($M51,6),BS51,0)))</f>
        <v/>
      </c>
      <c r="FS51" s="68">
        <f>IF(OR($U51=0,$F51&lt;&gt;2),0,IF(FR51&gt;0,FR51,IF(ROUND(BT51*$J51,6)&lt;ROUND($M51,6),BT51,0)))</f>
        <v/>
      </c>
      <c r="FT51" s="68">
        <f>IF(OR($U51=0,$F51&lt;&gt;2),0,IF(FS51&gt;0,FS51,IF(ROUND(BU51*$J51,6)&lt;ROUND($M51,6),BU51,0)))</f>
        <v/>
      </c>
      <c r="FU51" s="68">
        <f>IF(OR($U51=0,$F51&lt;&gt;2),0,IF(FT51&gt;0,FT51,IF(ROUND(BV51*$J51,6)&lt;ROUND($M51,6),BV51,0)))</f>
        <v/>
      </c>
      <c r="FV51" s="68">
        <f>IF(OR($U51=0,$F51&lt;&gt;2),0,IF(FU51&gt;0,FU51,IF(ROUND(BW51*$J51,6)&lt;ROUND($M51,6),BW51,0)))</f>
        <v/>
      </c>
      <c r="FW51" s="68">
        <f>IF(OR($U51=0,$F51&lt;&gt;2),0,IF(FV51&gt;0,FV51,IF(ROUND(BX51*$J51,6)&lt;ROUND($M51,6),BX51,0)))</f>
        <v/>
      </c>
      <c r="FX51" s="68">
        <f>IF(OR($U51=0,$F51&lt;&gt;2),0,IF(FW51&gt;0,FW51,IF(ROUND(BY51*$J51,6)&lt;ROUND($M51,6),BY51,0)))</f>
        <v/>
      </c>
      <c r="FY51" s="68">
        <f>IF(OR($U51=0,$F51&lt;&gt;2),0,IF(FX51&gt;0,FX51,IF(ROUND(BZ51*$J51,6)&lt;ROUND($M51,6),BZ51,0)))</f>
        <v/>
      </c>
      <c r="FZ51" s="68">
        <f>IF(OR($U51=0,$F51&lt;&gt;2),0,IF(FY51&gt;0,FY51,IF(ROUND(CA51*$J51,6)&lt;ROUND($M51,6),CA51,0)))</f>
        <v/>
      </c>
      <c r="GA51" s="68">
        <f>IF(OR($U51=0,$F51&lt;&gt;2),0,IF(FZ51&gt;0,FZ51,IF(ROUND(CB51*$J51,6)&lt;ROUND($M51,6),CB51,0)))</f>
        <v/>
      </c>
      <c r="GB51" s="68">
        <f>IF(OR($U51=0,$F51&lt;&gt;2),0,IF(GA51&gt;0,GA51,IF(ROUND(CC51*$J51,6)&lt;ROUND($M51,6),CC51,0)))</f>
        <v/>
      </c>
      <c r="GC51" s="68">
        <f>IF(OR($U51=0,$F51&lt;&gt;2),0,IF(GB51&gt;0,GB51,IF(ROUND(CD51*$J51,6)&lt;ROUND($M51,6),CD51,0)))</f>
        <v/>
      </c>
      <c r="GD51" s="68">
        <f>IF(OR($U51=0,$F51&lt;&gt;2),0,IF(GC51&gt;0,GC51,IF(ROUND(CE51*$J51,6)&lt;ROUND($M51,6),CE51,0)))</f>
        <v/>
      </c>
      <c r="GE51" s="68">
        <f>IF(OR($U51=0,$F51&lt;&gt;2),0,IF(GD51&gt;0,GD51,IF(ROUND(CF51*$J51,6)&lt;ROUND($M51,6),CF51,0)))</f>
        <v/>
      </c>
      <c r="GF51" s="68">
        <f>IF(OR($U51=0,$F51&lt;&gt;2),0,IF(GE51&gt;0,GE51,IF(ROUND(CG51*$J51,6)&lt;ROUND($M51,6),CG51,0)))</f>
        <v/>
      </c>
      <c r="GG51" s="68">
        <f>IF(OR($U51=0,$F51&lt;&gt;2),0,IF(GF51&gt;0,GF51,IF(ROUND(CH51*$J51,6)&lt;ROUND($M51,6),CH51,0)))</f>
        <v/>
      </c>
      <c r="GH51" s="68">
        <f>IF(OR($U51=0,$F51&lt;&gt;2),0,IF(GG51&gt;0,GG51,IF(ROUND(CI51*$J51,6)&lt;ROUND($M51,6),CI51,0)))</f>
        <v/>
      </c>
      <c r="GI51" s="68">
        <f>IF(OR($U51=0,$F51&lt;&gt;2),0,IF(GH51&gt;0,GH51,IF(ROUND(CJ51*$J51,6)&lt;ROUND($M51,6),CJ51,0)))</f>
        <v/>
      </c>
      <c r="GJ51" s="68">
        <f>IF(OR($U51=0,$F51&lt;&gt;2),0,IF(GI51&gt;0,GI51,IF(ROUND(CK51*$J51,6)&lt;ROUND($M51,6),CK51,0)))</f>
        <v/>
      </c>
      <c r="GK51" s="68">
        <f>IF(OR($U51=0,$F51&lt;&gt;2),0,IF(GJ51&gt;0,GJ51,IF(ROUND(CL51*$J51,6)&lt;ROUND($M51,6),CL51,0)))</f>
        <v/>
      </c>
      <c r="GL51" s="68">
        <f>IF(OR($U51=0,$F51&lt;&gt;2),0,IF(GK51&gt;0,GK51,IF(ROUND(CM51*$J51,6)&lt;ROUND($M51,6),CM51,0)))</f>
        <v/>
      </c>
      <c r="GM51" s="68">
        <f>IF(OR($U51=0,$F51&lt;&gt;2),0,IF(GL51&gt;0,GL51,IF(ROUND(CN51*$J51,6)&lt;ROUND($M51,6),CN51,0)))</f>
        <v/>
      </c>
      <c r="GN51" s="68">
        <f>IF(OR($U51=0,$F51&lt;&gt;2),0,IF(GM51&gt;0,GM51,IF(ROUND(CO51*$J51,6)&lt;ROUND($M51,6),CO51,0)))</f>
        <v/>
      </c>
      <c r="GO51" s="68">
        <f>IF(OR($U51=0,$F51&lt;&gt;2),0,IF(GN51&gt;0,GN51,IF(ROUND(CP51*$J51,6)&lt;ROUND($M51,6),CP51,0)))</f>
        <v/>
      </c>
      <c r="GP51" s="68">
        <f>IF(OR($U51=0,$F51&lt;&gt;2),0,IF(GO51&gt;0,GO51,IF(ROUND(CQ51*$J51,6)&lt;ROUND($M51,6),CQ51,0)))</f>
        <v/>
      </c>
      <c r="GQ51" s="68">
        <f>IF(OR($U51=0,$F51&lt;&gt;2),0,IF(GP51&gt;0,GP51,IF(ROUND(CR51*$J51,6)&lt;ROUND($M51,6),CR51,0)))</f>
        <v/>
      </c>
      <c r="GR51" s="68">
        <f>IF(OR($U51=0,$F51&lt;&gt;2),0,IF(GQ51&gt;0,GQ51,IF(ROUND(CS51*$J51,6)&lt;ROUND($M51,6),CS51,0)))</f>
        <v/>
      </c>
      <c r="GS51" s="68">
        <f>IF(OR($U51=0,$F51&lt;&gt;2),0,IF(GR51&gt;0,GR51,IF(ROUND(CT51*$J51,6)&lt;ROUND($M51,6),CT51,0)))</f>
        <v/>
      </c>
      <c r="GT51" s="68">
        <f>IF(OR($U51=0,$F51&lt;&gt;2),0,IF(GS51&gt;0,GS51,IF(ROUND(CU51*$J51,6)&lt;ROUND($M51,6),CU51,0)))</f>
        <v/>
      </c>
      <c r="GU51" s="68">
        <f>IF(OR($U51=0,$F51&lt;&gt;2),0,IF(GT51&gt;0,GT51,IF(ROUND(CV51*$J51,6)&lt;ROUND($M51,6),CV51,0)))</f>
        <v/>
      </c>
      <c r="GV51" s="68">
        <f>IF(OR($U51=0,$F51&lt;&gt;2),0,IF(GU51&gt;0,GU51,IF(ROUND(CW51*$J51,6)&lt;ROUND($M51,6),CW51,0)))</f>
        <v/>
      </c>
      <c r="GW51" s="68">
        <f>IF(OR($U51=0,$F51&lt;&gt;2),0,IF(GV51&gt;0,GV51,IF(ROUND(CX51*$J51,6)&lt;ROUND($M51,6),CX51,0)))</f>
        <v/>
      </c>
      <c r="GX51" s="68">
        <f>IF(OR($U51=0,$F51&lt;&gt;2),0,IF(GW51&gt;0,GW51,IF(ROUND(CY51*$J51,6)&lt;ROUND($M51,6),CY51,0)))</f>
        <v/>
      </c>
      <c r="GY51" s="68">
        <f>IF(OR($U51=0,$F51&lt;&gt;2),0,IF(GX51&gt;0,GX51,IF(ROUND(CZ51*$J51,6)&lt;ROUND($M51,6),CZ51,0)))</f>
        <v/>
      </c>
      <c r="GZ51" s="68">
        <f>IF(OR($U51=0,$F51&lt;&gt;2),0,IF(GY51&gt;0,GY51,IF(ROUND(DA51*$J51,6)&lt;ROUND($M51,6),DA51,0)))</f>
        <v/>
      </c>
      <c r="HA51" s="68">
        <f>IF(OR($U51=0,$F51&lt;&gt;2),0,IF(GZ51&gt;0,GZ51,IF(ROUND(DB51*$J51,6)&lt;ROUND($M51,6),DB51,0)))</f>
        <v/>
      </c>
      <c r="HB51" s="68">
        <f>IF(OR($U51=0,$F51&lt;&gt;2),0,IF(HA51&gt;0,HA51,IF(ROUND(DC51*$J51,6)&lt;ROUND($M51,6),DC51,0)))</f>
        <v/>
      </c>
      <c r="HC51" s="68">
        <f>IF(OR($U51=0,$F51&lt;&gt;2),0,IF(HB51&gt;0,HB51,IF(ROUND(DD51*$J51,6)&lt;ROUND($M51,6),DD51,0)))</f>
        <v/>
      </c>
      <c r="HD51" s="68">
        <f>IF(OR($U51=0,$F51&lt;&gt;2),0,IF(HC51&gt;0,HC51,IF(ROUND(DE51*$J51,6)&lt;ROUND($M51,6),DE51,0)))</f>
        <v/>
      </c>
      <c r="HE51" s="68">
        <f>IF(OR($U51=0,$F51&lt;&gt;2),0,IF(HD51&gt;0,HD51,IF(ROUND(DF51*$J51,6)&lt;ROUND($M51,6),DF51,0)))</f>
        <v/>
      </c>
      <c r="HF51" s="68">
        <f>IF(OR($U51=0,$F51&lt;&gt;2),0,IF(HE51&gt;0,HE51,IF(ROUND(DG51*$J51,6)&lt;ROUND($M51,6),DG51,0)))</f>
        <v/>
      </c>
      <c r="HG51" s="68">
        <f>IF(OR($U51=0,$F51&lt;&gt;2),0,IF(HF51&gt;0,HF51,IF(ROUND(DH51*$J51,6)&lt;ROUND($M51,6),DH51,0)))</f>
        <v/>
      </c>
      <c r="HH51" s="68">
        <f>IF(OR($U51=0,$F51&lt;&gt;2),0,IF(HG51&gt;0,HG51,IF(ROUND(DI51*$J51,6)&lt;ROUND($M51,6),DI51,0)))</f>
        <v/>
      </c>
      <c r="HI51" s="68">
        <f>IF(OR($U51=0,$F51&lt;&gt;2),0,IF(HH51&gt;0,HH51,IF(ROUND(DJ51*$J51,6)&lt;ROUND($M51,6),DJ51,0)))</f>
        <v/>
      </c>
      <c r="HJ51" s="68">
        <f>IF(OR($U51=0,$F51&lt;&gt;2),0,IF(HI51&gt;0,HI51,IF(ROUND(DK51*$J51,6)&lt;ROUND($M51,6),DK51,0)))</f>
        <v/>
      </c>
      <c r="HK51" s="68">
        <f>IF(OR($U51=0,$F51&lt;&gt;2),0,IF(HJ51&gt;0,HJ51,IF(ROUND(DL51*$J51,6)&lt;ROUND($M51,6),DL51,0)))</f>
        <v/>
      </c>
      <c r="HL51" s="68">
        <f>IF(OR($U51=0,$F51&lt;&gt;2),0,IF(HK51&gt;0,HK51,IF(ROUND(DM51*$J51,6)&lt;ROUND($M51,6),DM51,0)))</f>
        <v/>
      </c>
      <c r="HM51" s="68">
        <f>IF(OR($U51=0,$F51&lt;&gt;2),0,IF(HL51&gt;0,HL51,IF(ROUND(DN51*$J51,6)&lt;ROUND($M51,6),DN51,0)))</f>
        <v/>
      </c>
      <c r="HN51" s="68">
        <f>IF(OR($U51=0,$F51&lt;&gt;2),0,IF(HM51&gt;0,HM51,IF(ROUND(DO51*$J51,6)&lt;ROUND($M51,6),DO51,0)))</f>
        <v/>
      </c>
      <c r="HO51" s="68">
        <f>IF(OR($U51=0,$F51&lt;&gt;2),0,IF(HN51&gt;0,HN51,IF(ROUND(DP51*$J51,6)&lt;ROUND($M51,6),DP51,0)))</f>
        <v/>
      </c>
      <c r="HP51" s="68">
        <f>IF(OR($U51=0,$F51&lt;&gt;2),0,IF(HO51&gt;0,HO51,IF(ROUND(DQ51*$J51,6)&lt;ROUND($M51,6),DQ51,0)))</f>
        <v/>
      </c>
      <c r="HQ51" s="68">
        <f>IF(OR($U51=0,$F51&lt;&gt;2),0,IF(HP51&gt;0,HP51,IF(ROUND(DR51*$J51,6)&lt;ROUND($M51,6),DR51,0)))</f>
        <v/>
      </c>
      <c r="HR51" s="68">
        <f>IF(OR($U51=0,$F51&lt;&gt;2),0,IF(HQ51&gt;0,HQ51,IF(ROUND(DS51*$J51,6)&lt;ROUND($M51,6),DS51,0)))</f>
        <v/>
      </c>
      <c r="HS51" s="68">
        <f>IF(OR($U51=0,$F51&lt;&gt;2),0,IF(HR51&gt;0,HR51,IF(ROUND(DT51*$J51,6)&lt;ROUND($M51,6),DT51,0)))</f>
        <v/>
      </c>
      <c r="HT51" s="68">
        <f>IF(OR($U51=0,$F51&lt;&gt;2),0,IF(HS51&gt;0,HS51,IF(ROUND(DU51*$J51,6)&lt;ROUND($M51,6),DU51,0)))</f>
        <v/>
      </c>
      <c r="HU51" s="68">
        <f>IF(OR($U51=0,$F51&lt;&gt;2),0,IF(HT51&gt;0,HT51,IF(ROUND(DV51*$J51,6)&lt;ROUND($M51,6),DV51,0)))</f>
        <v/>
      </c>
      <c r="HV51" s="68">
        <f>IF(OR($U51=0,$F51&lt;&gt;2),0,IF(HU51&gt;0,HU51,IF(ROUND(DW51*$J51,6)&lt;ROUND($M51,6),DW51,0)))</f>
        <v/>
      </c>
      <c r="HW51" s="68">
        <f>IF(OR($U51=0,$F51&lt;&gt;2),0,IF(HV51&gt;0,HV51,IF(ROUND(DX51*$J51,6)&lt;ROUND($M51,6),DX51,0)))</f>
        <v/>
      </c>
      <c r="HX51" s="68">
        <f>IF(OR($U51=0,$F51&lt;&gt;2),0,IF(HW51&gt;0,HW51,IF(ROUND(DY51*$J51,6)&lt;ROUND($M51,6),DY51,0)))</f>
        <v/>
      </c>
      <c r="HY51" s="68">
        <f>IF(OR($U51=0,$F51&lt;&gt;2),0,IF(HX51&gt;0,HX51,IF(ROUND(DZ51*$J51,6)&lt;ROUND($M51,6),DZ51,0)))</f>
        <v/>
      </c>
      <c r="HZ51" s="68">
        <f>IF(OR($U51=0,$F51&lt;&gt;2),0,IF(HY51&gt;0,HY51,IF(ROUND(EA51*$J51,6)&lt;ROUND($M51,6),EA51,0)))</f>
        <v/>
      </c>
      <c r="IA51" s="68">
        <f>IF(OR($U51=0,$F51&lt;&gt;2),0,IF(HZ51&gt;0,HZ51,IF(ROUND(EB51*$J51,6)&lt;ROUND($M51,6),EB51,0)))</f>
        <v/>
      </c>
      <c r="IB51" s="68">
        <f>IF(OR($U51=0,$F51&lt;&gt;2),0,IF(IA51&gt;0,IA51,IF(ROUND(EC51*$J51,6)&lt;ROUND($M51,6),EC51,0)))</f>
        <v/>
      </c>
      <c r="IC51" s="68">
        <f>IF(OR($U51=0,$F51&lt;&gt;2),0,IF(IB51&gt;0,IB51,IF(ROUND(ED51*$J51,6)&lt;ROUND($M51,6),ED51,0)))</f>
        <v/>
      </c>
      <c r="ID51" s="68">
        <f>IF(OR($U51=0,$F51&lt;&gt;2),0,IF(IC51&gt;0,IC51,IF(ROUND(EE51*$J51,6)&lt;ROUND($M51,6),EE51,0)))</f>
        <v/>
      </c>
      <c r="IE51" s="68">
        <f>IF(OR($U51=0,$F51&lt;&gt;2),0,IF(ID51&gt;0,ID51,IF(ROUND(EF51*$J51,6)&lt;ROUND($M51,6),EF51,0)))</f>
        <v/>
      </c>
      <c r="IF51" s="68">
        <f>IF(OR($U51=0,$F51&lt;&gt;2),0,IF(IE51&gt;0,IE51,IF(ROUND(EG51*$J51,6)&lt;ROUND($M51,6),EG51,0)))</f>
        <v/>
      </c>
      <c r="IG51" s="68">
        <f>IF(OR($U51=0,$F51&lt;&gt;2),0,IF(IF51&gt;0,IF51,IF(ROUND(EH51*$J51,6)&lt;ROUND($M51,6),EH51,0)))</f>
        <v/>
      </c>
      <c r="IH51" s="68">
        <f>IF(OR($U51=0,$F51&lt;&gt;2),0,IF(IG51&gt;0,IG51,IF(ROUND(EI51*$J51,6)&lt;ROUND($M51,6),EI51,0)))</f>
        <v/>
      </c>
      <c r="II51" s="68">
        <f>IF(OR($U51=0,$F51&lt;&gt;2),0,IF(IH51&gt;0,IH51,IF(ROUND(EJ51*$J51,6)&lt;ROUND($M51,6),EJ51,0)))</f>
        <v/>
      </c>
      <c r="IJ51" s="68">
        <f>IF(OR($U51=0,$F51&lt;&gt;2),0,IF(II51&gt;0,II51,IF(ROUND(EK51*$J51,6)&lt;ROUND($M51,6),EK51,0)))</f>
        <v/>
      </c>
      <c r="IK51" s="68">
        <f>IF(OR($U51=0,$F51&lt;&gt;2),0,IF(IJ51&gt;0,IJ51,IF(ROUND(EL51*$J51,6)&lt;ROUND($M51,6),EL51,0)))</f>
        <v/>
      </c>
      <c r="IL51" s="68">
        <f>IF(OR($U51=0,$F51&lt;&gt;2),0,IF(IK51&gt;0,IK51,IF(ROUND(EM51*$J51,6)&lt;ROUND($M51,6),EM51,0)))</f>
        <v/>
      </c>
      <c r="IM51" s="68">
        <f>IF(OR($U51=0,$F51&lt;&gt;2),0,IF(IL51&gt;0,IL51,IF(ROUND(EN51*$J51,6)&lt;ROUND($M51,6),EN51,0)))</f>
        <v/>
      </c>
      <c r="IN51" s="68">
        <f>IF(OR($U51=0,$F51&lt;&gt;2),0,IF(IM51&gt;0,IM51,IF(ROUND(EO51*$J51,6)&lt;ROUND($M51,6),EO51,0)))</f>
        <v/>
      </c>
    </row>
    <row r="52">
      <c r="A52" s="68" t="n">
        <v>47</v>
      </c>
      <c r="B52" s="68">
        <f>IF(OR(TRIM('固定資産台帳'!$B52)&lt;&gt;"",'固定資産台帳'!$E52&lt;&gt;"",'固定資産台帳'!$G52&lt;&gt;"",'固定資産台帳'!$H52&lt;&gt;""),1,0)</f>
        <v/>
      </c>
      <c r="C52" s="68">
        <f>IF(ISNUMBER('固定資産台帳'!$G52),MAX(ROUND('固定資産台帳'!$G52,0),0),0)</f>
        <v/>
      </c>
      <c r="D52" s="84">
        <f>IF(ISNUMBER('固定資産台帳'!$E52),INT('固定資産台帳'!$E52),0)</f>
        <v/>
      </c>
      <c r="E52" s="84">
        <f>IF(ISNUMBER('固定資産台帳'!$F52),INT('固定資産台帳'!$F52),$D52)</f>
        <v/>
      </c>
      <c r="F52" s="68">
        <f>IF('固定資産台帳'!$H52="定額法",1,IF(OR('固定資産台帳'!$H52="定率法",'固定資産台帳'!$H52="定率法（200%）",'固定資産台帳'!$H52="定率法（250%）"),2,IF('固定資産台帳'!$H52="一括償却（3年）",3,IF('固定資産台帳'!$H52="少額特例",4,0))))</f>
        <v/>
      </c>
      <c r="G52" s="68">
        <f>IF('固定資産台帳'!$H52="定率法（250%）",250,IF('固定資産台帳'!$H52="定率法（200%）",200,IF($D52&gt;=DATE(2012,4,1),200,250)))</f>
        <v/>
      </c>
      <c r="H52" s="68">
        <f>IF(ISNUMBER('固定資産台帳'!$I52),IF(AND('固定資産台帳'!$I52&gt;=2,'固定資産台帳'!$I52&lt;=100,'固定資産台帳'!$I52=INT('固定資産台帳'!$I52)),'固定資産台帳'!$I52,0),0)</f>
        <v/>
      </c>
      <c r="I52" s="68">
        <f>IF('固定資産台帳'!$C52="無形固定資産",0,1)</f>
        <v/>
      </c>
      <c r="J52" s="68">
        <f>IF(OR($H52=0,$F52=0,$F52&gt;2),0,IF($F52=1,INDEX('償却率表'!$B$6:$B$104,$H52-1),IF($G52=200,INDEX('償却率表'!$C$6:$C$104,$H52-1),INDEX('償却率表'!$F$6:$F$104,$H52-1))))</f>
        <v/>
      </c>
      <c r="K52" s="68">
        <f>IF(AND($F52=2,$H52&gt;0),IF($G52=200,INDEX('償却率表'!$D$6:$D$104,$H52-1),INDEX('償却率表'!$G$6:$G$104,$H52-1)),0)</f>
        <v/>
      </c>
      <c r="L52" s="68">
        <f>IF(AND($F52=2,$H52&gt;0),IF($G52=200,INDEX('償却率表'!$E$6:$E$104,$H52-1),INDEX('償却率表'!$H$6:$H$104,$H52-1)),0)</f>
        <v/>
      </c>
      <c r="M52" s="68">
        <f>$C52*$L52</f>
        <v/>
      </c>
      <c r="N52" s="68">
        <f>IF($B$1=1,1,IF('固定資産台帳'!$J52="",1,IF(ISNUMBER('固定資産台帳'!$J52),IF(AND('固定資産台帳'!$J52&gt;0,'固定資産台帳'!$J52&lt;=1),'固定資産台帳'!$J52,0),0)))</f>
        <v/>
      </c>
      <c r="O52" s="68">
        <f>IF($E52=0,0,YEAR($E52)-IF(MONTH($E52)&lt;$B$2,1,0))</f>
        <v/>
      </c>
      <c r="P52" s="68">
        <f>IF($E52=0,0,12-MOD(MONTH($E52)-$B$2,12))</f>
        <v/>
      </c>
      <c r="Q52" s="84">
        <f>IF(ISNUMBER('固定資産台帳'!$K52),INT('固定資産台帳'!$K52),0)</f>
        <v/>
      </c>
      <c r="R52" s="68">
        <f>IF(OR($Q52=0,$E52=0),999,YEAR($Q52)-IF(MONTH($Q52)&lt;$B$2,1,0)-$O52)</f>
        <v/>
      </c>
      <c r="S52" s="68">
        <f>IF($R52=999,0,MOD(MONTH($Q52)-$B$2,12)+1-IF($R52=0,12-$P52,0))</f>
        <v/>
      </c>
      <c r="T52" s="68">
        <f>IF($B52=0,0,IF($C52&lt;=0,1,IF($D52=0,2,IF($F52=0,3,IF(AND($F52&lt;=2,$H52=0),4,IF(AND($F52&lt;=2,$D52&lt;DATE(2007,4,1)),5,IF($E52&lt;$D52,6,IF(AND($Q52&gt;0,$Q52&lt;$E52),7,IF($N52=0,8,IF($B$3=0,9,0))))))))))</f>
        <v/>
      </c>
      <c r="U52" s="68">
        <f>IF(AND($B52=1,$T52=0),1,0)</f>
        <v/>
      </c>
      <c r="V52" s="68">
        <f>$B$3-$O52</f>
        <v/>
      </c>
      <c r="W52" s="68">
        <f>IF(AND($U52=1,$V52&gt;=0),1,0)</f>
        <v/>
      </c>
      <c r="X52" s="68">
        <f>IF($W52=0,0,IF($V52=0,$C52,INDEX($AS52:$EP52,MIN($V52,102))))</f>
        <v/>
      </c>
      <c r="Y52" s="68">
        <f>IF($W52=0,0,INDEX($AS52:$EP52,MIN($V52,101)+1))</f>
        <v/>
      </c>
      <c r="Z52" s="68">
        <f>$X52-$Y52</f>
        <v/>
      </c>
      <c r="AA52" s="68">
        <f>IF(AND($W52=1,$F52=2,$V52&gt;=1),INDEX($ER52:$IN52,MIN($V52,101)),0)</f>
        <v/>
      </c>
      <c r="AB52" s="68">
        <f>IF(OR($W52=0,$F52&gt;2,$Z52=0),0,IF($V52=0,IF($R52=0,$S52,$P52),IF($V52=$R52,$S52,12)))</f>
        <v/>
      </c>
      <c r="AC52" s="68">
        <f>IF($W52=0,0,INT(ROUND($Z52*$N52,6)+$B$4))</f>
        <v/>
      </c>
      <c r="AD52" s="68">
        <f>IF(AND($W52=1,$F52&lt;=2,$V52=$R52),1,0)</f>
        <v/>
      </c>
      <c r="AE52" s="68">
        <f>IF(AND($W52=1,$F52&lt;=2,$V52&gt;$R52),1,0)</f>
        <v/>
      </c>
      <c r="AF52" s="68">
        <f>IF(AND($W52=1,$AE52=0,OR($Z52&gt;0,$AD52=1)),1,0)</f>
        <v/>
      </c>
      <c r="AG52" s="68">
        <f>IF($AF52=1,SUM($AF$6:$AF52),0)</f>
        <v/>
      </c>
      <c r="AH52" s="68">
        <f>IF($T52=0,"",CHOOSE($T52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52" s="68">
        <f>IF(AND($F52=2,OR('固定資産台帳'!$C52="建物",'固定資産台帳'!$C52="無形固定資産",AND(OR('固定資産台帳'!$C52="建物附属設備",'固定資産台帳'!$C52="構築物"),$D52&gt;=DATE(2016,4,1)))),"この資産は定額法だけです（定率法は使えません）。","")&amp;IF(AND($F52=3,$C52&gt;=200000),"一括償却は20万円未満の資産だけです。","")&amp;IF(AND($F52=3,$B$1=0,$C52&lt;100000),"10万円未満は一括償却にせず、全額をその年の経費にします。","")&amp;IF(AND($F52=4,$C52&lt;100000),"10万円未満は少額特例ではなく、全額をその年の経費にします。","")&amp;IF(AND($F52=4,$D52&lt;DATE(2026,4,1),$C52&gt;=300000),"2026年3月31日までの取得で少額特例が使えるのは30万円未満です。","")&amp;IF(AND($F52=4,$D52&gt;=DATE(2026,4,1),$C52&gt;=400000),"少額特例は40万円未満の資産だけです。","")&amp;IF(AND($F52=4,OR($D52&lt;DATE(2006,4,1),$D52&gt;DATE(2029,3,31))),"少額特例は2006年4月1日〜2029年3月31日に取得した資産だけです。","")&amp;IF(AND($F52=2,$G52=250,$D52&gt;DATE(2012,12,31)),"250%定率法は2012年12月31日までの取得だけです。","")</f>
        <v/>
      </c>
      <c r="AJ52" s="68">
        <f>IF(AND($F52=2,'固定資産台帳'!$H52="定率法（200%）",$D52&lt;DATE(2012,4,1)),"2012年3月31日までの取得に200%を使うのは、経過措置の届出をした場合です。","")&amp;IF(AND($F52=2,'固定資産台帳'!$H52="定率法（250%）",$D52&gt;=DATE(2012,4,1),$D52&lt;=DATE(2012,12,31)),"2012年4〜12月の取得に250%を使うのは、経過措置を選んだ場合です。","")</f>
        <v/>
      </c>
      <c r="AK52" s="68">
        <f>IF($U52=0,"",IF($V52&lt;0,"表示している年より後に使い始める資産です。",IF($AE52=1,"売却・除却済みです。",IF($AD52=1,"この年に売却・除却。期末の帳簿価額 "&amp;TEXT($Y52,"#,##0")&amp;"円を帳簿から外します。",IF($F52=4,IF($V52=0,"少額特例：この年に全額を経費にします。","少額特例で経費にした資産です。"),IF($F52=3,IF($V52&gt;2,"一括償却は終わっています。","一括償却 "&amp;($V52+1)&amp;"年目（3年のうち）。"),IF($Z52=0,"償却済み（帳簿価額 "&amp;TEXT($Y52,"#,##0")&amp;"円）。",IF($AA52&gt;0,"改定償却率で計算（改定取得価額 "&amp;TEXT($AA52,"#,##0")&amp;"円）。",IF($V52=0,"この年に使い始め（"&amp;$AB52&amp;"か月分）。","")))))))))</f>
        <v/>
      </c>
      <c r="AL52" s="68">
        <f>IF(AND($U52=1,$F52=4,$V52=0),$C52,0)</f>
        <v/>
      </c>
      <c r="AM52" s="68">
        <f>IF($F52=2,INT(ROUND($M52,6)+$B$4),0)</f>
        <v/>
      </c>
      <c r="AN52" s="68">
        <f>IF($W52=0,0,IF($F52=2,IF($AA52&gt;0,$AA52,$X52),$C52))</f>
        <v/>
      </c>
      <c r="AO52" s="68">
        <f>IF($W52=0,"",IF($F52=3,"1/3",IF($F52=4,"―",IF($AA52&gt;0,$K52,$J52))))</f>
        <v/>
      </c>
      <c r="AP52" s="68" t="n"/>
      <c r="AQ52" s="68" t="n"/>
      <c r="AR52" s="68" t="n"/>
      <c r="AS52" s="68">
        <f>IF($U52=0,0,IF($F52=4,0,IF($F52=3,MAX($C52-INT(ROUND($C52/3,6)+$B$4),0),$C52-MIN(INT(ROUND($C52*$J52*IF($R52=0,$S52,$P52)/12,6)+$B$4),MAX($C52-$I52,0)))))</f>
        <v/>
      </c>
      <c r="AT52" s="68">
        <f>IF($U52=0,0,IF($F52=4,0,IF($F52=3,AS52-MIN(INT(ROUND($C52/3,6)+$B$4),AS52),IF(OR(1&gt;$R52,AS52&lt;=$I52),AS52,AS52-MIN(INT(ROUND(IF($F52=1,$C52*$J52,IF(ER52&gt;0,ER52*$K52,AS52*$J52))*IF(1=$R52,$S52,12)/12,6)+$B$4),AS52-$I52)))))</f>
        <v/>
      </c>
      <c r="AU52" s="68">
        <f>IF($U52=0,0,IF($F52=4,0,IF($F52=3,0,IF(OR(2&gt;$R52,AT52&lt;=$I52),AT52,AT52-MIN(INT(ROUND(IF($F52=1,$C52*$J52,IF(ES52&gt;0,ES52*$K52,AT52*$J52))*IF(2=$R52,$S52,12)/12,6)+$B$4),AT52-$I52)))))</f>
        <v/>
      </c>
      <c r="AV52" s="68">
        <f>IF($U52=0,0,IF($F52=4,0,IF($F52=3,0,IF(OR(3&gt;$R52,AU52&lt;=$I52),AU52,AU52-MIN(INT(ROUND(IF($F52=1,$C52*$J52,IF(ET52&gt;0,ET52*$K52,AU52*$J52))*IF(3=$R52,$S52,12)/12,6)+$B$4),AU52-$I52)))))</f>
        <v/>
      </c>
      <c r="AW52" s="68">
        <f>IF($U52=0,0,IF($F52=4,0,IF($F52=3,0,IF(OR(4&gt;$R52,AV52&lt;=$I52),AV52,AV52-MIN(INT(ROUND(IF($F52=1,$C52*$J52,IF(EU52&gt;0,EU52*$K52,AV52*$J52))*IF(4=$R52,$S52,12)/12,6)+$B$4),AV52-$I52)))))</f>
        <v/>
      </c>
      <c r="AX52" s="68">
        <f>IF($U52=0,0,IF($F52=4,0,IF($F52=3,0,IF(OR(5&gt;$R52,AW52&lt;=$I52),AW52,AW52-MIN(INT(ROUND(IF($F52=1,$C52*$J52,IF(EV52&gt;0,EV52*$K52,AW52*$J52))*IF(5=$R52,$S52,12)/12,6)+$B$4),AW52-$I52)))))</f>
        <v/>
      </c>
      <c r="AY52" s="68">
        <f>IF($U52=0,0,IF($F52=4,0,IF($F52=3,0,IF(OR(6&gt;$R52,AX52&lt;=$I52),AX52,AX52-MIN(INT(ROUND(IF($F52=1,$C52*$J52,IF(EW52&gt;0,EW52*$K52,AX52*$J52))*IF(6=$R52,$S52,12)/12,6)+$B$4),AX52-$I52)))))</f>
        <v/>
      </c>
      <c r="AZ52" s="68">
        <f>IF($U52=0,0,IF($F52=4,0,IF($F52=3,0,IF(OR(7&gt;$R52,AY52&lt;=$I52),AY52,AY52-MIN(INT(ROUND(IF($F52=1,$C52*$J52,IF(EX52&gt;0,EX52*$K52,AY52*$J52))*IF(7=$R52,$S52,12)/12,6)+$B$4),AY52-$I52)))))</f>
        <v/>
      </c>
      <c r="BA52" s="68">
        <f>IF($U52=0,0,IF($F52=4,0,IF($F52=3,0,IF(OR(8&gt;$R52,AZ52&lt;=$I52),AZ52,AZ52-MIN(INT(ROUND(IF($F52=1,$C52*$J52,IF(EY52&gt;0,EY52*$K52,AZ52*$J52))*IF(8=$R52,$S52,12)/12,6)+$B$4),AZ52-$I52)))))</f>
        <v/>
      </c>
      <c r="BB52" s="68">
        <f>IF($U52=0,0,IF($F52=4,0,IF($F52=3,0,IF(OR(9&gt;$R52,BA52&lt;=$I52),BA52,BA52-MIN(INT(ROUND(IF($F52=1,$C52*$J52,IF(EZ52&gt;0,EZ52*$K52,BA52*$J52))*IF(9=$R52,$S52,12)/12,6)+$B$4),BA52-$I52)))))</f>
        <v/>
      </c>
      <c r="BC52" s="68">
        <f>IF($U52=0,0,IF($F52=4,0,IF($F52=3,0,IF(OR(10&gt;$R52,BB52&lt;=$I52),BB52,BB52-MIN(INT(ROUND(IF($F52=1,$C52*$J52,IF(FA52&gt;0,FA52*$K52,BB52*$J52))*IF(10=$R52,$S52,12)/12,6)+$B$4),BB52-$I52)))))</f>
        <v/>
      </c>
      <c r="BD52" s="68">
        <f>IF($U52=0,0,IF($F52=4,0,IF($F52=3,0,IF(OR(11&gt;$R52,BC52&lt;=$I52),BC52,BC52-MIN(INT(ROUND(IF($F52=1,$C52*$J52,IF(FB52&gt;0,FB52*$K52,BC52*$J52))*IF(11=$R52,$S52,12)/12,6)+$B$4),BC52-$I52)))))</f>
        <v/>
      </c>
      <c r="BE52" s="68">
        <f>IF($U52=0,0,IF($F52=4,0,IF($F52=3,0,IF(OR(12&gt;$R52,BD52&lt;=$I52),BD52,BD52-MIN(INT(ROUND(IF($F52=1,$C52*$J52,IF(FC52&gt;0,FC52*$K52,BD52*$J52))*IF(12=$R52,$S52,12)/12,6)+$B$4),BD52-$I52)))))</f>
        <v/>
      </c>
      <c r="BF52" s="68">
        <f>IF($U52=0,0,IF($F52=4,0,IF($F52=3,0,IF(OR(13&gt;$R52,BE52&lt;=$I52),BE52,BE52-MIN(INT(ROUND(IF($F52=1,$C52*$J52,IF(FD52&gt;0,FD52*$K52,BE52*$J52))*IF(13=$R52,$S52,12)/12,6)+$B$4),BE52-$I52)))))</f>
        <v/>
      </c>
      <c r="BG52" s="68">
        <f>IF($U52=0,0,IF($F52=4,0,IF($F52=3,0,IF(OR(14&gt;$R52,BF52&lt;=$I52),BF52,BF52-MIN(INT(ROUND(IF($F52=1,$C52*$J52,IF(FE52&gt;0,FE52*$K52,BF52*$J52))*IF(14=$R52,$S52,12)/12,6)+$B$4),BF52-$I52)))))</f>
        <v/>
      </c>
      <c r="BH52" s="68">
        <f>IF($U52=0,0,IF($F52=4,0,IF($F52=3,0,IF(OR(15&gt;$R52,BG52&lt;=$I52),BG52,BG52-MIN(INT(ROUND(IF($F52=1,$C52*$J52,IF(FF52&gt;0,FF52*$K52,BG52*$J52))*IF(15=$R52,$S52,12)/12,6)+$B$4),BG52-$I52)))))</f>
        <v/>
      </c>
      <c r="BI52" s="68">
        <f>IF($U52=0,0,IF($F52=4,0,IF($F52=3,0,IF(OR(16&gt;$R52,BH52&lt;=$I52),BH52,BH52-MIN(INT(ROUND(IF($F52=1,$C52*$J52,IF(FG52&gt;0,FG52*$K52,BH52*$J52))*IF(16=$R52,$S52,12)/12,6)+$B$4),BH52-$I52)))))</f>
        <v/>
      </c>
      <c r="BJ52" s="68">
        <f>IF($U52=0,0,IF($F52=4,0,IF($F52=3,0,IF(OR(17&gt;$R52,BI52&lt;=$I52),BI52,BI52-MIN(INT(ROUND(IF($F52=1,$C52*$J52,IF(FH52&gt;0,FH52*$K52,BI52*$J52))*IF(17=$R52,$S52,12)/12,6)+$B$4),BI52-$I52)))))</f>
        <v/>
      </c>
      <c r="BK52" s="68">
        <f>IF($U52=0,0,IF($F52=4,0,IF($F52=3,0,IF(OR(18&gt;$R52,BJ52&lt;=$I52),BJ52,BJ52-MIN(INT(ROUND(IF($F52=1,$C52*$J52,IF(FI52&gt;0,FI52*$K52,BJ52*$J52))*IF(18=$R52,$S52,12)/12,6)+$B$4),BJ52-$I52)))))</f>
        <v/>
      </c>
      <c r="BL52" s="68">
        <f>IF($U52=0,0,IF($F52=4,0,IF($F52=3,0,IF(OR(19&gt;$R52,BK52&lt;=$I52),BK52,BK52-MIN(INT(ROUND(IF($F52=1,$C52*$J52,IF(FJ52&gt;0,FJ52*$K52,BK52*$J52))*IF(19=$R52,$S52,12)/12,6)+$B$4),BK52-$I52)))))</f>
        <v/>
      </c>
      <c r="BM52" s="68">
        <f>IF($U52=0,0,IF($F52=4,0,IF($F52=3,0,IF(OR(20&gt;$R52,BL52&lt;=$I52),BL52,BL52-MIN(INT(ROUND(IF($F52=1,$C52*$J52,IF(FK52&gt;0,FK52*$K52,BL52*$J52))*IF(20=$R52,$S52,12)/12,6)+$B$4),BL52-$I52)))))</f>
        <v/>
      </c>
      <c r="BN52" s="68">
        <f>IF($U52=0,0,IF($F52=4,0,IF($F52=3,0,IF(OR(21&gt;$R52,BM52&lt;=$I52),BM52,BM52-MIN(INT(ROUND(IF($F52=1,$C52*$J52,IF(FL52&gt;0,FL52*$K52,BM52*$J52))*IF(21=$R52,$S52,12)/12,6)+$B$4),BM52-$I52)))))</f>
        <v/>
      </c>
      <c r="BO52" s="68">
        <f>IF($U52=0,0,IF($F52=4,0,IF($F52=3,0,IF(OR(22&gt;$R52,BN52&lt;=$I52),BN52,BN52-MIN(INT(ROUND(IF($F52=1,$C52*$J52,IF(FM52&gt;0,FM52*$K52,BN52*$J52))*IF(22=$R52,$S52,12)/12,6)+$B$4),BN52-$I52)))))</f>
        <v/>
      </c>
      <c r="BP52" s="68">
        <f>IF($U52=0,0,IF($F52=4,0,IF($F52=3,0,IF(OR(23&gt;$R52,BO52&lt;=$I52),BO52,BO52-MIN(INT(ROUND(IF($F52=1,$C52*$J52,IF(FN52&gt;0,FN52*$K52,BO52*$J52))*IF(23=$R52,$S52,12)/12,6)+$B$4),BO52-$I52)))))</f>
        <v/>
      </c>
      <c r="BQ52" s="68">
        <f>IF($U52=0,0,IF($F52=4,0,IF($F52=3,0,IF(OR(24&gt;$R52,BP52&lt;=$I52),BP52,BP52-MIN(INT(ROUND(IF($F52=1,$C52*$J52,IF(FO52&gt;0,FO52*$K52,BP52*$J52))*IF(24=$R52,$S52,12)/12,6)+$B$4),BP52-$I52)))))</f>
        <v/>
      </c>
      <c r="BR52" s="68">
        <f>IF($U52=0,0,IF($F52=4,0,IF($F52=3,0,IF(OR(25&gt;$R52,BQ52&lt;=$I52),BQ52,BQ52-MIN(INT(ROUND(IF($F52=1,$C52*$J52,IF(FP52&gt;0,FP52*$K52,BQ52*$J52))*IF(25=$R52,$S52,12)/12,6)+$B$4),BQ52-$I52)))))</f>
        <v/>
      </c>
      <c r="BS52" s="68">
        <f>IF($U52=0,0,IF($F52=4,0,IF($F52=3,0,IF(OR(26&gt;$R52,BR52&lt;=$I52),BR52,BR52-MIN(INT(ROUND(IF($F52=1,$C52*$J52,IF(FQ52&gt;0,FQ52*$K52,BR52*$J52))*IF(26=$R52,$S52,12)/12,6)+$B$4),BR52-$I52)))))</f>
        <v/>
      </c>
      <c r="BT52" s="68">
        <f>IF($U52=0,0,IF($F52=4,0,IF($F52=3,0,IF(OR(27&gt;$R52,BS52&lt;=$I52),BS52,BS52-MIN(INT(ROUND(IF($F52=1,$C52*$J52,IF(FR52&gt;0,FR52*$K52,BS52*$J52))*IF(27=$R52,$S52,12)/12,6)+$B$4),BS52-$I52)))))</f>
        <v/>
      </c>
      <c r="BU52" s="68">
        <f>IF($U52=0,0,IF($F52=4,0,IF($F52=3,0,IF(OR(28&gt;$R52,BT52&lt;=$I52),BT52,BT52-MIN(INT(ROUND(IF($F52=1,$C52*$J52,IF(FS52&gt;0,FS52*$K52,BT52*$J52))*IF(28=$R52,$S52,12)/12,6)+$B$4),BT52-$I52)))))</f>
        <v/>
      </c>
      <c r="BV52" s="68">
        <f>IF($U52=0,0,IF($F52=4,0,IF($F52=3,0,IF(OR(29&gt;$R52,BU52&lt;=$I52),BU52,BU52-MIN(INT(ROUND(IF($F52=1,$C52*$J52,IF(FT52&gt;0,FT52*$K52,BU52*$J52))*IF(29=$R52,$S52,12)/12,6)+$B$4),BU52-$I52)))))</f>
        <v/>
      </c>
      <c r="BW52" s="68">
        <f>IF($U52=0,0,IF($F52=4,0,IF($F52=3,0,IF(OR(30&gt;$R52,BV52&lt;=$I52),BV52,BV52-MIN(INT(ROUND(IF($F52=1,$C52*$J52,IF(FU52&gt;0,FU52*$K52,BV52*$J52))*IF(30=$R52,$S52,12)/12,6)+$B$4),BV52-$I52)))))</f>
        <v/>
      </c>
      <c r="BX52" s="68">
        <f>IF($U52=0,0,IF($F52=4,0,IF($F52=3,0,IF(OR(31&gt;$R52,BW52&lt;=$I52),BW52,BW52-MIN(INT(ROUND(IF($F52=1,$C52*$J52,IF(FV52&gt;0,FV52*$K52,BW52*$J52))*IF(31=$R52,$S52,12)/12,6)+$B$4),BW52-$I52)))))</f>
        <v/>
      </c>
      <c r="BY52" s="68">
        <f>IF($U52=0,0,IF($F52=4,0,IF($F52=3,0,IF(OR(32&gt;$R52,BX52&lt;=$I52),BX52,BX52-MIN(INT(ROUND(IF($F52=1,$C52*$J52,IF(FW52&gt;0,FW52*$K52,BX52*$J52))*IF(32=$R52,$S52,12)/12,6)+$B$4),BX52-$I52)))))</f>
        <v/>
      </c>
      <c r="BZ52" s="68">
        <f>IF($U52=0,0,IF($F52=4,0,IF($F52=3,0,IF(OR(33&gt;$R52,BY52&lt;=$I52),BY52,BY52-MIN(INT(ROUND(IF($F52=1,$C52*$J52,IF(FX52&gt;0,FX52*$K52,BY52*$J52))*IF(33=$R52,$S52,12)/12,6)+$B$4),BY52-$I52)))))</f>
        <v/>
      </c>
      <c r="CA52" s="68">
        <f>IF($U52=0,0,IF($F52=4,0,IF($F52=3,0,IF(OR(34&gt;$R52,BZ52&lt;=$I52),BZ52,BZ52-MIN(INT(ROUND(IF($F52=1,$C52*$J52,IF(FY52&gt;0,FY52*$K52,BZ52*$J52))*IF(34=$R52,$S52,12)/12,6)+$B$4),BZ52-$I52)))))</f>
        <v/>
      </c>
      <c r="CB52" s="68">
        <f>IF($U52=0,0,IF($F52=4,0,IF($F52=3,0,IF(OR(35&gt;$R52,CA52&lt;=$I52),CA52,CA52-MIN(INT(ROUND(IF($F52=1,$C52*$J52,IF(FZ52&gt;0,FZ52*$K52,CA52*$J52))*IF(35=$R52,$S52,12)/12,6)+$B$4),CA52-$I52)))))</f>
        <v/>
      </c>
      <c r="CC52" s="68">
        <f>IF($U52=0,0,IF($F52=4,0,IF($F52=3,0,IF(OR(36&gt;$R52,CB52&lt;=$I52),CB52,CB52-MIN(INT(ROUND(IF($F52=1,$C52*$J52,IF(GA52&gt;0,GA52*$K52,CB52*$J52))*IF(36=$R52,$S52,12)/12,6)+$B$4),CB52-$I52)))))</f>
        <v/>
      </c>
      <c r="CD52" s="68">
        <f>IF($U52=0,0,IF($F52=4,0,IF($F52=3,0,IF(OR(37&gt;$R52,CC52&lt;=$I52),CC52,CC52-MIN(INT(ROUND(IF($F52=1,$C52*$J52,IF(GB52&gt;0,GB52*$K52,CC52*$J52))*IF(37=$R52,$S52,12)/12,6)+$B$4),CC52-$I52)))))</f>
        <v/>
      </c>
      <c r="CE52" s="68">
        <f>IF($U52=0,0,IF($F52=4,0,IF($F52=3,0,IF(OR(38&gt;$R52,CD52&lt;=$I52),CD52,CD52-MIN(INT(ROUND(IF($F52=1,$C52*$J52,IF(GC52&gt;0,GC52*$K52,CD52*$J52))*IF(38=$R52,$S52,12)/12,6)+$B$4),CD52-$I52)))))</f>
        <v/>
      </c>
      <c r="CF52" s="68">
        <f>IF($U52=0,0,IF($F52=4,0,IF($F52=3,0,IF(OR(39&gt;$R52,CE52&lt;=$I52),CE52,CE52-MIN(INT(ROUND(IF($F52=1,$C52*$J52,IF(GD52&gt;0,GD52*$K52,CE52*$J52))*IF(39=$R52,$S52,12)/12,6)+$B$4),CE52-$I52)))))</f>
        <v/>
      </c>
      <c r="CG52" s="68">
        <f>IF($U52=0,0,IF($F52=4,0,IF($F52=3,0,IF(OR(40&gt;$R52,CF52&lt;=$I52),CF52,CF52-MIN(INT(ROUND(IF($F52=1,$C52*$J52,IF(GE52&gt;0,GE52*$K52,CF52*$J52))*IF(40=$R52,$S52,12)/12,6)+$B$4),CF52-$I52)))))</f>
        <v/>
      </c>
      <c r="CH52" s="68">
        <f>IF($U52=0,0,IF($F52=4,0,IF($F52=3,0,IF(OR(41&gt;$R52,CG52&lt;=$I52),CG52,CG52-MIN(INT(ROUND(IF($F52=1,$C52*$J52,IF(GF52&gt;0,GF52*$K52,CG52*$J52))*IF(41=$R52,$S52,12)/12,6)+$B$4),CG52-$I52)))))</f>
        <v/>
      </c>
      <c r="CI52" s="68">
        <f>IF($U52=0,0,IF($F52=4,0,IF($F52=3,0,IF(OR(42&gt;$R52,CH52&lt;=$I52),CH52,CH52-MIN(INT(ROUND(IF($F52=1,$C52*$J52,IF(GG52&gt;0,GG52*$K52,CH52*$J52))*IF(42=$R52,$S52,12)/12,6)+$B$4),CH52-$I52)))))</f>
        <v/>
      </c>
      <c r="CJ52" s="68">
        <f>IF($U52=0,0,IF($F52=4,0,IF($F52=3,0,IF(OR(43&gt;$R52,CI52&lt;=$I52),CI52,CI52-MIN(INT(ROUND(IF($F52=1,$C52*$J52,IF(GH52&gt;0,GH52*$K52,CI52*$J52))*IF(43=$R52,$S52,12)/12,6)+$B$4),CI52-$I52)))))</f>
        <v/>
      </c>
      <c r="CK52" s="68">
        <f>IF($U52=0,0,IF($F52=4,0,IF($F52=3,0,IF(OR(44&gt;$R52,CJ52&lt;=$I52),CJ52,CJ52-MIN(INT(ROUND(IF($F52=1,$C52*$J52,IF(GI52&gt;0,GI52*$K52,CJ52*$J52))*IF(44=$R52,$S52,12)/12,6)+$B$4),CJ52-$I52)))))</f>
        <v/>
      </c>
      <c r="CL52" s="68">
        <f>IF($U52=0,0,IF($F52=4,0,IF($F52=3,0,IF(OR(45&gt;$R52,CK52&lt;=$I52),CK52,CK52-MIN(INT(ROUND(IF($F52=1,$C52*$J52,IF(GJ52&gt;0,GJ52*$K52,CK52*$J52))*IF(45=$R52,$S52,12)/12,6)+$B$4),CK52-$I52)))))</f>
        <v/>
      </c>
      <c r="CM52" s="68">
        <f>IF($U52=0,0,IF($F52=4,0,IF($F52=3,0,IF(OR(46&gt;$R52,CL52&lt;=$I52),CL52,CL52-MIN(INT(ROUND(IF($F52=1,$C52*$J52,IF(GK52&gt;0,GK52*$K52,CL52*$J52))*IF(46=$R52,$S52,12)/12,6)+$B$4),CL52-$I52)))))</f>
        <v/>
      </c>
      <c r="CN52" s="68">
        <f>IF($U52=0,0,IF($F52=4,0,IF($F52=3,0,IF(OR(47&gt;$R52,CM52&lt;=$I52),CM52,CM52-MIN(INT(ROUND(IF($F52=1,$C52*$J52,IF(GL52&gt;0,GL52*$K52,CM52*$J52))*IF(47=$R52,$S52,12)/12,6)+$B$4),CM52-$I52)))))</f>
        <v/>
      </c>
      <c r="CO52" s="68">
        <f>IF($U52=0,0,IF($F52=4,0,IF($F52=3,0,IF(OR(48&gt;$R52,CN52&lt;=$I52),CN52,CN52-MIN(INT(ROUND(IF($F52=1,$C52*$J52,IF(GM52&gt;0,GM52*$K52,CN52*$J52))*IF(48=$R52,$S52,12)/12,6)+$B$4),CN52-$I52)))))</f>
        <v/>
      </c>
      <c r="CP52" s="68">
        <f>IF($U52=0,0,IF($F52=4,0,IF($F52=3,0,IF(OR(49&gt;$R52,CO52&lt;=$I52),CO52,CO52-MIN(INT(ROUND(IF($F52=1,$C52*$J52,IF(GN52&gt;0,GN52*$K52,CO52*$J52))*IF(49=$R52,$S52,12)/12,6)+$B$4),CO52-$I52)))))</f>
        <v/>
      </c>
      <c r="CQ52" s="68">
        <f>IF($U52=0,0,IF($F52=4,0,IF($F52=3,0,IF(OR(50&gt;$R52,CP52&lt;=$I52),CP52,CP52-MIN(INT(ROUND(IF($F52=1,$C52*$J52,IF(GO52&gt;0,GO52*$K52,CP52*$J52))*IF(50=$R52,$S52,12)/12,6)+$B$4),CP52-$I52)))))</f>
        <v/>
      </c>
      <c r="CR52" s="68">
        <f>IF($U52=0,0,IF($F52=4,0,IF($F52=3,0,IF(OR(51&gt;$R52,CQ52&lt;=$I52),CQ52,CQ52-MIN(INT(ROUND(IF($F52=1,$C52*$J52,IF(GP52&gt;0,GP52*$K52,CQ52*$J52))*IF(51=$R52,$S52,12)/12,6)+$B$4),CQ52-$I52)))))</f>
        <v/>
      </c>
      <c r="CS52" s="68">
        <f>IF($U52=0,0,IF($F52=4,0,IF($F52=3,0,IF(OR(52&gt;$R52,CR52&lt;=$I52),CR52,CR52-MIN(INT(ROUND(IF($F52=1,$C52*$J52,IF(GQ52&gt;0,GQ52*$K52,CR52*$J52))*IF(52=$R52,$S52,12)/12,6)+$B$4),CR52-$I52)))))</f>
        <v/>
      </c>
      <c r="CT52" s="68">
        <f>IF($U52=0,0,IF($F52=4,0,IF($F52=3,0,IF(OR(53&gt;$R52,CS52&lt;=$I52),CS52,CS52-MIN(INT(ROUND(IF($F52=1,$C52*$J52,IF(GR52&gt;0,GR52*$K52,CS52*$J52))*IF(53=$R52,$S52,12)/12,6)+$B$4),CS52-$I52)))))</f>
        <v/>
      </c>
      <c r="CU52" s="68">
        <f>IF($U52=0,0,IF($F52=4,0,IF($F52=3,0,IF(OR(54&gt;$R52,CT52&lt;=$I52),CT52,CT52-MIN(INT(ROUND(IF($F52=1,$C52*$J52,IF(GS52&gt;0,GS52*$K52,CT52*$J52))*IF(54=$R52,$S52,12)/12,6)+$B$4),CT52-$I52)))))</f>
        <v/>
      </c>
      <c r="CV52" s="68">
        <f>IF($U52=0,0,IF($F52=4,0,IF($F52=3,0,IF(OR(55&gt;$R52,CU52&lt;=$I52),CU52,CU52-MIN(INT(ROUND(IF($F52=1,$C52*$J52,IF(GT52&gt;0,GT52*$K52,CU52*$J52))*IF(55=$R52,$S52,12)/12,6)+$B$4),CU52-$I52)))))</f>
        <v/>
      </c>
      <c r="CW52" s="68">
        <f>IF($U52=0,0,IF($F52=4,0,IF($F52=3,0,IF(OR(56&gt;$R52,CV52&lt;=$I52),CV52,CV52-MIN(INT(ROUND(IF($F52=1,$C52*$J52,IF(GU52&gt;0,GU52*$K52,CV52*$J52))*IF(56=$R52,$S52,12)/12,6)+$B$4),CV52-$I52)))))</f>
        <v/>
      </c>
      <c r="CX52" s="68">
        <f>IF($U52=0,0,IF($F52=4,0,IF($F52=3,0,IF(OR(57&gt;$R52,CW52&lt;=$I52),CW52,CW52-MIN(INT(ROUND(IF($F52=1,$C52*$J52,IF(GV52&gt;0,GV52*$K52,CW52*$J52))*IF(57=$R52,$S52,12)/12,6)+$B$4),CW52-$I52)))))</f>
        <v/>
      </c>
      <c r="CY52" s="68">
        <f>IF($U52=0,0,IF($F52=4,0,IF($F52=3,0,IF(OR(58&gt;$R52,CX52&lt;=$I52),CX52,CX52-MIN(INT(ROUND(IF($F52=1,$C52*$J52,IF(GW52&gt;0,GW52*$K52,CX52*$J52))*IF(58=$R52,$S52,12)/12,6)+$B$4),CX52-$I52)))))</f>
        <v/>
      </c>
      <c r="CZ52" s="68">
        <f>IF($U52=0,0,IF($F52=4,0,IF($F52=3,0,IF(OR(59&gt;$R52,CY52&lt;=$I52),CY52,CY52-MIN(INT(ROUND(IF($F52=1,$C52*$J52,IF(GX52&gt;0,GX52*$K52,CY52*$J52))*IF(59=$R52,$S52,12)/12,6)+$B$4),CY52-$I52)))))</f>
        <v/>
      </c>
      <c r="DA52" s="68">
        <f>IF($U52=0,0,IF($F52=4,0,IF($F52=3,0,IF(OR(60&gt;$R52,CZ52&lt;=$I52),CZ52,CZ52-MIN(INT(ROUND(IF($F52=1,$C52*$J52,IF(GY52&gt;0,GY52*$K52,CZ52*$J52))*IF(60=$R52,$S52,12)/12,6)+$B$4),CZ52-$I52)))))</f>
        <v/>
      </c>
      <c r="DB52" s="68">
        <f>IF($U52=0,0,IF($F52=4,0,IF($F52=3,0,IF(OR(61&gt;$R52,DA52&lt;=$I52),DA52,DA52-MIN(INT(ROUND(IF($F52=1,$C52*$J52,IF(GZ52&gt;0,GZ52*$K52,DA52*$J52))*IF(61=$R52,$S52,12)/12,6)+$B$4),DA52-$I52)))))</f>
        <v/>
      </c>
      <c r="DC52" s="68">
        <f>IF($U52=0,0,IF($F52=4,0,IF($F52=3,0,IF(OR(62&gt;$R52,DB52&lt;=$I52),DB52,DB52-MIN(INT(ROUND(IF($F52=1,$C52*$J52,IF(HA52&gt;0,HA52*$K52,DB52*$J52))*IF(62=$R52,$S52,12)/12,6)+$B$4),DB52-$I52)))))</f>
        <v/>
      </c>
      <c r="DD52" s="68">
        <f>IF($U52=0,0,IF($F52=4,0,IF($F52=3,0,IF(OR(63&gt;$R52,DC52&lt;=$I52),DC52,DC52-MIN(INT(ROUND(IF($F52=1,$C52*$J52,IF(HB52&gt;0,HB52*$K52,DC52*$J52))*IF(63=$R52,$S52,12)/12,6)+$B$4),DC52-$I52)))))</f>
        <v/>
      </c>
      <c r="DE52" s="68">
        <f>IF($U52=0,0,IF($F52=4,0,IF($F52=3,0,IF(OR(64&gt;$R52,DD52&lt;=$I52),DD52,DD52-MIN(INT(ROUND(IF($F52=1,$C52*$J52,IF(HC52&gt;0,HC52*$K52,DD52*$J52))*IF(64=$R52,$S52,12)/12,6)+$B$4),DD52-$I52)))))</f>
        <v/>
      </c>
      <c r="DF52" s="68">
        <f>IF($U52=0,0,IF($F52=4,0,IF($F52=3,0,IF(OR(65&gt;$R52,DE52&lt;=$I52),DE52,DE52-MIN(INT(ROUND(IF($F52=1,$C52*$J52,IF(HD52&gt;0,HD52*$K52,DE52*$J52))*IF(65=$R52,$S52,12)/12,6)+$B$4),DE52-$I52)))))</f>
        <v/>
      </c>
      <c r="DG52" s="68">
        <f>IF($U52=0,0,IF($F52=4,0,IF($F52=3,0,IF(OR(66&gt;$R52,DF52&lt;=$I52),DF52,DF52-MIN(INT(ROUND(IF($F52=1,$C52*$J52,IF(HE52&gt;0,HE52*$K52,DF52*$J52))*IF(66=$R52,$S52,12)/12,6)+$B$4),DF52-$I52)))))</f>
        <v/>
      </c>
      <c r="DH52" s="68">
        <f>IF($U52=0,0,IF($F52=4,0,IF($F52=3,0,IF(OR(67&gt;$R52,DG52&lt;=$I52),DG52,DG52-MIN(INT(ROUND(IF($F52=1,$C52*$J52,IF(HF52&gt;0,HF52*$K52,DG52*$J52))*IF(67=$R52,$S52,12)/12,6)+$B$4),DG52-$I52)))))</f>
        <v/>
      </c>
      <c r="DI52" s="68">
        <f>IF($U52=0,0,IF($F52=4,0,IF($F52=3,0,IF(OR(68&gt;$R52,DH52&lt;=$I52),DH52,DH52-MIN(INT(ROUND(IF($F52=1,$C52*$J52,IF(HG52&gt;0,HG52*$K52,DH52*$J52))*IF(68=$R52,$S52,12)/12,6)+$B$4),DH52-$I52)))))</f>
        <v/>
      </c>
      <c r="DJ52" s="68">
        <f>IF($U52=0,0,IF($F52=4,0,IF($F52=3,0,IF(OR(69&gt;$R52,DI52&lt;=$I52),DI52,DI52-MIN(INT(ROUND(IF($F52=1,$C52*$J52,IF(HH52&gt;0,HH52*$K52,DI52*$J52))*IF(69=$R52,$S52,12)/12,6)+$B$4),DI52-$I52)))))</f>
        <v/>
      </c>
      <c r="DK52" s="68">
        <f>IF($U52=0,0,IF($F52=4,0,IF($F52=3,0,IF(OR(70&gt;$R52,DJ52&lt;=$I52),DJ52,DJ52-MIN(INT(ROUND(IF($F52=1,$C52*$J52,IF(HI52&gt;0,HI52*$K52,DJ52*$J52))*IF(70=$R52,$S52,12)/12,6)+$B$4),DJ52-$I52)))))</f>
        <v/>
      </c>
      <c r="DL52" s="68">
        <f>IF($U52=0,0,IF($F52=4,0,IF($F52=3,0,IF(OR(71&gt;$R52,DK52&lt;=$I52),DK52,DK52-MIN(INT(ROUND(IF($F52=1,$C52*$J52,IF(HJ52&gt;0,HJ52*$K52,DK52*$J52))*IF(71=$R52,$S52,12)/12,6)+$B$4),DK52-$I52)))))</f>
        <v/>
      </c>
      <c r="DM52" s="68">
        <f>IF($U52=0,0,IF($F52=4,0,IF($F52=3,0,IF(OR(72&gt;$R52,DL52&lt;=$I52),DL52,DL52-MIN(INT(ROUND(IF($F52=1,$C52*$J52,IF(HK52&gt;0,HK52*$K52,DL52*$J52))*IF(72=$R52,$S52,12)/12,6)+$B$4),DL52-$I52)))))</f>
        <v/>
      </c>
      <c r="DN52" s="68">
        <f>IF($U52=0,0,IF($F52=4,0,IF($F52=3,0,IF(OR(73&gt;$R52,DM52&lt;=$I52),DM52,DM52-MIN(INT(ROUND(IF($F52=1,$C52*$J52,IF(HL52&gt;0,HL52*$K52,DM52*$J52))*IF(73=$R52,$S52,12)/12,6)+$B$4),DM52-$I52)))))</f>
        <v/>
      </c>
      <c r="DO52" s="68">
        <f>IF($U52=0,0,IF($F52=4,0,IF($F52=3,0,IF(OR(74&gt;$R52,DN52&lt;=$I52),DN52,DN52-MIN(INT(ROUND(IF($F52=1,$C52*$J52,IF(HM52&gt;0,HM52*$K52,DN52*$J52))*IF(74=$R52,$S52,12)/12,6)+$B$4),DN52-$I52)))))</f>
        <v/>
      </c>
      <c r="DP52" s="68">
        <f>IF($U52=0,0,IF($F52=4,0,IF($F52=3,0,IF(OR(75&gt;$R52,DO52&lt;=$I52),DO52,DO52-MIN(INT(ROUND(IF($F52=1,$C52*$J52,IF(HN52&gt;0,HN52*$K52,DO52*$J52))*IF(75=$R52,$S52,12)/12,6)+$B$4),DO52-$I52)))))</f>
        <v/>
      </c>
      <c r="DQ52" s="68">
        <f>IF($U52=0,0,IF($F52=4,0,IF($F52=3,0,IF(OR(76&gt;$R52,DP52&lt;=$I52),DP52,DP52-MIN(INT(ROUND(IF($F52=1,$C52*$J52,IF(HO52&gt;0,HO52*$K52,DP52*$J52))*IF(76=$R52,$S52,12)/12,6)+$B$4),DP52-$I52)))))</f>
        <v/>
      </c>
      <c r="DR52" s="68">
        <f>IF($U52=0,0,IF($F52=4,0,IF($F52=3,0,IF(OR(77&gt;$R52,DQ52&lt;=$I52),DQ52,DQ52-MIN(INT(ROUND(IF($F52=1,$C52*$J52,IF(HP52&gt;0,HP52*$K52,DQ52*$J52))*IF(77=$R52,$S52,12)/12,6)+$B$4),DQ52-$I52)))))</f>
        <v/>
      </c>
      <c r="DS52" s="68">
        <f>IF($U52=0,0,IF($F52=4,0,IF($F52=3,0,IF(OR(78&gt;$R52,DR52&lt;=$I52),DR52,DR52-MIN(INT(ROUND(IF($F52=1,$C52*$J52,IF(HQ52&gt;0,HQ52*$K52,DR52*$J52))*IF(78=$R52,$S52,12)/12,6)+$B$4),DR52-$I52)))))</f>
        <v/>
      </c>
      <c r="DT52" s="68">
        <f>IF($U52=0,0,IF($F52=4,0,IF($F52=3,0,IF(OR(79&gt;$R52,DS52&lt;=$I52),DS52,DS52-MIN(INT(ROUND(IF($F52=1,$C52*$J52,IF(HR52&gt;0,HR52*$K52,DS52*$J52))*IF(79=$R52,$S52,12)/12,6)+$B$4),DS52-$I52)))))</f>
        <v/>
      </c>
      <c r="DU52" s="68">
        <f>IF($U52=0,0,IF($F52=4,0,IF($F52=3,0,IF(OR(80&gt;$R52,DT52&lt;=$I52),DT52,DT52-MIN(INT(ROUND(IF($F52=1,$C52*$J52,IF(HS52&gt;0,HS52*$K52,DT52*$J52))*IF(80=$R52,$S52,12)/12,6)+$B$4),DT52-$I52)))))</f>
        <v/>
      </c>
      <c r="DV52" s="68">
        <f>IF($U52=0,0,IF($F52=4,0,IF($F52=3,0,IF(OR(81&gt;$R52,DU52&lt;=$I52),DU52,DU52-MIN(INT(ROUND(IF($F52=1,$C52*$J52,IF(HT52&gt;0,HT52*$K52,DU52*$J52))*IF(81=$R52,$S52,12)/12,6)+$B$4),DU52-$I52)))))</f>
        <v/>
      </c>
      <c r="DW52" s="68">
        <f>IF($U52=0,0,IF($F52=4,0,IF($F52=3,0,IF(OR(82&gt;$R52,DV52&lt;=$I52),DV52,DV52-MIN(INT(ROUND(IF($F52=1,$C52*$J52,IF(HU52&gt;0,HU52*$K52,DV52*$J52))*IF(82=$R52,$S52,12)/12,6)+$B$4),DV52-$I52)))))</f>
        <v/>
      </c>
      <c r="DX52" s="68">
        <f>IF($U52=0,0,IF($F52=4,0,IF($F52=3,0,IF(OR(83&gt;$R52,DW52&lt;=$I52),DW52,DW52-MIN(INT(ROUND(IF($F52=1,$C52*$J52,IF(HV52&gt;0,HV52*$K52,DW52*$J52))*IF(83=$R52,$S52,12)/12,6)+$B$4),DW52-$I52)))))</f>
        <v/>
      </c>
      <c r="DY52" s="68">
        <f>IF($U52=0,0,IF($F52=4,0,IF($F52=3,0,IF(OR(84&gt;$R52,DX52&lt;=$I52),DX52,DX52-MIN(INT(ROUND(IF($F52=1,$C52*$J52,IF(HW52&gt;0,HW52*$K52,DX52*$J52))*IF(84=$R52,$S52,12)/12,6)+$B$4),DX52-$I52)))))</f>
        <v/>
      </c>
      <c r="DZ52" s="68">
        <f>IF($U52=0,0,IF($F52=4,0,IF($F52=3,0,IF(OR(85&gt;$R52,DY52&lt;=$I52),DY52,DY52-MIN(INT(ROUND(IF($F52=1,$C52*$J52,IF(HX52&gt;0,HX52*$K52,DY52*$J52))*IF(85=$R52,$S52,12)/12,6)+$B$4),DY52-$I52)))))</f>
        <v/>
      </c>
      <c r="EA52" s="68">
        <f>IF($U52=0,0,IF($F52=4,0,IF($F52=3,0,IF(OR(86&gt;$R52,DZ52&lt;=$I52),DZ52,DZ52-MIN(INT(ROUND(IF($F52=1,$C52*$J52,IF(HY52&gt;0,HY52*$K52,DZ52*$J52))*IF(86=$R52,$S52,12)/12,6)+$B$4),DZ52-$I52)))))</f>
        <v/>
      </c>
      <c r="EB52" s="68">
        <f>IF($U52=0,0,IF($F52=4,0,IF($F52=3,0,IF(OR(87&gt;$R52,EA52&lt;=$I52),EA52,EA52-MIN(INT(ROUND(IF($F52=1,$C52*$J52,IF(HZ52&gt;0,HZ52*$K52,EA52*$J52))*IF(87=$R52,$S52,12)/12,6)+$B$4),EA52-$I52)))))</f>
        <v/>
      </c>
      <c r="EC52" s="68">
        <f>IF($U52=0,0,IF($F52=4,0,IF($F52=3,0,IF(OR(88&gt;$R52,EB52&lt;=$I52),EB52,EB52-MIN(INT(ROUND(IF($F52=1,$C52*$J52,IF(IA52&gt;0,IA52*$K52,EB52*$J52))*IF(88=$R52,$S52,12)/12,6)+$B$4),EB52-$I52)))))</f>
        <v/>
      </c>
      <c r="ED52" s="68">
        <f>IF($U52=0,0,IF($F52=4,0,IF($F52=3,0,IF(OR(89&gt;$R52,EC52&lt;=$I52),EC52,EC52-MIN(INT(ROUND(IF($F52=1,$C52*$J52,IF(IB52&gt;0,IB52*$K52,EC52*$J52))*IF(89=$R52,$S52,12)/12,6)+$B$4),EC52-$I52)))))</f>
        <v/>
      </c>
      <c r="EE52" s="68">
        <f>IF($U52=0,0,IF($F52=4,0,IF($F52=3,0,IF(OR(90&gt;$R52,ED52&lt;=$I52),ED52,ED52-MIN(INT(ROUND(IF($F52=1,$C52*$J52,IF(IC52&gt;0,IC52*$K52,ED52*$J52))*IF(90=$R52,$S52,12)/12,6)+$B$4),ED52-$I52)))))</f>
        <v/>
      </c>
      <c r="EF52" s="68">
        <f>IF($U52=0,0,IF($F52=4,0,IF($F52=3,0,IF(OR(91&gt;$R52,EE52&lt;=$I52),EE52,EE52-MIN(INT(ROUND(IF($F52=1,$C52*$J52,IF(ID52&gt;0,ID52*$K52,EE52*$J52))*IF(91=$R52,$S52,12)/12,6)+$B$4),EE52-$I52)))))</f>
        <v/>
      </c>
      <c r="EG52" s="68">
        <f>IF($U52=0,0,IF($F52=4,0,IF($F52=3,0,IF(OR(92&gt;$R52,EF52&lt;=$I52),EF52,EF52-MIN(INT(ROUND(IF($F52=1,$C52*$J52,IF(IE52&gt;0,IE52*$K52,EF52*$J52))*IF(92=$R52,$S52,12)/12,6)+$B$4),EF52-$I52)))))</f>
        <v/>
      </c>
      <c r="EH52" s="68">
        <f>IF($U52=0,0,IF($F52=4,0,IF($F52=3,0,IF(OR(93&gt;$R52,EG52&lt;=$I52),EG52,EG52-MIN(INT(ROUND(IF($F52=1,$C52*$J52,IF(IF52&gt;0,IF52*$K52,EG52*$J52))*IF(93=$R52,$S52,12)/12,6)+$B$4),EG52-$I52)))))</f>
        <v/>
      </c>
      <c r="EI52" s="68">
        <f>IF($U52=0,0,IF($F52=4,0,IF($F52=3,0,IF(OR(94&gt;$R52,EH52&lt;=$I52),EH52,EH52-MIN(INT(ROUND(IF($F52=1,$C52*$J52,IF(IG52&gt;0,IG52*$K52,EH52*$J52))*IF(94=$R52,$S52,12)/12,6)+$B$4),EH52-$I52)))))</f>
        <v/>
      </c>
      <c r="EJ52" s="68">
        <f>IF($U52=0,0,IF($F52=4,0,IF($F52=3,0,IF(OR(95&gt;$R52,EI52&lt;=$I52),EI52,EI52-MIN(INT(ROUND(IF($F52=1,$C52*$J52,IF(IH52&gt;0,IH52*$K52,EI52*$J52))*IF(95=$R52,$S52,12)/12,6)+$B$4),EI52-$I52)))))</f>
        <v/>
      </c>
      <c r="EK52" s="68">
        <f>IF($U52=0,0,IF($F52=4,0,IF($F52=3,0,IF(OR(96&gt;$R52,EJ52&lt;=$I52),EJ52,EJ52-MIN(INT(ROUND(IF($F52=1,$C52*$J52,IF(II52&gt;0,II52*$K52,EJ52*$J52))*IF(96=$R52,$S52,12)/12,6)+$B$4),EJ52-$I52)))))</f>
        <v/>
      </c>
      <c r="EL52" s="68">
        <f>IF($U52=0,0,IF($F52=4,0,IF($F52=3,0,IF(OR(97&gt;$R52,EK52&lt;=$I52),EK52,EK52-MIN(INT(ROUND(IF($F52=1,$C52*$J52,IF(IJ52&gt;0,IJ52*$K52,EK52*$J52))*IF(97=$R52,$S52,12)/12,6)+$B$4),EK52-$I52)))))</f>
        <v/>
      </c>
      <c r="EM52" s="68">
        <f>IF($U52=0,0,IF($F52=4,0,IF($F52=3,0,IF(OR(98&gt;$R52,EL52&lt;=$I52),EL52,EL52-MIN(INT(ROUND(IF($F52=1,$C52*$J52,IF(IK52&gt;0,IK52*$K52,EL52*$J52))*IF(98=$R52,$S52,12)/12,6)+$B$4),EL52-$I52)))))</f>
        <v/>
      </c>
      <c r="EN52" s="68">
        <f>IF($U52=0,0,IF($F52=4,0,IF($F52=3,0,IF(OR(99&gt;$R52,EM52&lt;=$I52),EM52,EM52-MIN(INT(ROUND(IF($F52=1,$C52*$J52,IF(IL52&gt;0,IL52*$K52,EM52*$J52))*IF(99=$R52,$S52,12)/12,6)+$B$4),EM52-$I52)))))</f>
        <v/>
      </c>
      <c r="EO52" s="68">
        <f>IF($U52=0,0,IF($F52=4,0,IF($F52=3,0,IF(OR(100&gt;$R52,EN52&lt;=$I52),EN52,EN52-MIN(INT(ROUND(IF($F52=1,$C52*$J52,IF(IM52&gt;0,IM52*$K52,EN52*$J52))*IF(100=$R52,$S52,12)/12,6)+$B$4),EN52-$I52)))))</f>
        <v/>
      </c>
      <c r="EP52" s="68">
        <f>IF($U52=0,0,IF($F52=4,0,IF($F52=3,0,IF(OR(101&gt;$R52,EO52&lt;=$I52),EO52,EO52-MIN(INT(ROUND(IF($F52=1,$C52*$J52,IF(IN52&gt;0,IN52*$K52,EO52*$J52))*IF(101=$R52,$S52,12)/12,6)+$B$4),EO52-$I52)))))</f>
        <v/>
      </c>
      <c r="EQ52" s="68" t="n"/>
      <c r="ER52" s="68">
        <f>IF(OR($U52=0,$F52&lt;&gt;2),0,IF(ROUND(AS52*$J52,6)&lt;ROUND($M52,6),AS52,0))</f>
        <v/>
      </c>
      <c r="ES52" s="68">
        <f>IF(OR($U52=0,$F52&lt;&gt;2),0,IF(ER52&gt;0,ER52,IF(ROUND(AT52*$J52,6)&lt;ROUND($M52,6),AT52,0)))</f>
        <v/>
      </c>
      <c r="ET52" s="68">
        <f>IF(OR($U52=0,$F52&lt;&gt;2),0,IF(ES52&gt;0,ES52,IF(ROUND(AU52*$J52,6)&lt;ROUND($M52,6),AU52,0)))</f>
        <v/>
      </c>
      <c r="EU52" s="68">
        <f>IF(OR($U52=0,$F52&lt;&gt;2),0,IF(ET52&gt;0,ET52,IF(ROUND(AV52*$J52,6)&lt;ROUND($M52,6),AV52,0)))</f>
        <v/>
      </c>
      <c r="EV52" s="68">
        <f>IF(OR($U52=0,$F52&lt;&gt;2),0,IF(EU52&gt;0,EU52,IF(ROUND(AW52*$J52,6)&lt;ROUND($M52,6),AW52,0)))</f>
        <v/>
      </c>
      <c r="EW52" s="68">
        <f>IF(OR($U52=0,$F52&lt;&gt;2),0,IF(EV52&gt;0,EV52,IF(ROUND(AX52*$J52,6)&lt;ROUND($M52,6),AX52,0)))</f>
        <v/>
      </c>
      <c r="EX52" s="68">
        <f>IF(OR($U52=0,$F52&lt;&gt;2),0,IF(EW52&gt;0,EW52,IF(ROUND(AY52*$J52,6)&lt;ROUND($M52,6),AY52,0)))</f>
        <v/>
      </c>
      <c r="EY52" s="68">
        <f>IF(OR($U52=0,$F52&lt;&gt;2),0,IF(EX52&gt;0,EX52,IF(ROUND(AZ52*$J52,6)&lt;ROUND($M52,6),AZ52,0)))</f>
        <v/>
      </c>
      <c r="EZ52" s="68">
        <f>IF(OR($U52=0,$F52&lt;&gt;2),0,IF(EY52&gt;0,EY52,IF(ROUND(BA52*$J52,6)&lt;ROUND($M52,6),BA52,0)))</f>
        <v/>
      </c>
      <c r="FA52" s="68">
        <f>IF(OR($U52=0,$F52&lt;&gt;2),0,IF(EZ52&gt;0,EZ52,IF(ROUND(BB52*$J52,6)&lt;ROUND($M52,6),BB52,0)))</f>
        <v/>
      </c>
      <c r="FB52" s="68">
        <f>IF(OR($U52=0,$F52&lt;&gt;2),0,IF(FA52&gt;0,FA52,IF(ROUND(BC52*$J52,6)&lt;ROUND($M52,6),BC52,0)))</f>
        <v/>
      </c>
      <c r="FC52" s="68">
        <f>IF(OR($U52=0,$F52&lt;&gt;2),0,IF(FB52&gt;0,FB52,IF(ROUND(BD52*$J52,6)&lt;ROUND($M52,6),BD52,0)))</f>
        <v/>
      </c>
      <c r="FD52" s="68">
        <f>IF(OR($U52=0,$F52&lt;&gt;2),0,IF(FC52&gt;0,FC52,IF(ROUND(BE52*$J52,6)&lt;ROUND($M52,6),BE52,0)))</f>
        <v/>
      </c>
      <c r="FE52" s="68">
        <f>IF(OR($U52=0,$F52&lt;&gt;2),0,IF(FD52&gt;0,FD52,IF(ROUND(BF52*$J52,6)&lt;ROUND($M52,6),BF52,0)))</f>
        <v/>
      </c>
      <c r="FF52" s="68">
        <f>IF(OR($U52=0,$F52&lt;&gt;2),0,IF(FE52&gt;0,FE52,IF(ROUND(BG52*$J52,6)&lt;ROUND($M52,6),BG52,0)))</f>
        <v/>
      </c>
      <c r="FG52" s="68">
        <f>IF(OR($U52=0,$F52&lt;&gt;2),0,IF(FF52&gt;0,FF52,IF(ROUND(BH52*$J52,6)&lt;ROUND($M52,6),BH52,0)))</f>
        <v/>
      </c>
      <c r="FH52" s="68">
        <f>IF(OR($U52=0,$F52&lt;&gt;2),0,IF(FG52&gt;0,FG52,IF(ROUND(BI52*$J52,6)&lt;ROUND($M52,6),BI52,0)))</f>
        <v/>
      </c>
      <c r="FI52" s="68">
        <f>IF(OR($U52=0,$F52&lt;&gt;2),0,IF(FH52&gt;0,FH52,IF(ROUND(BJ52*$J52,6)&lt;ROUND($M52,6),BJ52,0)))</f>
        <v/>
      </c>
      <c r="FJ52" s="68">
        <f>IF(OR($U52=0,$F52&lt;&gt;2),0,IF(FI52&gt;0,FI52,IF(ROUND(BK52*$J52,6)&lt;ROUND($M52,6),BK52,0)))</f>
        <v/>
      </c>
      <c r="FK52" s="68">
        <f>IF(OR($U52=0,$F52&lt;&gt;2),0,IF(FJ52&gt;0,FJ52,IF(ROUND(BL52*$J52,6)&lt;ROUND($M52,6),BL52,0)))</f>
        <v/>
      </c>
      <c r="FL52" s="68">
        <f>IF(OR($U52=0,$F52&lt;&gt;2),0,IF(FK52&gt;0,FK52,IF(ROUND(BM52*$J52,6)&lt;ROUND($M52,6),BM52,0)))</f>
        <v/>
      </c>
      <c r="FM52" s="68">
        <f>IF(OR($U52=0,$F52&lt;&gt;2),0,IF(FL52&gt;0,FL52,IF(ROUND(BN52*$J52,6)&lt;ROUND($M52,6),BN52,0)))</f>
        <v/>
      </c>
      <c r="FN52" s="68">
        <f>IF(OR($U52=0,$F52&lt;&gt;2),0,IF(FM52&gt;0,FM52,IF(ROUND(BO52*$J52,6)&lt;ROUND($M52,6),BO52,0)))</f>
        <v/>
      </c>
      <c r="FO52" s="68">
        <f>IF(OR($U52=0,$F52&lt;&gt;2),0,IF(FN52&gt;0,FN52,IF(ROUND(BP52*$J52,6)&lt;ROUND($M52,6),BP52,0)))</f>
        <v/>
      </c>
      <c r="FP52" s="68">
        <f>IF(OR($U52=0,$F52&lt;&gt;2),0,IF(FO52&gt;0,FO52,IF(ROUND(BQ52*$J52,6)&lt;ROUND($M52,6),BQ52,0)))</f>
        <v/>
      </c>
      <c r="FQ52" s="68">
        <f>IF(OR($U52=0,$F52&lt;&gt;2),0,IF(FP52&gt;0,FP52,IF(ROUND(BR52*$J52,6)&lt;ROUND($M52,6),BR52,0)))</f>
        <v/>
      </c>
      <c r="FR52" s="68">
        <f>IF(OR($U52=0,$F52&lt;&gt;2),0,IF(FQ52&gt;0,FQ52,IF(ROUND(BS52*$J52,6)&lt;ROUND($M52,6),BS52,0)))</f>
        <v/>
      </c>
      <c r="FS52" s="68">
        <f>IF(OR($U52=0,$F52&lt;&gt;2),0,IF(FR52&gt;0,FR52,IF(ROUND(BT52*$J52,6)&lt;ROUND($M52,6),BT52,0)))</f>
        <v/>
      </c>
      <c r="FT52" s="68">
        <f>IF(OR($U52=0,$F52&lt;&gt;2),0,IF(FS52&gt;0,FS52,IF(ROUND(BU52*$J52,6)&lt;ROUND($M52,6),BU52,0)))</f>
        <v/>
      </c>
      <c r="FU52" s="68">
        <f>IF(OR($U52=0,$F52&lt;&gt;2),0,IF(FT52&gt;0,FT52,IF(ROUND(BV52*$J52,6)&lt;ROUND($M52,6),BV52,0)))</f>
        <v/>
      </c>
      <c r="FV52" s="68">
        <f>IF(OR($U52=0,$F52&lt;&gt;2),0,IF(FU52&gt;0,FU52,IF(ROUND(BW52*$J52,6)&lt;ROUND($M52,6),BW52,0)))</f>
        <v/>
      </c>
      <c r="FW52" s="68">
        <f>IF(OR($U52=0,$F52&lt;&gt;2),0,IF(FV52&gt;0,FV52,IF(ROUND(BX52*$J52,6)&lt;ROUND($M52,6),BX52,0)))</f>
        <v/>
      </c>
      <c r="FX52" s="68">
        <f>IF(OR($U52=0,$F52&lt;&gt;2),0,IF(FW52&gt;0,FW52,IF(ROUND(BY52*$J52,6)&lt;ROUND($M52,6),BY52,0)))</f>
        <v/>
      </c>
      <c r="FY52" s="68">
        <f>IF(OR($U52=0,$F52&lt;&gt;2),0,IF(FX52&gt;0,FX52,IF(ROUND(BZ52*$J52,6)&lt;ROUND($M52,6),BZ52,0)))</f>
        <v/>
      </c>
      <c r="FZ52" s="68">
        <f>IF(OR($U52=0,$F52&lt;&gt;2),0,IF(FY52&gt;0,FY52,IF(ROUND(CA52*$J52,6)&lt;ROUND($M52,6),CA52,0)))</f>
        <v/>
      </c>
      <c r="GA52" s="68">
        <f>IF(OR($U52=0,$F52&lt;&gt;2),0,IF(FZ52&gt;0,FZ52,IF(ROUND(CB52*$J52,6)&lt;ROUND($M52,6),CB52,0)))</f>
        <v/>
      </c>
      <c r="GB52" s="68">
        <f>IF(OR($U52=0,$F52&lt;&gt;2),0,IF(GA52&gt;0,GA52,IF(ROUND(CC52*$J52,6)&lt;ROUND($M52,6),CC52,0)))</f>
        <v/>
      </c>
      <c r="GC52" s="68">
        <f>IF(OR($U52=0,$F52&lt;&gt;2),0,IF(GB52&gt;0,GB52,IF(ROUND(CD52*$J52,6)&lt;ROUND($M52,6),CD52,0)))</f>
        <v/>
      </c>
      <c r="GD52" s="68">
        <f>IF(OR($U52=0,$F52&lt;&gt;2),0,IF(GC52&gt;0,GC52,IF(ROUND(CE52*$J52,6)&lt;ROUND($M52,6),CE52,0)))</f>
        <v/>
      </c>
      <c r="GE52" s="68">
        <f>IF(OR($U52=0,$F52&lt;&gt;2),0,IF(GD52&gt;0,GD52,IF(ROUND(CF52*$J52,6)&lt;ROUND($M52,6),CF52,0)))</f>
        <v/>
      </c>
      <c r="GF52" s="68">
        <f>IF(OR($U52=0,$F52&lt;&gt;2),0,IF(GE52&gt;0,GE52,IF(ROUND(CG52*$J52,6)&lt;ROUND($M52,6),CG52,0)))</f>
        <v/>
      </c>
      <c r="GG52" s="68">
        <f>IF(OR($U52=0,$F52&lt;&gt;2),0,IF(GF52&gt;0,GF52,IF(ROUND(CH52*$J52,6)&lt;ROUND($M52,6),CH52,0)))</f>
        <v/>
      </c>
      <c r="GH52" s="68">
        <f>IF(OR($U52=0,$F52&lt;&gt;2),0,IF(GG52&gt;0,GG52,IF(ROUND(CI52*$J52,6)&lt;ROUND($M52,6),CI52,0)))</f>
        <v/>
      </c>
      <c r="GI52" s="68">
        <f>IF(OR($U52=0,$F52&lt;&gt;2),0,IF(GH52&gt;0,GH52,IF(ROUND(CJ52*$J52,6)&lt;ROUND($M52,6),CJ52,0)))</f>
        <v/>
      </c>
      <c r="GJ52" s="68">
        <f>IF(OR($U52=0,$F52&lt;&gt;2),0,IF(GI52&gt;0,GI52,IF(ROUND(CK52*$J52,6)&lt;ROUND($M52,6),CK52,0)))</f>
        <v/>
      </c>
      <c r="GK52" s="68">
        <f>IF(OR($U52=0,$F52&lt;&gt;2),0,IF(GJ52&gt;0,GJ52,IF(ROUND(CL52*$J52,6)&lt;ROUND($M52,6),CL52,0)))</f>
        <v/>
      </c>
      <c r="GL52" s="68">
        <f>IF(OR($U52=0,$F52&lt;&gt;2),0,IF(GK52&gt;0,GK52,IF(ROUND(CM52*$J52,6)&lt;ROUND($M52,6),CM52,0)))</f>
        <v/>
      </c>
      <c r="GM52" s="68">
        <f>IF(OR($U52=0,$F52&lt;&gt;2),0,IF(GL52&gt;0,GL52,IF(ROUND(CN52*$J52,6)&lt;ROUND($M52,6),CN52,0)))</f>
        <v/>
      </c>
      <c r="GN52" s="68">
        <f>IF(OR($U52=0,$F52&lt;&gt;2),0,IF(GM52&gt;0,GM52,IF(ROUND(CO52*$J52,6)&lt;ROUND($M52,6),CO52,0)))</f>
        <v/>
      </c>
      <c r="GO52" s="68">
        <f>IF(OR($U52=0,$F52&lt;&gt;2),0,IF(GN52&gt;0,GN52,IF(ROUND(CP52*$J52,6)&lt;ROUND($M52,6),CP52,0)))</f>
        <v/>
      </c>
      <c r="GP52" s="68">
        <f>IF(OR($U52=0,$F52&lt;&gt;2),0,IF(GO52&gt;0,GO52,IF(ROUND(CQ52*$J52,6)&lt;ROUND($M52,6),CQ52,0)))</f>
        <v/>
      </c>
      <c r="GQ52" s="68">
        <f>IF(OR($U52=0,$F52&lt;&gt;2),0,IF(GP52&gt;0,GP52,IF(ROUND(CR52*$J52,6)&lt;ROUND($M52,6),CR52,0)))</f>
        <v/>
      </c>
      <c r="GR52" s="68">
        <f>IF(OR($U52=0,$F52&lt;&gt;2),0,IF(GQ52&gt;0,GQ52,IF(ROUND(CS52*$J52,6)&lt;ROUND($M52,6),CS52,0)))</f>
        <v/>
      </c>
      <c r="GS52" s="68">
        <f>IF(OR($U52=0,$F52&lt;&gt;2),0,IF(GR52&gt;0,GR52,IF(ROUND(CT52*$J52,6)&lt;ROUND($M52,6),CT52,0)))</f>
        <v/>
      </c>
      <c r="GT52" s="68">
        <f>IF(OR($U52=0,$F52&lt;&gt;2),0,IF(GS52&gt;0,GS52,IF(ROUND(CU52*$J52,6)&lt;ROUND($M52,6),CU52,0)))</f>
        <v/>
      </c>
      <c r="GU52" s="68">
        <f>IF(OR($U52=0,$F52&lt;&gt;2),0,IF(GT52&gt;0,GT52,IF(ROUND(CV52*$J52,6)&lt;ROUND($M52,6),CV52,0)))</f>
        <v/>
      </c>
      <c r="GV52" s="68">
        <f>IF(OR($U52=0,$F52&lt;&gt;2),0,IF(GU52&gt;0,GU52,IF(ROUND(CW52*$J52,6)&lt;ROUND($M52,6),CW52,0)))</f>
        <v/>
      </c>
      <c r="GW52" s="68">
        <f>IF(OR($U52=0,$F52&lt;&gt;2),0,IF(GV52&gt;0,GV52,IF(ROUND(CX52*$J52,6)&lt;ROUND($M52,6),CX52,0)))</f>
        <v/>
      </c>
      <c r="GX52" s="68">
        <f>IF(OR($U52=0,$F52&lt;&gt;2),0,IF(GW52&gt;0,GW52,IF(ROUND(CY52*$J52,6)&lt;ROUND($M52,6),CY52,0)))</f>
        <v/>
      </c>
      <c r="GY52" s="68">
        <f>IF(OR($U52=0,$F52&lt;&gt;2),0,IF(GX52&gt;0,GX52,IF(ROUND(CZ52*$J52,6)&lt;ROUND($M52,6),CZ52,0)))</f>
        <v/>
      </c>
      <c r="GZ52" s="68">
        <f>IF(OR($U52=0,$F52&lt;&gt;2),0,IF(GY52&gt;0,GY52,IF(ROUND(DA52*$J52,6)&lt;ROUND($M52,6),DA52,0)))</f>
        <v/>
      </c>
      <c r="HA52" s="68">
        <f>IF(OR($U52=0,$F52&lt;&gt;2),0,IF(GZ52&gt;0,GZ52,IF(ROUND(DB52*$J52,6)&lt;ROUND($M52,6),DB52,0)))</f>
        <v/>
      </c>
      <c r="HB52" s="68">
        <f>IF(OR($U52=0,$F52&lt;&gt;2),0,IF(HA52&gt;0,HA52,IF(ROUND(DC52*$J52,6)&lt;ROUND($M52,6),DC52,0)))</f>
        <v/>
      </c>
      <c r="HC52" s="68">
        <f>IF(OR($U52=0,$F52&lt;&gt;2),0,IF(HB52&gt;0,HB52,IF(ROUND(DD52*$J52,6)&lt;ROUND($M52,6),DD52,0)))</f>
        <v/>
      </c>
      <c r="HD52" s="68">
        <f>IF(OR($U52=0,$F52&lt;&gt;2),0,IF(HC52&gt;0,HC52,IF(ROUND(DE52*$J52,6)&lt;ROUND($M52,6),DE52,0)))</f>
        <v/>
      </c>
      <c r="HE52" s="68">
        <f>IF(OR($U52=0,$F52&lt;&gt;2),0,IF(HD52&gt;0,HD52,IF(ROUND(DF52*$J52,6)&lt;ROUND($M52,6),DF52,0)))</f>
        <v/>
      </c>
      <c r="HF52" s="68">
        <f>IF(OR($U52=0,$F52&lt;&gt;2),0,IF(HE52&gt;0,HE52,IF(ROUND(DG52*$J52,6)&lt;ROUND($M52,6),DG52,0)))</f>
        <v/>
      </c>
      <c r="HG52" s="68">
        <f>IF(OR($U52=0,$F52&lt;&gt;2),0,IF(HF52&gt;0,HF52,IF(ROUND(DH52*$J52,6)&lt;ROUND($M52,6),DH52,0)))</f>
        <v/>
      </c>
      <c r="HH52" s="68">
        <f>IF(OR($U52=0,$F52&lt;&gt;2),0,IF(HG52&gt;0,HG52,IF(ROUND(DI52*$J52,6)&lt;ROUND($M52,6),DI52,0)))</f>
        <v/>
      </c>
      <c r="HI52" s="68">
        <f>IF(OR($U52=0,$F52&lt;&gt;2),0,IF(HH52&gt;0,HH52,IF(ROUND(DJ52*$J52,6)&lt;ROUND($M52,6),DJ52,0)))</f>
        <v/>
      </c>
      <c r="HJ52" s="68">
        <f>IF(OR($U52=0,$F52&lt;&gt;2),0,IF(HI52&gt;0,HI52,IF(ROUND(DK52*$J52,6)&lt;ROUND($M52,6),DK52,0)))</f>
        <v/>
      </c>
      <c r="HK52" s="68">
        <f>IF(OR($U52=0,$F52&lt;&gt;2),0,IF(HJ52&gt;0,HJ52,IF(ROUND(DL52*$J52,6)&lt;ROUND($M52,6),DL52,0)))</f>
        <v/>
      </c>
      <c r="HL52" s="68">
        <f>IF(OR($U52=0,$F52&lt;&gt;2),0,IF(HK52&gt;0,HK52,IF(ROUND(DM52*$J52,6)&lt;ROUND($M52,6),DM52,0)))</f>
        <v/>
      </c>
      <c r="HM52" s="68">
        <f>IF(OR($U52=0,$F52&lt;&gt;2),0,IF(HL52&gt;0,HL52,IF(ROUND(DN52*$J52,6)&lt;ROUND($M52,6),DN52,0)))</f>
        <v/>
      </c>
      <c r="HN52" s="68">
        <f>IF(OR($U52=0,$F52&lt;&gt;2),0,IF(HM52&gt;0,HM52,IF(ROUND(DO52*$J52,6)&lt;ROUND($M52,6),DO52,0)))</f>
        <v/>
      </c>
      <c r="HO52" s="68">
        <f>IF(OR($U52=0,$F52&lt;&gt;2),0,IF(HN52&gt;0,HN52,IF(ROUND(DP52*$J52,6)&lt;ROUND($M52,6),DP52,0)))</f>
        <v/>
      </c>
      <c r="HP52" s="68">
        <f>IF(OR($U52=0,$F52&lt;&gt;2),0,IF(HO52&gt;0,HO52,IF(ROUND(DQ52*$J52,6)&lt;ROUND($M52,6),DQ52,0)))</f>
        <v/>
      </c>
      <c r="HQ52" s="68">
        <f>IF(OR($U52=0,$F52&lt;&gt;2),0,IF(HP52&gt;0,HP52,IF(ROUND(DR52*$J52,6)&lt;ROUND($M52,6),DR52,0)))</f>
        <v/>
      </c>
      <c r="HR52" s="68">
        <f>IF(OR($U52=0,$F52&lt;&gt;2),0,IF(HQ52&gt;0,HQ52,IF(ROUND(DS52*$J52,6)&lt;ROUND($M52,6),DS52,0)))</f>
        <v/>
      </c>
      <c r="HS52" s="68">
        <f>IF(OR($U52=0,$F52&lt;&gt;2),0,IF(HR52&gt;0,HR52,IF(ROUND(DT52*$J52,6)&lt;ROUND($M52,6),DT52,0)))</f>
        <v/>
      </c>
      <c r="HT52" s="68">
        <f>IF(OR($U52=0,$F52&lt;&gt;2),0,IF(HS52&gt;0,HS52,IF(ROUND(DU52*$J52,6)&lt;ROUND($M52,6),DU52,0)))</f>
        <v/>
      </c>
      <c r="HU52" s="68">
        <f>IF(OR($U52=0,$F52&lt;&gt;2),0,IF(HT52&gt;0,HT52,IF(ROUND(DV52*$J52,6)&lt;ROUND($M52,6),DV52,0)))</f>
        <v/>
      </c>
      <c r="HV52" s="68">
        <f>IF(OR($U52=0,$F52&lt;&gt;2),0,IF(HU52&gt;0,HU52,IF(ROUND(DW52*$J52,6)&lt;ROUND($M52,6),DW52,0)))</f>
        <v/>
      </c>
      <c r="HW52" s="68">
        <f>IF(OR($U52=0,$F52&lt;&gt;2),0,IF(HV52&gt;0,HV52,IF(ROUND(DX52*$J52,6)&lt;ROUND($M52,6),DX52,0)))</f>
        <v/>
      </c>
      <c r="HX52" s="68">
        <f>IF(OR($U52=0,$F52&lt;&gt;2),0,IF(HW52&gt;0,HW52,IF(ROUND(DY52*$J52,6)&lt;ROUND($M52,6),DY52,0)))</f>
        <v/>
      </c>
      <c r="HY52" s="68">
        <f>IF(OR($U52=0,$F52&lt;&gt;2),0,IF(HX52&gt;0,HX52,IF(ROUND(DZ52*$J52,6)&lt;ROUND($M52,6),DZ52,0)))</f>
        <v/>
      </c>
      <c r="HZ52" s="68">
        <f>IF(OR($U52=0,$F52&lt;&gt;2),0,IF(HY52&gt;0,HY52,IF(ROUND(EA52*$J52,6)&lt;ROUND($M52,6),EA52,0)))</f>
        <v/>
      </c>
      <c r="IA52" s="68">
        <f>IF(OR($U52=0,$F52&lt;&gt;2),0,IF(HZ52&gt;0,HZ52,IF(ROUND(EB52*$J52,6)&lt;ROUND($M52,6),EB52,0)))</f>
        <v/>
      </c>
      <c r="IB52" s="68">
        <f>IF(OR($U52=0,$F52&lt;&gt;2),0,IF(IA52&gt;0,IA52,IF(ROUND(EC52*$J52,6)&lt;ROUND($M52,6),EC52,0)))</f>
        <v/>
      </c>
      <c r="IC52" s="68">
        <f>IF(OR($U52=0,$F52&lt;&gt;2),0,IF(IB52&gt;0,IB52,IF(ROUND(ED52*$J52,6)&lt;ROUND($M52,6),ED52,0)))</f>
        <v/>
      </c>
      <c r="ID52" s="68">
        <f>IF(OR($U52=0,$F52&lt;&gt;2),0,IF(IC52&gt;0,IC52,IF(ROUND(EE52*$J52,6)&lt;ROUND($M52,6),EE52,0)))</f>
        <v/>
      </c>
      <c r="IE52" s="68">
        <f>IF(OR($U52=0,$F52&lt;&gt;2),0,IF(ID52&gt;0,ID52,IF(ROUND(EF52*$J52,6)&lt;ROUND($M52,6),EF52,0)))</f>
        <v/>
      </c>
      <c r="IF52" s="68">
        <f>IF(OR($U52=0,$F52&lt;&gt;2),0,IF(IE52&gt;0,IE52,IF(ROUND(EG52*$J52,6)&lt;ROUND($M52,6),EG52,0)))</f>
        <v/>
      </c>
      <c r="IG52" s="68">
        <f>IF(OR($U52=0,$F52&lt;&gt;2),0,IF(IF52&gt;0,IF52,IF(ROUND(EH52*$J52,6)&lt;ROUND($M52,6),EH52,0)))</f>
        <v/>
      </c>
      <c r="IH52" s="68">
        <f>IF(OR($U52=0,$F52&lt;&gt;2),0,IF(IG52&gt;0,IG52,IF(ROUND(EI52*$J52,6)&lt;ROUND($M52,6),EI52,0)))</f>
        <v/>
      </c>
      <c r="II52" s="68">
        <f>IF(OR($U52=0,$F52&lt;&gt;2),0,IF(IH52&gt;0,IH52,IF(ROUND(EJ52*$J52,6)&lt;ROUND($M52,6),EJ52,0)))</f>
        <v/>
      </c>
      <c r="IJ52" s="68">
        <f>IF(OR($U52=0,$F52&lt;&gt;2),0,IF(II52&gt;0,II52,IF(ROUND(EK52*$J52,6)&lt;ROUND($M52,6),EK52,0)))</f>
        <v/>
      </c>
      <c r="IK52" s="68">
        <f>IF(OR($U52=0,$F52&lt;&gt;2),0,IF(IJ52&gt;0,IJ52,IF(ROUND(EL52*$J52,6)&lt;ROUND($M52,6),EL52,0)))</f>
        <v/>
      </c>
      <c r="IL52" s="68">
        <f>IF(OR($U52=0,$F52&lt;&gt;2),0,IF(IK52&gt;0,IK52,IF(ROUND(EM52*$J52,6)&lt;ROUND($M52,6),EM52,0)))</f>
        <v/>
      </c>
      <c r="IM52" s="68">
        <f>IF(OR($U52=0,$F52&lt;&gt;2),0,IF(IL52&gt;0,IL52,IF(ROUND(EN52*$J52,6)&lt;ROUND($M52,6),EN52,0)))</f>
        <v/>
      </c>
      <c r="IN52" s="68">
        <f>IF(OR($U52=0,$F52&lt;&gt;2),0,IF(IM52&gt;0,IM52,IF(ROUND(EO52*$J52,6)&lt;ROUND($M52,6),EO52,0)))</f>
        <v/>
      </c>
    </row>
    <row r="53">
      <c r="A53" s="68" t="n">
        <v>48</v>
      </c>
      <c r="B53" s="68">
        <f>IF(OR(TRIM('固定資産台帳'!$B53)&lt;&gt;"",'固定資産台帳'!$E53&lt;&gt;"",'固定資産台帳'!$G53&lt;&gt;"",'固定資産台帳'!$H53&lt;&gt;""),1,0)</f>
        <v/>
      </c>
      <c r="C53" s="68">
        <f>IF(ISNUMBER('固定資産台帳'!$G53),MAX(ROUND('固定資産台帳'!$G53,0),0),0)</f>
        <v/>
      </c>
      <c r="D53" s="84">
        <f>IF(ISNUMBER('固定資産台帳'!$E53),INT('固定資産台帳'!$E53),0)</f>
        <v/>
      </c>
      <c r="E53" s="84">
        <f>IF(ISNUMBER('固定資産台帳'!$F53),INT('固定資産台帳'!$F53),$D53)</f>
        <v/>
      </c>
      <c r="F53" s="68">
        <f>IF('固定資産台帳'!$H53="定額法",1,IF(OR('固定資産台帳'!$H53="定率法",'固定資産台帳'!$H53="定率法（200%）",'固定資産台帳'!$H53="定率法（250%）"),2,IF('固定資産台帳'!$H53="一括償却（3年）",3,IF('固定資産台帳'!$H53="少額特例",4,0))))</f>
        <v/>
      </c>
      <c r="G53" s="68">
        <f>IF('固定資産台帳'!$H53="定率法（250%）",250,IF('固定資産台帳'!$H53="定率法（200%）",200,IF($D53&gt;=DATE(2012,4,1),200,250)))</f>
        <v/>
      </c>
      <c r="H53" s="68">
        <f>IF(ISNUMBER('固定資産台帳'!$I53),IF(AND('固定資産台帳'!$I53&gt;=2,'固定資産台帳'!$I53&lt;=100,'固定資産台帳'!$I53=INT('固定資産台帳'!$I53)),'固定資産台帳'!$I53,0),0)</f>
        <v/>
      </c>
      <c r="I53" s="68">
        <f>IF('固定資産台帳'!$C53="無形固定資産",0,1)</f>
        <v/>
      </c>
      <c r="J53" s="68">
        <f>IF(OR($H53=0,$F53=0,$F53&gt;2),0,IF($F53=1,INDEX('償却率表'!$B$6:$B$104,$H53-1),IF($G53=200,INDEX('償却率表'!$C$6:$C$104,$H53-1),INDEX('償却率表'!$F$6:$F$104,$H53-1))))</f>
        <v/>
      </c>
      <c r="K53" s="68">
        <f>IF(AND($F53=2,$H53&gt;0),IF($G53=200,INDEX('償却率表'!$D$6:$D$104,$H53-1),INDEX('償却率表'!$G$6:$G$104,$H53-1)),0)</f>
        <v/>
      </c>
      <c r="L53" s="68">
        <f>IF(AND($F53=2,$H53&gt;0),IF($G53=200,INDEX('償却率表'!$E$6:$E$104,$H53-1),INDEX('償却率表'!$H$6:$H$104,$H53-1)),0)</f>
        <v/>
      </c>
      <c r="M53" s="68">
        <f>$C53*$L53</f>
        <v/>
      </c>
      <c r="N53" s="68">
        <f>IF($B$1=1,1,IF('固定資産台帳'!$J53="",1,IF(ISNUMBER('固定資産台帳'!$J53),IF(AND('固定資産台帳'!$J53&gt;0,'固定資産台帳'!$J53&lt;=1),'固定資産台帳'!$J53,0),0)))</f>
        <v/>
      </c>
      <c r="O53" s="68">
        <f>IF($E53=0,0,YEAR($E53)-IF(MONTH($E53)&lt;$B$2,1,0))</f>
        <v/>
      </c>
      <c r="P53" s="68">
        <f>IF($E53=0,0,12-MOD(MONTH($E53)-$B$2,12))</f>
        <v/>
      </c>
      <c r="Q53" s="84">
        <f>IF(ISNUMBER('固定資産台帳'!$K53),INT('固定資産台帳'!$K53),0)</f>
        <v/>
      </c>
      <c r="R53" s="68">
        <f>IF(OR($Q53=0,$E53=0),999,YEAR($Q53)-IF(MONTH($Q53)&lt;$B$2,1,0)-$O53)</f>
        <v/>
      </c>
      <c r="S53" s="68">
        <f>IF($R53=999,0,MOD(MONTH($Q53)-$B$2,12)+1-IF($R53=0,12-$P53,0))</f>
        <v/>
      </c>
      <c r="T53" s="68">
        <f>IF($B53=0,0,IF($C53&lt;=0,1,IF($D53=0,2,IF($F53=0,3,IF(AND($F53&lt;=2,$H53=0),4,IF(AND($F53&lt;=2,$D53&lt;DATE(2007,4,1)),5,IF($E53&lt;$D53,6,IF(AND($Q53&gt;0,$Q53&lt;$E53),7,IF($N53=0,8,IF($B$3=0,9,0))))))))))</f>
        <v/>
      </c>
      <c r="U53" s="68">
        <f>IF(AND($B53=1,$T53=0),1,0)</f>
        <v/>
      </c>
      <c r="V53" s="68">
        <f>$B$3-$O53</f>
        <v/>
      </c>
      <c r="W53" s="68">
        <f>IF(AND($U53=1,$V53&gt;=0),1,0)</f>
        <v/>
      </c>
      <c r="X53" s="68">
        <f>IF($W53=0,0,IF($V53=0,$C53,INDEX($AS53:$EP53,MIN($V53,102))))</f>
        <v/>
      </c>
      <c r="Y53" s="68">
        <f>IF($W53=0,0,INDEX($AS53:$EP53,MIN($V53,101)+1))</f>
        <v/>
      </c>
      <c r="Z53" s="68">
        <f>$X53-$Y53</f>
        <v/>
      </c>
      <c r="AA53" s="68">
        <f>IF(AND($W53=1,$F53=2,$V53&gt;=1),INDEX($ER53:$IN53,MIN($V53,101)),0)</f>
        <v/>
      </c>
      <c r="AB53" s="68">
        <f>IF(OR($W53=0,$F53&gt;2,$Z53=0),0,IF($V53=0,IF($R53=0,$S53,$P53),IF($V53=$R53,$S53,12)))</f>
        <v/>
      </c>
      <c r="AC53" s="68">
        <f>IF($W53=0,0,INT(ROUND($Z53*$N53,6)+$B$4))</f>
        <v/>
      </c>
      <c r="AD53" s="68">
        <f>IF(AND($W53=1,$F53&lt;=2,$V53=$R53),1,0)</f>
        <v/>
      </c>
      <c r="AE53" s="68">
        <f>IF(AND($W53=1,$F53&lt;=2,$V53&gt;$R53),1,0)</f>
        <v/>
      </c>
      <c r="AF53" s="68">
        <f>IF(AND($W53=1,$AE53=0,OR($Z53&gt;0,$AD53=1)),1,0)</f>
        <v/>
      </c>
      <c r="AG53" s="68">
        <f>IF($AF53=1,SUM($AF$6:$AF53),0)</f>
        <v/>
      </c>
      <c r="AH53" s="68">
        <f>IF($T53=0,"",CHOOSE($T53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53" s="68">
        <f>IF(AND($F53=2,OR('固定資産台帳'!$C53="建物",'固定資産台帳'!$C53="無形固定資産",AND(OR('固定資産台帳'!$C53="建物附属設備",'固定資産台帳'!$C53="構築物"),$D53&gt;=DATE(2016,4,1)))),"この資産は定額法だけです（定率法は使えません）。","")&amp;IF(AND($F53=3,$C53&gt;=200000),"一括償却は20万円未満の資産だけです。","")&amp;IF(AND($F53=3,$B$1=0,$C53&lt;100000),"10万円未満は一括償却にせず、全額をその年の経費にします。","")&amp;IF(AND($F53=4,$C53&lt;100000),"10万円未満は少額特例ではなく、全額をその年の経費にします。","")&amp;IF(AND($F53=4,$D53&lt;DATE(2026,4,1),$C53&gt;=300000),"2026年3月31日までの取得で少額特例が使えるのは30万円未満です。","")&amp;IF(AND($F53=4,$D53&gt;=DATE(2026,4,1),$C53&gt;=400000),"少額特例は40万円未満の資産だけです。","")&amp;IF(AND($F53=4,OR($D53&lt;DATE(2006,4,1),$D53&gt;DATE(2029,3,31))),"少額特例は2006年4月1日〜2029年3月31日に取得した資産だけです。","")&amp;IF(AND($F53=2,$G53=250,$D53&gt;DATE(2012,12,31)),"250%定率法は2012年12月31日までの取得だけです。","")</f>
        <v/>
      </c>
      <c r="AJ53" s="68">
        <f>IF(AND($F53=2,'固定資産台帳'!$H53="定率法（200%）",$D53&lt;DATE(2012,4,1)),"2012年3月31日までの取得に200%を使うのは、経過措置の届出をした場合です。","")&amp;IF(AND($F53=2,'固定資産台帳'!$H53="定率法（250%）",$D53&gt;=DATE(2012,4,1),$D53&lt;=DATE(2012,12,31)),"2012年4〜12月の取得に250%を使うのは、経過措置を選んだ場合です。","")</f>
        <v/>
      </c>
      <c r="AK53" s="68">
        <f>IF($U53=0,"",IF($V53&lt;0,"表示している年より後に使い始める資産です。",IF($AE53=1,"売却・除却済みです。",IF($AD53=1,"この年に売却・除却。期末の帳簿価額 "&amp;TEXT($Y53,"#,##0")&amp;"円を帳簿から外します。",IF($F53=4,IF($V53=0,"少額特例：この年に全額を経費にします。","少額特例で経費にした資産です。"),IF($F53=3,IF($V53&gt;2,"一括償却は終わっています。","一括償却 "&amp;($V53+1)&amp;"年目（3年のうち）。"),IF($Z53=0,"償却済み（帳簿価額 "&amp;TEXT($Y53,"#,##0")&amp;"円）。",IF($AA53&gt;0,"改定償却率で計算（改定取得価額 "&amp;TEXT($AA53,"#,##0")&amp;"円）。",IF($V53=0,"この年に使い始め（"&amp;$AB53&amp;"か月分）。","")))))))))</f>
        <v/>
      </c>
      <c r="AL53" s="68">
        <f>IF(AND($U53=1,$F53=4,$V53=0),$C53,0)</f>
        <v/>
      </c>
      <c r="AM53" s="68">
        <f>IF($F53=2,INT(ROUND($M53,6)+$B$4),0)</f>
        <v/>
      </c>
      <c r="AN53" s="68">
        <f>IF($W53=0,0,IF($F53=2,IF($AA53&gt;0,$AA53,$X53),$C53))</f>
        <v/>
      </c>
      <c r="AO53" s="68">
        <f>IF($W53=0,"",IF($F53=3,"1/3",IF($F53=4,"―",IF($AA53&gt;0,$K53,$J53))))</f>
        <v/>
      </c>
      <c r="AP53" s="68" t="n"/>
      <c r="AQ53" s="68" t="n"/>
      <c r="AR53" s="68" t="n"/>
      <c r="AS53" s="68">
        <f>IF($U53=0,0,IF($F53=4,0,IF($F53=3,MAX($C53-INT(ROUND($C53/3,6)+$B$4),0),$C53-MIN(INT(ROUND($C53*$J53*IF($R53=0,$S53,$P53)/12,6)+$B$4),MAX($C53-$I53,0)))))</f>
        <v/>
      </c>
      <c r="AT53" s="68">
        <f>IF($U53=0,0,IF($F53=4,0,IF($F53=3,AS53-MIN(INT(ROUND($C53/3,6)+$B$4),AS53),IF(OR(1&gt;$R53,AS53&lt;=$I53),AS53,AS53-MIN(INT(ROUND(IF($F53=1,$C53*$J53,IF(ER53&gt;0,ER53*$K53,AS53*$J53))*IF(1=$R53,$S53,12)/12,6)+$B$4),AS53-$I53)))))</f>
        <v/>
      </c>
      <c r="AU53" s="68">
        <f>IF($U53=0,0,IF($F53=4,0,IF($F53=3,0,IF(OR(2&gt;$R53,AT53&lt;=$I53),AT53,AT53-MIN(INT(ROUND(IF($F53=1,$C53*$J53,IF(ES53&gt;0,ES53*$K53,AT53*$J53))*IF(2=$R53,$S53,12)/12,6)+$B$4),AT53-$I53)))))</f>
        <v/>
      </c>
      <c r="AV53" s="68">
        <f>IF($U53=0,0,IF($F53=4,0,IF($F53=3,0,IF(OR(3&gt;$R53,AU53&lt;=$I53),AU53,AU53-MIN(INT(ROUND(IF($F53=1,$C53*$J53,IF(ET53&gt;0,ET53*$K53,AU53*$J53))*IF(3=$R53,$S53,12)/12,6)+$B$4),AU53-$I53)))))</f>
        <v/>
      </c>
      <c r="AW53" s="68">
        <f>IF($U53=0,0,IF($F53=4,0,IF($F53=3,0,IF(OR(4&gt;$R53,AV53&lt;=$I53),AV53,AV53-MIN(INT(ROUND(IF($F53=1,$C53*$J53,IF(EU53&gt;0,EU53*$K53,AV53*$J53))*IF(4=$R53,$S53,12)/12,6)+$B$4),AV53-$I53)))))</f>
        <v/>
      </c>
      <c r="AX53" s="68">
        <f>IF($U53=0,0,IF($F53=4,0,IF($F53=3,0,IF(OR(5&gt;$R53,AW53&lt;=$I53),AW53,AW53-MIN(INT(ROUND(IF($F53=1,$C53*$J53,IF(EV53&gt;0,EV53*$K53,AW53*$J53))*IF(5=$R53,$S53,12)/12,6)+$B$4),AW53-$I53)))))</f>
        <v/>
      </c>
      <c r="AY53" s="68">
        <f>IF($U53=0,0,IF($F53=4,0,IF($F53=3,0,IF(OR(6&gt;$R53,AX53&lt;=$I53),AX53,AX53-MIN(INT(ROUND(IF($F53=1,$C53*$J53,IF(EW53&gt;0,EW53*$K53,AX53*$J53))*IF(6=$R53,$S53,12)/12,6)+$B$4),AX53-$I53)))))</f>
        <v/>
      </c>
      <c r="AZ53" s="68">
        <f>IF($U53=0,0,IF($F53=4,0,IF($F53=3,0,IF(OR(7&gt;$R53,AY53&lt;=$I53),AY53,AY53-MIN(INT(ROUND(IF($F53=1,$C53*$J53,IF(EX53&gt;0,EX53*$K53,AY53*$J53))*IF(7=$R53,$S53,12)/12,6)+$B$4),AY53-$I53)))))</f>
        <v/>
      </c>
      <c r="BA53" s="68">
        <f>IF($U53=0,0,IF($F53=4,0,IF($F53=3,0,IF(OR(8&gt;$R53,AZ53&lt;=$I53),AZ53,AZ53-MIN(INT(ROUND(IF($F53=1,$C53*$J53,IF(EY53&gt;0,EY53*$K53,AZ53*$J53))*IF(8=$R53,$S53,12)/12,6)+$B$4),AZ53-$I53)))))</f>
        <v/>
      </c>
      <c r="BB53" s="68">
        <f>IF($U53=0,0,IF($F53=4,0,IF($F53=3,0,IF(OR(9&gt;$R53,BA53&lt;=$I53),BA53,BA53-MIN(INT(ROUND(IF($F53=1,$C53*$J53,IF(EZ53&gt;0,EZ53*$K53,BA53*$J53))*IF(9=$R53,$S53,12)/12,6)+$B$4),BA53-$I53)))))</f>
        <v/>
      </c>
      <c r="BC53" s="68">
        <f>IF($U53=0,0,IF($F53=4,0,IF($F53=3,0,IF(OR(10&gt;$R53,BB53&lt;=$I53),BB53,BB53-MIN(INT(ROUND(IF($F53=1,$C53*$J53,IF(FA53&gt;0,FA53*$K53,BB53*$J53))*IF(10=$R53,$S53,12)/12,6)+$B$4),BB53-$I53)))))</f>
        <v/>
      </c>
      <c r="BD53" s="68">
        <f>IF($U53=0,0,IF($F53=4,0,IF($F53=3,0,IF(OR(11&gt;$R53,BC53&lt;=$I53),BC53,BC53-MIN(INT(ROUND(IF($F53=1,$C53*$J53,IF(FB53&gt;0,FB53*$K53,BC53*$J53))*IF(11=$R53,$S53,12)/12,6)+$B$4),BC53-$I53)))))</f>
        <v/>
      </c>
      <c r="BE53" s="68">
        <f>IF($U53=0,0,IF($F53=4,0,IF($F53=3,0,IF(OR(12&gt;$R53,BD53&lt;=$I53),BD53,BD53-MIN(INT(ROUND(IF($F53=1,$C53*$J53,IF(FC53&gt;0,FC53*$K53,BD53*$J53))*IF(12=$R53,$S53,12)/12,6)+$B$4),BD53-$I53)))))</f>
        <v/>
      </c>
      <c r="BF53" s="68">
        <f>IF($U53=0,0,IF($F53=4,0,IF($F53=3,0,IF(OR(13&gt;$R53,BE53&lt;=$I53),BE53,BE53-MIN(INT(ROUND(IF($F53=1,$C53*$J53,IF(FD53&gt;0,FD53*$K53,BE53*$J53))*IF(13=$R53,$S53,12)/12,6)+$B$4),BE53-$I53)))))</f>
        <v/>
      </c>
      <c r="BG53" s="68">
        <f>IF($U53=0,0,IF($F53=4,0,IF($F53=3,0,IF(OR(14&gt;$R53,BF53&lt;=$I53),BF53,BF53-MIN(INT(ROUND(IF($F53=1,$C53*$J53,IF(FE53&gt;0,FE53*$K53,BF53*$J53))*IF(14=$R53,$S53,12)/12,6)+$B$4),BF53-$I53)))))</f>
        <v/>
      </c>
      <c r="BH53" s="68">
        <f>IF($U53=0,0,IF($F53=4,0,IF($F53=3,0,IF(OR(15&gt;$R53,BG53&lt;=$I53),BG53,BG53-MIN(INT(ROUND(IF($F53=1,$C53*$J53,IF(FF53&gt;0,FF53*$K53,BG53*$J53))*IF(15=$R53,$S53,12)/12,6)+$B$4),BG53-$I53)))))</f>
        <v/>
      </c>
      <c r="BI53" s="68">
        <f>IF($U53=0,0,IF($F53=4,0,IF($F53=3,0,IF(OR(16&gt;$R53,BH53&lt;=$I53),BH53,BH53-MIN(INT(ROUND(IF($F53=1,$C53*$J53,IF(FG53&gt;0,FG53*$K53,BH53*$J53))*IF(16=$R53,$S53,12)/12,6)+$B$4),BH53-$I53)))))</f>
        <v/>
      </c>
      <c r="BJ53" s="68">
        <f>IF($U53=0,0,IF($F53=4,0,IF($F53=3,0,IF(OR(17&gt;$R53,BI53&lt;=$I53),BI53,BI53-MIN(INT(ROUND(IF($F53=1,$C53*$J53,IF(FH53&gt;0,FH53*$K53,BI53*$J53))*IF(17=$R53,$S53,12)/12,6)+$B$4),BI53-$I53)))))</f>
        <v/>
      </c>
      <c r="BK53" s="68">
        <f>IF($U53=0,0,IF($F53=4,0,IF($F53=3,0,IF(OR(18&gt;$R53,BJ53&lt;=$I53),BJ53,BJ53-MIN(INT(ROUND(IF($F53=1,$C53*$J53,IF(FI53&gt;0,FI53*$K53,BJ53*$J53))*IF(18=$R53,$S53,12)/12,6)+$B$4),BJ53-$I53)))))</f>
        <v/>
      </c>
      <c r="BL53" s="68">
        <f>IF($U53=0,0,IF($F53=4,0,IF($F53=3,0,IF(OR(19&gt;$R53,BK53&lt;=$I53),BK53,BK53-MIN(INT(ROUND(IF($F53=1,$C53*$J53,IF(FJ53&gt;0,FJ53*$K53,BK53*$J53))*IF(19=$R53,$S53,12)/12,6)+$B$4),BK53-$I53)))))</f>
        <v/>
      </c>
      <c r="BM53" s="68">
        <f>IF($U53=0,0,IF($F53=4,0,IF($F53=3,0,IF(OR(20&gt;$R53,BL53&lt;=$I53),BL53,BL53-MIN(INT(ROUND(IF($F53=1,$C53*$J53,IF(FK53&gt;0,FK53*$K53,BL53*$J53))*IF(20=$R53,$S53,12)/12,6)+$B$4),BL53-$I53)))))</f>
        <v/>
      </c>
      <c r="BN53" s="68">
        <f>IF($U53=0,0,IF($F53=4,0,IF($F53=3,0,IF(OR(21&gt;$R53,BM53&lt;=$I53),BM53,BM53-MIN(INT(ROUND(IF($F53=1,$C53*$J53,IF(FL53&gt;0,FL53*$K53,BM53*$J53))*IF(21=$R53,$S53,12)/12,6)+$B$4),BM53-$I53)))))</f>
        <v/>
      </c>
      <c r="BO53" s="68">
        <f>IF($U53=0,0,IF($F53=4,0,IF($F53=3,0,IF(OR(22&gt;$R53,BN53&lt;=$I53),BN53,BN53-MIN(INT(ROUND(IF($F53=1,$C53*$J53,IF(FM53&gt;0,FM53*$K53,BN53*$J53))*IF(22=$R53,$S53,12)/12,6)+$B$4),BN53-$I53)))))</f>
        <v/>
      </c>
      <c r="BP53" s="68">
        <f>IF($U53=0,0,IF($F53=4,0,IF($F53=3,0,IF(OR(23&gt;$R53,BO53&lt;=$I53),BO53,BO53-MIN(INT(ROUND(IF($F53=1,$C53*$J53,IF(FN53&gt;0,FN53*$K53,BO53*$J53))*IF(23=$R53,$S53,12)/12,6)+$B$4),BO53-$I53)))))</f>
        <v/>
      </c>
      <c r="BQ53" s="68">
        <f>IF($U53=0,0,IF($F53=4,0,IF($F53=3,0,IF(OR(24&gt;$R53,BP53&lt;=$I53),BP53,BP53-MIN(INT(ROUND(IF($F53=1,$C53*$J53,IF(FO53&gt;0,FO53*$K53,BP53*$J53))*IF(24=$R53,$S53,12)/12,6)+$B$4),BP53-$I53)))))</f>
        <v/>
      </c>
      <c r="BR53" s="68">
        <f>IF($U53=0,0,IF($F53=4,0,IF($F53=3,0,IF(OR(25&gt;$R53,BQ53&lt;=$I53),BQ53,BQ53-MIN(INT(ROUND(IF($F53=1,$C53*$J53,IF(FP53&gt;0,FP53*$K53,BQ53*$J53))*IF(25=$R53,$S53,12)/12,6)+$B$4),BQ53-$I53)))))</f>
        <v/>
      </c>
      <c r="BS53" s="68">
        <f>IF($U53=0,0,IF($F53=4,0,IF($F53=3,0,IF(OR(26&gt;$R53,BR53&lt;=$I53),BR53,BR53-MIN(INT(ROUND(IF($F53=1,$C53*$J53,IF(FQ53&gt;0,FQ53*$K53,BR53*$J53))*IF(26=$R53,$S53,12)/12,6)+$B$4),BR53-$I53)))))</f>
        <v/>
      </c>
      <c r="BT53" s="68">
        <f>IF($U53=0,0,IF($F53=4,0,IF($F53=3,0,IF(OR(27&gt;$R53,BS53&lt;=$I53),BS53,BS53-MIN(INT(ROUND(IF($F53=1,$C53*$J53,IF(FR53&gt;0,FR53*$K53,BS53*$J53))*IF(27=$R53,$S53,12)/12,6)+$B$4),BS53-$I53)))))</f>
        <v/>
      </c>
      <c r="BU53" s="68">
        <f>IF($U53=0,0,IF($F53=4,0,IF($F53=3,0,IF(OR(28&gt;$R53,BT53&lt;=$I53),BT53,BT53-MIN(INT(ROUND(IF($F53=1,$C53*$J53,IF(FS53&gt;0,FS53*$K53,BT53*$J53))*IF(28=$R53,$S53,12)/12,6)+$B$4),BT53-$I53)))))</f>
        <v/>
      </c>
      <c r="BV53" s="68">
        <f>IF($U53=0,0,IF($F53=4,0,IF($F53=3,0,IF(OR(29&gt;$R53,BU53&lt;=$I53),BU53,BU53-MIN(INT(ROUND(IF($F53=1,$C53*$J53,IF(FT53&gt;0,FT53*$K53,BU53*$J53))*IF(29=$R53,$S53,12)/12,6)+$B$4),BU53-$I53)))))</f>
        <v/>
      </c>
      <c r="BW53" s="68">
        <f>IF($U53=0,0,IF($F53=4,0,IF($F53=3,0,IF(OR(30&gt;$R53,BV53&lt;=$I53),BV53,BV53-MIN(INT(ROUND(IF($F53=1,$C53*$J53,IF(FU53&gt;0,FU53*$K53,BV53*$J53))*IF(30=$R53,$S53,12)/12,6)+$B$4),BV53-$I53)))))</f>
        <v/>
      </c>
      <c r="BX53" s="68">
        <f>IF($U53=0,0,IF($F53=4,0,IF($F53=3,0,IF(OR(31&gt;$R53,BW53&lt;=$I53),BW53,BW53-MIN(INT(ROUND(IF($F53=1,$C53*$J53,IF(FV53&gt;0,FV53*$K53,BW53*$J53))*IF(31=$R53,$S53,12)/12,6)+$B$4),BW53-$I53)))))</f>
        <v/>
      </c>
      <c r="BY53" s="68">
        <f>IF($U53=0,0,IF($F53=4,0,IF($F53=3,0,IF(OR(32&gt;$R53,BX53&lt;=$I53),BX53,BX53-MIN(INT(ROUND(IF($F53=1,$C53*$J53,IF(FW53&gt;0,FW53*$K53,BX53*$J53))*IF(32=$R53,$S53,12)/12,6)+$B$4),BX53-$I53)))))</f>
        <v/>
      </c>
      <c r="BZ53" s="68">
        <f>IF($U53=0,0,IF($F53=4,0,IF($F53=3,0,IF(OR(33&gt;$R53,BY53&lt;=$I53),BY53,BY53-MIN(INT(ROUND(IF($F53=1,$C53*$J53,IF(FX53&gt;0,FX53*$K53,BY53*$J53))*IF(33=$R53,$S53,12)/12,6)+$B$4),BY53-$I53)))))</f>
        <v/>
      </c>
      <c r="CA53" s="68">
        <f>IF($U53=0,0,IF($F53=4,0,IF($F53=3,0,IF(OR(34&gt;$R53,BZ53&lt;=$I53),BZ53,BZ53-MIN(INT(ROUND(IF($F53=1,$C53*$J53,IF(FY53&gt;0,FY53*$K53,BZ53*$J53))*IF(34=$R53,$S53,12)/12,6)+$B$4),BZ53-$I53)))))</f>
        <v/>
      </c>
      <c r="CB53" s="68">
        <f>IF($U53=0,0,IF($F53=4,0,IF($F53=3,0,IF(OR(35&gt;$R53,CA53&lt;=$I53),CA53,CA53-MIN(INT(ROUND(IF($F53=1,$C53*$J53,IF(FZ53&gt;0,FZ53*$K53,CA53*$J53))*IF(35=$R53,$S53,12)/12,6)+$B$4),CA53-$I53)))))</f>
        <v/>
      </c>
      <c r="CC53" s="68">
        <f>IF($U53=0,0,IF($F53=4,0,IF($F53=3,0,IF(OR(36&gt;$R53,CB53&lt;=$I53),CB53,CB53-MIN(INT(ROUND(IF($F53=1,$C53*$J53,IF(GA53&gt;0,GA53*$K53,CB53*$J53))*IF(36=$R53,$S53,12)/12,6)+$B$4),CB53-$I53)))))</f>
        <v/>
      </c>
      <c r="CD53" s="68">
        <f>IF($U53=0,0,IF($F53=4,0,IF($F53=3,0,IF(OR(37&gt;$R53,CC53&lt;=$I53),CC53,CC53-MIN(INT(ROUND(IF($F53=1,$C53*$J53,IF(GB53&gt;0,GB53*$K53,CC53*$J53))*IF(37=$R53,$S53,12)/12,6)+$B$4),CC53-$I53)))))</f>
        <v/>
      </c>
      <c r="CE53" s="68">
        <f>IF($U53=0,0,IF($F53=4,0,IF($F53=3,0,IF(OR(38&gt;$R53,CD53&lt;=$I53),CD53,CD53-MIN(INT(ROUND(IF($F53=1,$C53*$J53,IF(GC53&gt;0,GC53*$K53,CD53*$J53))*IF(38=$R53,$S53,12)/12,6)+$B$4),CD53-$I53)))))</f>
        <v/>
      </c>
      <c r="CF53" s="68">
        <f>IF($U53=0,0,IF($F53=4,0,IF($F53=3,0,IF(OR(39&gt;$R53,CE53&lt;=$I53),CE53,CE53-MIN(INT(ROUND(IF($F53=1,$C53*$J53,IF(GD53&gt;0,GD53*$K53,CE53*$J53))*IF(39=$R53,$S53,12)/12,6)+$B$4),CE53-$I53)))))</f>
        <v/>
      </c>
      <c r="CG53" s="68">
        <f>IF($U53=0,0,IF($F53=4,0,IF($F53=3,0,IF(OR(40&gt;$R53,CF53&lt;=$I53),CF53,CF53-MIN(INT(ROUND(IF($F53=1,$C53*$J53,IF(GE53&gt;0,GE53*$K53,CF53*$J53))*IF(40=$R53,$S53,12)/12,6)+$B$4),CF53-$I53)))))</f>
        <v/>
      </c>
      <c r="CH53" s="68">
        <f>IF($U53=0,0,IF($F53=4,0,IF($F53=3,0,IF(OR(41&gt;$R53,CG53&lt;=$I53),CG53,CG53-MIN(INT(ROUND(IF($F53=1,$C53*$J53,IF(GF53&gt;0,GF53*$K53,CG53*$J53))*IF(41=$R53,$S53,12)/12,6)+$B$4),CG53-$I53)))))</f>
        <v/>
      </c>
      <c r="CI53" s="68">
        <f>IF($U53=0,0,IF($F53=4,0,IF($F53=3,0,IF(OR(42&gt;$R53,CH53&lt;=$I53),CH53,CH53-MIN(INT(ROUND(IF($F53=1,$C53*$J53,IF(GG53&gt;0,GG53*$K53,CH53*$J53))*IF(42=$R53,$S53,12)/12,6)+$B$4),CH53-$I53)))))</f>
        <v/>
      </c>
      <c r="CJ53" s="68">
        <f>IF($U53=0,0,IF($F53=4,0,IF($F53=3,0,IF(OR(43&gt;$R53,CI53&lt;=$I53),CI53,CI53-MIN(INT(ROUND(IF($F53=1,$C53*$J53,IF(GH53&gt;0,GH53*$K53,CI53*$J53))*IF(43=$R53,$S53,12)/12,6)+$B$4),CI53-$I53)))))</f>
        <v/>
      </c>
      <c r="CK53" s="68">
        <f>IF($U53=0,0,IF($F53=4,0,IF($F53=3,0,IF(OR(44&gt;$R53,CJ53&lt;=$I53),CJ53,CJ53-MIN(INT(ROUND(IF($F53=1,$C53*$J53,IF(GI53&gt;0,GI53*$K53,CJ53*$J53))*IF(44=$R53,$S53,12)/12,6)+$B$4),CJ53-$I53)))))</f>
        <v/>
      </c>
      <c r="CL53" s="68">
        <f>IF($U53=0,0,IF($F53=4,0,IF($F53=3,0,IF(OR(45&gt;$R53,CK53&lt;=$I53),CK53,CK53-MIN(INT(ROUND(IF($F53=1,$C53*$J53,IF(GJ53&gt;0,GJ53*$K53,CK53*$J53))*IF(45=$R53,$S53,12)/12,6)+$B$4),CK53-$I53)))))</f>
        <v/>
      </c>
      <c r="CM53" s="68">
        <f>IF($U53=0,0,IF($F53=4,0,IF($F53=3,0,IF(OR(46&gt;$R53,CL53&lt;=$I53),CL53,CL53-MIN(INT(ROUND(IF($F53=1,$C53*$J53,IF(GK53&gt;0,GK53*$K53,CL53*$J53))*IF(46=$R53,$S53,12)/12,6)+$B$4),CL53-$I53)))))</f>
        <v/>
      </c>
      <c r="CN53" s="68">
        <f>IF($U53=0,0,IF($F53=4,0,IF($F53=3,0,IF(OR(47&gt;$R53,CM53&lt;=$I53),CM53,CM53-MIN(INT(ROUND(IF($F53=1,$C53*$J53,IF(GL53&gt;0,GL53*$K53,CM53*$J53))*IF(47=$R53,$S53,12)/12,6)+$B$4),CM53-$I53)))))</f>
        <v/>
      </c>
      <c r="CO53" s="68">
        <f>IF($U53=0,0,IF($F53=4,0,IF($F53=3,0,IF(OR(48&gt;$R53,CN53&lt;=$I53),CN53,CN53-MIN(INT(ROUND(IF($F53=1,$C53*$J53,IF(GM53&gt;0,GM53*$K53,CN53*$J53))*IF(48=$R53,$S53,12)/12,6)+$B$4),CN53-$I53)))))</f>
        <v/>
      </c>
      <c r="CP53" s="68">
        <f>IF($U53=0,0,IF($F53=4,0,IF($F53=3,0,IF(OR(49&gt;$R53,CO53&lt;=$I53),CO53,CO53-MIN(INT(ROUND(IF($F53=1,$C53*$J53,IF(GN53&gt;0,GN53*$K53,CO53*$J53))*IF(49=$R53,$S53,12)/12,6)+$B$4),CO53-$I53)))))</f>
        <v/>
      </c>
      <c r="CQ53" s="68">
        <f>IF($U53=0,0,IF($F53=4,0,IF($F53=3,0,IF(OR(50&gt;$R53,CP53&lt;=$I53),CP53,CP53-MIN(INT(ROUND(IF($F53=1,$C53*$J53,IF(GO53&gt;0,GO53*$K53,CP53*$J53))*IF(50=$R53,$S53,12)/12,6)+$B$4),CP53-$I53)))))</f>
        <v/>
      </c>
      <c r="CR53" s="68">
        <f>IF($U53=0,0,IF($F53=4,0,IF($F53=3,0,IF(OR(51&gt;$R53,CQ53&lt;=$I53),CQ53,CQ53-MIN(INT(ROUND(IF($F53=1,$C53*$J53,IF(GP53&gt;0,GP53*$K53,CQ53*$J53))*IF(51=$R53,$S53,12)/12,6)+$B$4),CQ53-$I53)))))</f>
        <v/>
      </c>
      <c r="CS53" s="68">
        <f>IF($U53=0,0,IF($F53=4,0,IF($F53=3,0,IF(OR(52&gt;$R53,CR53&lt;=$I53),CR53,CR53-MIN(INT(ROUND(IF($F53=1,$C53*$J53,IF(GQ53&gt;0,GQ53*$K53,CR53*$J53))*IF(52=$R53,$S53,12)/12,6)+$B$4),CR53-$I53)))))</f>
        <v/>
      </c>
      <c r="CT53" s="68">
        <f>IF($U53=0,0,IF($F53=4,0,IF($F53=3,0,IF(OR(53&gt;$R53,CS53&lt;=$I53),CS53,CS53-MIN(INT(ROUND(IF($F53=1,$C53*$J53,IF(GR53&gt;0,GR53*$K53,CS53*$J53))*IF(53=$R53,$S53,12)/12,6)+$B$4),CS53-$I53)))))</f>
        <v/>
      </c>
      <c r="CU53" s="68">
        <f>IF($U53=0,0,IF($F53=4,0,IF($F53=3,0,IF(OR(54&gt;$R53,CT53&lt;=$I53),CT53,CT53-MIN(INT(ROUND(IF($F53=1,$C53*$J53,IF(GS53&gt;0,GS53*$K53,CT53*$J53))*IF(54=$R53,$S53,12)/12,6)+$B$4),CT53-$I53)))))</f>
        <v/>
      </c>
      <c r="CV53" s="68">
        <f>IF($U53=0,0,IF($F53=4,0,IF($F53=3,0,IF(OR(55&gt;$R53,CU53&lt;=$I53),CU53,CU53-MIN(INT(ROUND(IF($F53=1,$C53*$J53,IF(GT53&gt;0,GT53*$K53,CU53*$J53))*IF(55=$R53,$S53,12)/12,6)+$B$4),CU53-$I53)))))</f>
        <v/>
      </c>
      <c r="CW53" s="68">
        <f>IF($U53=0,0,IF($F53=4,0,IF($F53=3,0,IF(OR(56&gt;$R53,CV53&lt;=$I53),CV53,CV53-MIN(INT(ROUND(IF($F53=1,$C53*$J53,IF(GU53&gt;0,GU53*$K53,CV53*$J53))*IF(56=$R53,$S53,12)/12,6)+$B$4),CV53-$I53)))))</f>
        <v/>
      </c>
      <c r="CX53" s="68">
        <f>IF($U53=0,0,IF($F53=4,0,IF($F53=3,0,IF(OR(57&gt;$R53,CW53&lt;=$I53),CW53,CW53-MIN(INT(ROUND(IF($F53=1,$C53*$J53,IF(GV53&gt;0,GV53*$K53,CW53*$J53))*IF(57=$R53,$S53,12)/12,6)+$B$4),CW53-$I53)))))</f>
        <v/>
      </c>
      <c r="CY53" s="68">
        <f>IF($U53=0,0,IF($F53=4,0,IF($F53=3,0,IF(OR(58&gt;$R53,CX53&lt;=$I53),CX53,CX53-MIN(INT(ROUND(IF($F53=1,$C53*$J53,IF(GW53&gt;0,GW53*$K53,CX53*$J53))*IF(58=$R53,$S53,12)/12,6)+$B$4),CX53-$I53)))))</f>
        <v/>
      </c>
      <c r="CZ53" s="68">
        <f>IF($U53=0,0,IF($F53=4,0,IF($F53=3,0,IF(OR(59&gt;$R53,CY53&lt;=$I53),CY53,CY53-MIN(INT(ROUND(IF($F53=1,$C53*$J53,IF(GX53&gt;0,GX53*$K53,CY53*$J53))*IF(59=$R53,$S53,12)/12,6)+$B$4),CY53-$I53)))))</f>
        <v/>
      </c>
      <c r="DA53" s="68">
        <f>IF($U53=0,0,IF($F53=4,0,IF($F53=3,0,IF(OR(60&gt;$R53,CZ53&lt;=$I53),CZ53,CZ53-MIN(INT(ROUND(IF($F53=1,$C53*$J53,IF(GY53&gt;0,GY53*$K53,CZ53*$J53))*IF(60=$R53,$S53,12)/12,6)+$B$4),CZ53-$I53)))))</f>
        <v/>
      </c>
      <c r="DB53" s="68">
        <f>IF($U53=0,0,IF($F53=4,0,IF($F53=3,0,IF(OR(61&gt;$R53,DA53&lt;=$I53),DA53,DA53-MIN(INT(ROUND(IF($F53=1,$C53*$J53,IF(GZ53&gt;0,GZ53*$K53,DA53*$J53))*IF(61=$R53,$S53,12)/12,6)+$B$4),DA53-$I53)))))</f>
        <v/>
      </c>
      <c r="DC53" s="68">
        <f>IF($U53=0,0,IF($F53=4,0,IF($F53=3,0,IF(OR(62&gt;$R53,DB53&lt;=$I53),DB53,DB53-MIN(INT(ROUND(IF($F53=1,$C53*$J53,IF(HA53&gt;0,HA53*$K53,DB53*$J53))*IF(62=$R53,$S53,12)/12,6)+$B$4),DB53-$I53)))))</f>
        <v/>
      </c>
      <c r="DD53" s="68">
        <f>IF($U53=0,0,IF($F53=4,0,IF($F53=3,0,IF(OR(63&gt;$R53,DC53&lt;=$I53),DC53,DC53-MIN(INT(ROUND(IF($F53=1,$C53*$J53,IF(HB53&gt;0,HB53*$K53,DC53*$J53))*IF(63=$R53,$S53,12)/12,6)+$B$4),DC53-$I53)))))</f>
        <v/>
      </c>
      <c r="DE53" s="68">
        <f>IF($U53=0,0,IF($F53=4,0,IF($F53=3,0,IF(OR(64&gt;$R53,DD53&lt;=$I53),DD53,DD53-MIN(INT(ROUND(IF($F53=1,$C53*$J53,IF(HC53&gt;0,HC53*$K53,DD53*$J53))*IF(64=$R53,$S53,12)/12,6)+$B$4),DD53-$I53)))))</f>
        <v/>
      </c>
      <c r="DF53" s="68">
        <f>IF($U53=0,0,IF($F53=4,0,IF($F53=3,0,IF(OR(65&gt;$R53,DE53&lt;=$I53),DE53,DE53-MIN(INT(ROUND(IF($F53=1,$C53*$J53,IF(HD53&gt;0,HD53*$K53,DE53*$J53))*IF(65=$R53,$S53,12)/12,6)+$B$4),DE53-$I53)))))</f>
        <v/>
      </c>
      <c r="DG53" s="68">
        <f>IF($U53=0,0,IF($F53=4,0,IF($F53=3,0,IF(OR(66&gt;$R53,DF53&lt;=$I53),DF53,DF53-MIN(INT(ROUND(IF($F53=1,$C53*$J53,IF(HE53&gt;0,HE53*$K53,DF53*$J53))*IF(66=$R53,$S53,12)/12,6)+$B$4),DF53-$I53)))))</f>
        <v/>
      </c>
      <c r="DH53" s="68">
        <f>IF($U53=0,0,IF($F53=4,0,IF($F53=3,0,IF(OR(67&gt;$R53,DG53&lt;=$I53),DG53,DG53-MIN(INT(ROUND(IF($F53=1,$C53*$J53,IF(HF53&gt;0,HF53*$K53,DG53*$J53))*IF(67=$R53,$S53,12)/12,6)+$B$4),DG53-$I53)))))</f>
        <v/>
      </c>
      <c r="DI53" s="68">
        <f>IF($U53=0,0,IF($F53=4,0,IF($F53=3,0,IF(OR(68&gt;$R53,DH53&lt;=$I53),DH53,DH53-MIN(INT(ROUND(IF($F53=1,$C53*$J53,IF(HG53&gt;0,HG53*$K53,DH53*$J53))*IF(68=$R53,$S53,12)/12,6)+$B$4),DH53-$I53)))))</f>
        <v/>
      </c>
      <c r="DJ53" s="68">
        <f>IF($U53=0,0,IF($F53=4,0,IF($F53=3,0,IF(OR(69&gt;$R53,DI53&lt;=$I53),DI53,DI53-MIN(INT(ROUND(IF($F53=1,$C53*$J53,IF(HH53&gt;0,HH53*$K53,DI53*$J53))*IF(69=$R53,$S53,12)/12,6)+$B$4),DI53-$I53)))))</f>
        <v/>
      </c>
      <c r="DK53" s="68">
        <f>IF($U53=0,0,IF($F53=4,0,IF($F53=3,0,IF(OR(70&gt;$R53,DJ53&lt;=$I53),DJ53,DJ53-MIN(INT(ROUND(IF($F53=1,$C53*$J53,IF(HI53&gt;0,HI53*$K53,DJ53*$J53))*IF(70=$R53,$S53,12)/12,6)+$B$4),DJ53-$I53)))))</f>
        <v/>
      </c>
      <c r="DL53" s="68">
        <f>IF($U53=0,0,IF($F53=4,0,IF($F53=3,0,IF(OR(71&gt;$R53,DK53&lt;=$I53),DK53,DK53-MIN(INT(ROUND(IF($F53=1,$C53*$J53,IF(HJ53&gt;0,HJ53*$K53,DK53*$J53))*IF(71=$R53,$S53,12)/12,6)+$B$4),DK53-$I53)))))</f>
        <v/>
      </c>
      <c r="DM53" s="68">
        <f>IF($U53=0,0,IF($F53=4,0,IF($F53=3,0,IF(OR(72&gt;$R53,DL53&lt;=$I53),DL53,DL53-MIN(INT(ROUND(IF($F53=1,$C53*$J53,IF(HK53&gt;0,HK53*$K53,DL53*$J53))*IF(72=$R53,$S53,12)/12,6)+$B$4),DL53-$I53)))))</f>
        <v/>
      </c>
      <c r="DN53" s="68">
        <f>IF($U53=0,0,IF($F53=4,0,IF($F53=3,0,IF(OR(73&gt;$R53,DM53&lt;=$I53),DM53,DM53-MIN(INT(ROUND(IF($F53=1,$C53*$J53,IF(HL53&gt;0,HL53*$K53,DM53*$J53))*IF(73=$R53,$S53,12)/12,6)+$B$4),DM53-$I53)))))</f>
        <v/>
      </c>
      <c r="DO53" s="68">
        <f>IF($U53=0,0,IF($F53=4,0,IF($F53=3,0,IF(OR(74&gt;$R53,DN53&lt;=$I53),DN53,DN53-MIN(INT(ROUND(IF($F53=1,$C53*$J53,IF(HM53&gt;0,HM53*$K53,DN53*$J53))*IF(74=$R53,$S53,12)/12,6)+$B$4),DN53-$I53)))))</f>
        <v/>
      </c>
      <c r="DP53" s="68">
        <f>IF($U53=0,0,IF($F53=4,0,IF($F53=3,0,IF(OR(75&gt;$R53,DO53&lt;=$I53),DO53,DO53-MIN(INT(ROUND(IF($F53=1,$C53*$J53,IF(HN53&gt;0,HN53*$K53,DO53*$J53))*IF(75=$R53,$S53,12)/12,6)+$B$4),DO53-$I53)))))</f>
        <v/>
      </c>
      <c r="DQ53" s="68">
        <f>IF($U53=0,0,IF($F53=4,0,IF($F53=3,0,IF(OR(76&gt;$R53,DP53&lt;=$I53),DP53,DP53-MIN(INT(ROUND(IF($F53=1,$C53*$J53,IF(HO53&gt;0,HO53*$K53,DP53*$J53))*IF(76=$R53,$S53,12)/12,6)+$B$4),DP53-$I53)))))</f>
        <v/>
      </c>
      <c r="DR53" s="68">
        <f>IF($U53=0,0,IF($F53=4,0,IF($F53=3,0,IF(OR(77&gt;$R53,DQ53&lt;=$I53),DQ53,DQ53-MIN(INT(ROUND(IF($F53=1,$C53*$J53,IF(HP53&gt;0,HP53*$K53,DQ53*$J53))*IF(77=$R53,$S53,12)/12,6)+$B$4),DQ53-$I53)))))</f>
        <v/>
      </c>
      <c r="DS53" s="68">
        <f>IF($U53=0,0,IF($F53=4,0,IF($F53=3,0,IF(OR(78&gt;$R53,DR53&lt;=$I53),DR53,DR53-MIN(INT(ROUND(IF($F53=1,$C53*$J53,IF(HQ53&gt;0,HQ53*$K53,DR53*$J53))*IF(78=$R53,$S53,12)/12,6)+$B$4),DR53-$I53)))))</f>
        <v/>
      </c>
      <c r="DT53" s="68">
        <f>IF($U53=0,0,IF($F53=4,0,IF($F53=3,0,IF(OR(79&gt;$R53,DS53&lt;=$I53),DS53,DS53-MIN(INT(ROUND(IF($F53=1,$C53*$J53,IF(HR53&gt;0,HR53*$K53,DS53*$J53))*IF(79=$R53,$S53,12)/12,6)+$B$4),DS53-$I53)))))</f>
        <v/>
      </c>
      <c r="DU53" s="68">
        <f>IF($U53=0,0,IF($F53=4,0,IF($F53=3,0,IF(OR(80&gt;$R53,DT53&lt;=$I53),DT53,DT53-MIN(INT(ROUND(IF($F53=1,$C53*$J53,IF(HS53&gt;0,HS53*$K53,DT53*$J53))*IF(80=$R53,$S53,12)/12,6)+$B$4),DT53-$I53)))))</f>
        <v/>
      </c>
      <c r="DV53" s="68">
        <f>IF($U53=0,0,IF($F53=4,0,IF($F53=3,0,IF(OR(81&gt;$R53,DU53&lt;=$I53),DU53,DU53-MIN(INT(ROUND(IF($F53=1,$C53*$J53,IF(HT53&gt;0,HT53*$K53,DU53*$J53))*IF(81=$R53,$S53,12)/12,6)+$B$4),DU53-$I53)))))</f>
        <v/>
      </c>
      <c r="DW53" s="68">
        <f>IF($U53=0,0,IF($F53=4,0,IF($F53=3,0,IF(OR(82&gt;$R53,DV53&lt;=$I53),DV53,DV53-MIN(INT(ROUND(IF($F53=1,$C53*$J53,IF(HU53&gt;0,HU53*$K53,DV53*$J53))*IF(82=$R53,$S53,12)/12,6)+$B$4),DV53-$I53)))))</f>
        <v/>
      </c>
      <c r="DX53" s="68">
        <f>IF($U53=0,0,IF($F53=4,0,IF($F53=3,0,IF(OR(83&gt;$R53,DW53&lt;=$I53),DW53,DW53-MIN(INT(ROUND(IF($F53=1,$C53*$J53,IF(HV53&gt;0,HV53*$K53,DW53*$J53))*IF(83=$R53,$S53,12)/12,6)+$B$4),DW53-$I53)))))</f>
        <v/>
      </c>
      <c r="DY53" s="68">
        <f>IF($U53=0,0,IF($F53=4,0,IF($F53=3,0,IF(OR(84&gt;$R53,DX53&lt;=$I53),DX53,DX53-MIN(INT(ROUND(IF($F53=1,$C53*$J53,IF(HW53&gt;0,HW53*$K53,DX53*$J53))*IF(84=$R53,$S53,12)/12,6)+$B$4),DX53-$I53)))))</f>
        <v/>
      </c>
      <c r="DZ53" s="68">
        <f>IF($U53=0,0,IF($F53=4,0,IF($F53=3,0,IF(OR(85&gt;$R53,DY53&lt;=$I53),DY53,DY53-MIN(INT(ROUND(IF($F53=1,$C53*$J53,IF(HX53&gt;0,HX53*$K53,DY53*$J53))*IF(85=$R53,$S53,12)/12,6)+$B$4),DY53-$I53)))))</f>
        <v/>
      </c>
      <c r="EA53" s="68">
        <f>IF($U53=0,0,IF($F53=4,0,IF($F53=3,0,IF(OR(86&gt;$R53,DZ53&lt;=$I53),DZ53,DZ53-MIN(INT(ROUND(IF($F53=1,$C53*$J53,IF(HY53&gt;0,HY53*$K53,DZ53*$J53))*IF(86=$R53,$S53,12)/12,6)+$B$4),DZ53-$I53)))))</f>
        <v/>
      </c>
      <c r="EB53" s="68">
        <f>IF($U53=0,0,IF($F53=4,0,IF($F53=3,0,IF(OR(87&gt;$R53,EA53&lt;=$I53),EA53,EA53-MIN(INT(ROUND(IF($F53=1,$C53*$J53,IF(HZ53&gt;0,HZ53*$K53,EA53*$J53))*IF(87=$R53,$S53,12)/12,6)+$B$4),EA53-$I53)))))</f>
        <v/>
      </c>
      <c r="EC53" s="68">
        <f>IF($U53=0,0,IF($F53=4,0,IF($F53=3,0,IF(OR(88&gt;$R53,EB53&lt;=$I53),EB53,EB53-MIN(INT(ROUND(IF($F53=1,$C53*$J53,IF(IA53&gt;0,IA53*$K53,EB53*$J53))*IF(88=$R53,$S53,12)/12,6)+$B$4),EB53-$I53)))))</f>
        <v/>
      </c>
      <c r="ED53" s="68">
        <f>IF($U53=0,0,IF($F53=4,0,IF($F53=3,0,IF(OR(89&gt;$R53,EC53&lt;=$I53),EC53,EC53-MIN(INT(ROUND(IF($F53=1,$C53*$J53,IF(IB53&gt;0,IB53*$K53,EC53*$J53))*IF(89=$R53,$S53,12)/12,6)+$B$4),EC53-$I53)))))</f>
        <v/>
      </c>
      <c r="EE53" s="68">
        <f>IF($U53=0,0,IF($F53=4,0,IF($F53=3,0,IF(OR(90&gt;$R53,ED53&lt;=$I53),ED53,ED53-MIN(INT(ROUND(IF($F53=1,$C53*$J53,IF(IC53&gt;0,IC53*$K53,ED53*$J53))*IF(90=$R53,$S53,12)/12,6)+$B$4),ED53-$I53)))))</f>
        <v/>
      </c>
      <c r="EF53" s="68">
        <f>IF($U53=0,0,IF($F53=4,0,IF($F53=3,0,IF(OR(91&gt;$R53,EE53&lt;=$I53),EE53,EE53-MIN(INT(ROUND(IF($F53=1,$C53*$J53,IF(ID53&gt;0,ID53*$K53,EE53*$J53))*IF(91=$R53,$S53,12)/12,6)+$B$4),EE53-$I53)))))</f>
        <v/>
      </c>
      <c r="EG53" s="68">
        <f>IF($U53=0,0,IF($F53=4,0,IF($F53=3,0,IF(OR(92&gt;$R53,EF53&lt;=$I53),EF53,EF53-MIN(INT(ROUND(IF($F53=1,$C53*$J53,IF(IE53&gt;0,IE53*$K53,EF53*$J53))*IF(92=$R53,$S53,12)/12,6)+$B$4),EF53-$I53)))))</f>
        <v/>
      </c>
      <c r="EH53" s="68">
        <f>IF($U53=0,0,IF($F53=4,0,IF($F53=3,0,IF(OR(93&gt;$R53,EG53&lt;=$I53),EG53,EG53-MIN(INT(ROUND(IF($F53=1,$C53*$J53,IF(IF53&gt;0,IF53*$K53,EG53*$J53))*IF(93=$R53,$S53,12)/12,6)+$B$4),EG53-$I53)))))</f>
        <v/>
      </c>
      <c r="EI53" s="68">
        <f>IF($U53=0,0,IF($F53=4,0,IF($F53=3,0,IF(OR(94&gt;$R53,EH53&lt;=$I53),EH53,EH53-MIN(INT(ROUND(IF($F53=1,$C53*$J53,IF(IG53&gt;0,IG53*$K53,EH53*$J53))*IF(94=$R53,$S53,12)/12,6)+$B$4),EH53-$I53)))))</f>
        <v/>
      </c>
      <c r="EJ53" s="68">
        <f>IF($U53=0,0,IF($F53=4,0,IF($F53=3,0,IF(OR(95&gt;$R53,EI53&lt;=$I53),EI53,EI53-MIN(INT(ROUND(IF($F53=1,$C53*$J53,IF(IH53&gt;0,IH53*$K53,EI53*$J53))*IF(95=$R53,$S53,12)/12,6)+$B$4),EI53-$I53)))))</f>
        <v/>
      </c>
      <c r="EK53" s="68">
        <f>IF($U53=0,0,IF($F53=4,0,IF($F53=3,0,IF(OR(96&gt;$R53,EJ53&lt;=$I53),EJ53,EJ53-MIN(INT(ROUND(IF($F53=1,$C53*$J53,IF(II53&gt;0,II53*$K53,EJ53*$J53))*IF(96=$R53,$S53,12)/12,6)+$B$4),EJ53-$I53)))))</f>
        <v/>
      </c>
      <c r="EL53" s="68">
        <f>IF($U53=0,0,IF($F53=4,0,IF($F53=3,0,IF(OR(97&gt;$R53,EK53&lt;=$I53),EK53,EK53-MIN(INT(ROUND(IF($F53=1,$C53*$J53,IF(IJ53&gt;0,IJ53*$K53,EK53*$J53))*IF(97=$R53,$S53,12)/12,6)+$B$4),EK53-$I53)))))</f>
        <v/>
      </c>
      <c r="EM53" s="68">
        <f>IF($U53=0,0,IF($F53=4,0,IF($F53=3,0,IF(OR(98&gt;$R53,EL53&lt;=$I53),EL53,EL53-MIN(INT(ROUND(IF($F53=1,$C53*$J53,IF(IK53&gt;0,IK53*$K53,EL53*$J53))*IF(98=$R53,$S53,12)/12,6)+$B$4),EL53-$I53)))))</f>
        <v/>
      </c>
      <c r="EN53" s="68">
        <f>IF($U53=0,0,IF($F53=4,0,IF($F53=3,0,IF(OR(99&gt;$R53,EM53&lt;=$I53),EM53,EM53-MIN(INT(ROUND(IF($F53=1,$C53*$J53,IF(IL53&gt;0,IL53*$K53,EM53*$J53))*IF(99=$R53,$S53,12)/12,6)+$B$4),EM53-$I53)))))</f>
        <v/>
      </c>
      <c r="EO53" s="68">
        <f>IF($U53=0,0,IF($F53=4,0,IF($F53=3,0,IF(OR(100&gt;$R53,EN53&lt;=$I53),EN53,EN53-MIN(INT(ROUND(IF($F53=1,$C53*$J53,IF(IM53&gt;0,IM53*$K53,EN53*$J53))*IF(100=$R53,$S53,12)/12,6)+$B$4),EN53-$I53)))))</f>
        <v/>
      </c>
      <c r="EP53" s="68">
        <f>IF($U53=0,0,IF($F53=4,0,IF($F53=3,0,IF(OR(101&gt;$R53,EO53&lt;=$I53),EO53,EO53-MIN(INT(ROUND(IF($F53=1,$C53*$J53,IF(IN53&gt;0,IN53*$K53,EO53*$J53))*IF(101=$R53,$S53,12)/12,6)+$B$4),EO53-$I53)))))</f>
        <v/>
      </c>
      <c r="EQ53" s="68" t="n"/>
      <c r="ER53" s="68">
        <f>IF(OR($U53=0,$F53&lt;&gt;2),0,IF(ROUND(AS53*$J53,6)&lt;ROUND($M53,6),AS53,0))</f>
        <v/>
      </c>
      <c r="ES53" s="68">
        <f>IF(OR($U53=0,$F53&lt;&gt;2),0,IF(ER53&gt;0,ER53,IF(ROUND(AT53*$J53,6)&lt;ROUND($M53,6),AT53,0)))</f>
        <v/>
      </c>
      <c r="ET53" s="68">
        <f>IF(OR($U53=0,$F53&lt;&gt;2),0,IF(ES53&gt;0,ES53,IF(ROUND(AU53*$J53,6)&lt;ROUND($M53,6),AU53,0)))</f>
        <v/>
      </c>
      <c r="EU53" s="68">
        <f>IF(OR($U53=0,$F53&lt;&gt;2),0,IF(ET53&gt;0,ET53,IF(ROUND(AV53*$J53,6)&lt;ROUND($M53,6),AV53,0)))</f>
        <v/>
      </c>
      <c r="EV53" s="68">
        <f>IF(OR($U53=0,$F53&lt;&gt;2),0,IF(EU53&gt;0,EU53,IF(ROUND(AW53*$J53,6)&lt;ROUND($M53,6),AW53,0)))</f>
        <v/>
      </c>
      <c r="EW53" s="68">
        <f>IF(OR($U53=0,$F53&lt;&gt;2),0,IF(EV53&gt;0,EV53,IF(ROUND(AX53*$J53,6)&lt;ROUND($M53,6),AX53,0)))</f>
        <v/>
      </c>
      <c r="EX53" s="68">
        <f>IF(OR($U53=0,$F53&lt;&gt;2),0,IF(EW53&gt;0,EW53,IF(ROUND(AY53*$J53,6)&lt;ROUND($M53,6),AY53,0)))</f>
        <v/>
      </c>
      <c r="EY53" s="68">
        <f>IF(OR($U53=0,$F53&lt;&gt;2),0,IF(EX53&gt;0,EX53,IF(ROUND(AZ53*$J53,6)&lt;ROUND($M53,6),AZ53,0)))</f>
        <v/>
      </c>
      <c r="EZ53" s="68">
        <f>IF(OR($U53=0,$F53&lt;&gt;2),0,IF(EY53&gt;0,EY53,IF(ROUND(BA53*$J53,6)&lt;ROUND($M53,6),BA53,0)))</f>
        <v/>
      </c>
      <c r="FA53" s="68">
        <f>IF(OR($U53=0,$F53&lt;&gt;2),0,IF(EZ53&gt;0,EZ53,IF(ROUND(BB53*$J53,6)&lt;ROUND($M53,6),BB53,0)))</f>
        <v/>
      </c>
      <c r="FB53" s="68">
        <f>IF(OR($U53=0,$F53&lt;&gt;2),0,IF(FA53&gt;0,FA53,IF(ROUND(BC53*$J53,6)&lt;ROUND($M53,6),BC53,0)))</f>
        <v/>
      </c>
      <c r="FC53" s="68">
        <f>IF(OR($U53=0,$F53&lt;&gt;2),0,IF(FB53&gt;0,FB53,IF(ROUND(BD53*$J53,6)&lt;ROUND($M53,6),BD53,0)))</f>
        <v/>
      </c>
      <c r="FD53" s="68">
        <f>IF(OR($U53=0,$F53&lt;&gt;2),0,IF(FC53&gt;0,FC53,IF(ROUND(BE53*$J53,6)&lt;ROUND($M53,6),BE53,0)))</f>
        <v/>
      </c>
      <c r="FE53" s="68">
        <f>IF(OR($U53=0,$F53&lt;&gt;2),0,IF(FD53&gt;0,FD53,IF(ROUND(BF53*$J53,6)&lt;ROUND($M53,6),BF53,0)))</f>
        <v/>
      </c>
      <c r="FF53" s="68">
        <f>IF(OR($U53=0,$F53&lt;&gt;2),0,IF(FE53&gt;0,FE53,IF(ROUND(BG53*$J53,6)&lt;ROUND($M53,6),BG53,0)))</f>
        <v/>
      </c>
      <c r="FG53" s="68">
        <f>IF(OR($U53=0,$F53&lt;&gt;2),0,IF(FF53&gt;0,FF53,IF(ROUND(BH53*$J53,6)&lt;ROUND($M53,6),BH53,0)))</f>
        <v/>
      </c>
      <c r="FH53" s="68">
        <f>IF(OR($U53=0,$F53&lt;&gt;2),0,IF(FG53&gt;0,FG53,IF(ROUND(BI53*$J53,6)&lt;ROUND($M53,6),BI53,0)))</f>
        <v/>
      </c>
      <c r="FI53" s="68">
        <f>IF(OR($U53=0,$F53&lt;&gt;2),0,IF(FH53&gt;0,FH53,IF(ROUND(BJ53*$J53,6)&lt;ROUND($M53,6),BJ53,0)))</f>
        <v/>
      </c>
      <c r="FJ53" s="68">
        <f>IF(OR($U53=0,$F53&lt;&gt;2),0,IF(FI53&gt;0,FI53,IF(ROUND(BK53*$J53,6)&lt;ROUND($M53,6),BK53,0)))</f>
        <v/>
      </c>
      <c r="FK53" s="68">
        <f>IF(OR($U53=0,$F53&lt;&gt;2),0,IF(FJ53&gt;0,FJ53,IF(ROUND(BL53*$J53,6)&lt;ROUND($M53,6),BL53,0)))</f>
        <v/>
      </c>
      <c r="FL53" s="68">
        <f>IF(OR($U53=0,$F53&lt;&gt;2),0,IF(FK53&gt;0,FK53,IF(ROUND(BM53*$J53,6)&lt;ROUND($M53,6),BM53,0)))</f>
        <v/>
      </c>
      <c r="FM53" s="68">
        <f>IF(OR($U53=0,$F53&lt;&gt;2),0,IF(FL53&gt;0,FL53,IF(ROUND(BN53*$J53,6)&lt;ROUND($M53,6),BN53,0)))</f>
        <v/>
      </c>
      <c r="FN53" s="68">
        <f>IF(OR($U53=0,$F53&lt;&gt;2),0,IF(FM53&gt;0,FM53,IF(ROUND(BO53*$J53,6)&lt;ROUND($M53,6),BO53,0)))</f>
        <v/>
      </c>
      <c r="FO53" s="68">
        <f>IF(OR($U53=0,$F53&lt;&gt;2),0,IF(FN53&gt;0,FN53,IF(ROUND(BP53*$J53,6)&lt;ROUND($M53,6),BP53,0)))</f>
        <v/>
      </c>
      <c r="FP53" s="68">
        <f>IF(OR($U53=0,$F53&lt;&gt;2),0,IF(FO53&gt;0,FO53,IF(ROUND(BQ53*$J53,6)&lt;ROUND($M53,6),BQ53,0)))</f>
        <v/>
      </c>
      <c r="FQ53" s="68">
        <f>IF(OR($U53=0,$F53&lt;&gt;2),0,IF(FP53&gt;0,FP53,IF(ROUND(BR53*$J53,6)&lt;ROUND($M53,6),BR53,0)))</f>
        <v/>
      </c>
      <c r="FR53" s="68">
        <f>IF(OR($U53=0,$F53&lt;&gt;2),0,IF(FQ53&gt;0,FQ53,IF(ROUND(BS53*$J53,6)&lt;ROUND($M53,6),BS53,0)))</f>
        <v/>
      </c>
      <c r="FS53" s="68">
        <f>IF(OR($U53=0,$F53&lt;&gt;2),0,IF(FR53&gt;0,FR53,IF(ROUND(BT53*$J53,6)&lt;ROUND($M53,6),BT53,0)))</f>
        <v/>
      </c>
      <c r="FT53" s="68">
        <f>IF(OR($U53=0,$F53&lt;&gt;2),0,IF(FS53&gt;0,FS53,IF(ROUND(BU53*$J53,6)&lt;ROUND($M53,6),BU53,0)))</f>
        <v/>
      </c>
      <c r="FU53" s="68">
        <f>IF(OR($U53=0,$F53&lt;&gt;2),0,IF(FT53&gt;0,FT53,IF(ROUND(BV53*$J53,6)&lt;ROUND($M53,6),BV53,0)))</f>
        <v/>
      </c>
      <c r="FV53" s="68">
        <f>IF(OR($U53=0,$F53&lt;&gt;2),0,IF(FU53&gt;0,FU53,IF(ROUND(BW53*$J53,6)&lt;ROUND($M53,6),BW53,0)))</f>
        <v/>
      </c>
      <c r="FW53" s="68">
        <f>IF(OR($U53=0,$F53&lt;&gt;2),0,IF(FV53&gt;0,FV53,IF(ROUND(BX53*$J53,6)&lt;ROUND($M53,6),BX53,0)))</f>
        <v/>
      </c>
      <c r="FX53" s="68">
        <f>IF(OR($U53=0,$F53&lt;&gt;2),0,IF(FW53&gt;0,FW53,IF(ROUND(BY53*$J53,6)&lt;ROUND($M53,6),BY53,0)))</f>
        <v/>
      </c>
      <c r="FY53" s="68">
        <f>IF(OR($U53=0,$F53&lt;&gt;2),0,IF(FX53&gt;0,FX53,IF(ROUND(BZ53*$J53,6)&lt;ROUND($M53,6),BZ53,0)))</f>
        <v/>
      </c>
      <c r="FZ53" s="68">
        <f>IF(OR($U53=0,$F53&lt;&gt;2),0,IF(FY53&gt;0,FY53,IF(ROUND(CA53*$J53,6)&lt;ROUND($M53,6),CA53,0)))</f>
        <v/>
      </c>
      <c r="GA53" s="68">
        <f>IF(OR($U53=0,$F53&lt;&gt;2),0,IF(FZ53&gt;0,FZ53,IF(ROUND(CB53*$J53,6)&lt;ROUND($M53,6),CB53,0)))</f>
        <v/>
      </c>
      <c r="GB53" s="68">
        <f>IF(OR($U53=0,$F53&lt;&gt;2),0,IF(GA53&gt;0,GA53,IF(ROUND(CC53*$J53,6)&lt;ROUND($M53,6),CC53,0)))</f>
        <v/>
      </c>
      <c r="GC53" s="68">
        <f>IF(OR($U53=0,$F53&lt;&gt;2),0,IF(GB53&gt;0,GB53,IF(ROUND(CD53*$J53,6)&lt;ROUND($M53,6),CD53,0)))</f>
        <v/>
      </c>
      <c r="GD53" s="68">
        <f>IF(OR($U53=0,$F53&lt;&gt;2),0,IF(GC53&gt;0,GC53,IF(ROUND(CE53*$J53,6)&lt;ROUND($M53,6),CE53,0)))</f>
        <v/>
      </c>
      <c r="GE53" s="68">
        <f>IF(OR($U53=0,$F53&lt;&gt;2),0,IF(GD53&gt;0,GD53,IF(ROUND(CF53*$J53,6)&lt;ROUND($M53,6),CF53,0)))</f>
        <v/>
      </c>
      <c r="GF53" s="68">
        <f>IF(OR($U53=0,$F53&lt;&gt;2),0,IF(GE53&gt;0,GE53,IF(ROUND(CG53*$J53,6)&lt;ROUND($M53,6),CG53,0)))</f>
        <v/>
      </c>
      <c r="GG53" s="68">
        <f>IF(OR($U53=0,$F53&lt;&gt;2),0,IF(GF53&gt;0,GF53,IF(ROUND(CH53*$J53,6)&lt;ROUND($M53,6),CH53,0)))</f>
        <v/>
      </c>
      <c r="GH53" s="68">
        <f>IF(OR($U53=0,$F53&lt;&gt;2),0,IF(GG53&gt;0,GG53,IF(ROUND(CI53*$J53,6)&lt;ROUND($M53,6),CI53,0)))</f>
        <v/>
      </c>
      <c r="GI53" s="68">
        <f>IF(OR($U53=0,$F53&lt;&gt;2),0,IF(GH53&gt;0,GH53,IF(ROUND(CJ53*$J53,6)&lt;ROUND($M53,6),CJ53,0)))</f>
        <v/>
      </c>
      <c r="GJ53" s="68">
        <f>IF(OR($U53=0,$F53&lt;&gt;2),0,IF(GI53&gt;0,GI53,IF(ROUND(CK53*$J53,6)&lt;ROUND($M53,6),CK53,0)))</f>
        <v/>
      </c>
      <c r="GK53" s="68">
        <f>IF(OR($U53=0,$F53&lt;&gt;2),0,IF(GJ53&gt;0,GJ53,IF(ROUND(CL53*$J53,6)&lt;ROUND($M53,6),CL53,0)))</f>
        <v/>
      </c>
      <c r="GL53" s="68">
        <f>IF(OR($U53=0,$F53&lt;&gt;2),0,IF(GK53&gt;0,GK53,IF(ROUND(CM53*$J53,6)&lt;ROUND($M53,6),CM53,0)))</f>
        <v/>
      </c>
      <c r="GM53" s="68">
        <f>IF(OR($U53=0,$F53&lt;&gt;2),0,IF(GL53&gt;0,GL53,IF(ROUND(CN53*$J53,6)&lt;ROUND($M53,6),CN53,0)))</f>
        <v/>
      </c>
      <c r="GN53" s="68">
        <f>IF(OR($U53=0,$F53&lt;&gt;2),0,IF(GM53&gt;0,GM53,IF(ROUND(CO53*$J53,6)&lt;ROUND($M53,6),CO53,0)))</f>
        <v/>
      </c>
      <c r="GO53" s="68">
        <f>IF(OR($U53=0,$F53&lt;&gt;2),0,IF(GN53&gt;0,GN53,IF(ROUND(CP53*$J53,6)&lt;ROUND($M53,6),CP53,0)))</f>
        <v/>
      </c>
      <c r="GP53" s="68">
        <f>IF(OR($U53=0,$F53&lt;&gt;2),0,IF(GO53&gt;0,GO53,IF(ROUND(CQ53*$J53,6)&lt;ROUND($M53,6),CQ53,0)))</f>
        <v/>
      </c>
      <c r="GQ53" s="68">
        <f>IF(OR($U53=0,$F53&lt;&gt;2),0,IF(GP53&gt;0,GP53,IF(ROUND(CR53*$J53,6)&lt;ROUND($M53,6),CR53,0)))</f>
        <v/>
      </c>
      <c r="GR53" s="68">
        <f>IF(OR($U53=0,$F53&lt;&gt;2),0,IF(GQ53&gt;0,GQ53,IF(ROUND(CS53*$J53,6)&lt;ROUND($M53,6),CS53,0)))</f>
        <v/>
      </c>
      <c r="GS53" s="68">
        <f>IF(OR($U53=0,$F53&lt;&gt;2),0,IF(GR53&gt;0,GR53,IF(ROUND(CT53*$J53,6)&lt;ROUND($M53,6),CT53,0)))</f>
        <v/>
      </c>
      <c r="GT53" s="68">
        <f>IF(OR($U53=0,$F53&lt;&gt;2),0,IF(GS53&gt;0,GS53,IF(ROUND(CU53*$J53,6)&lt;ROUND($M53,6),CU53,0)))</f>
        <v/>
      </c>
      <c r="GU53" s="68">
        <f>IF(OR($U53=0,$F53&lt;&gt;2),0,IF(GT53&gt;0,GT53,IF(ROUND(CV53*$J53,6)&lt;ROUND($M53,6),CV53,0)))</f>
        <v/>
      </c>
      <c r="GV53" s="68">
        <f>IF(OR($U53=0,$F53&lt;&gt;2),0,IF(GU53&gt;0,GU53,IF(ROUND(CW53*$J53,6)&lt;ROUND($M53,6),CW53,0)))</f>
        <v/>
      </c>
      <c r="GW53" s="68">
        <f>IF(OR($U53=0,$F53&lt;&gt;2),0,IF(GV53&gt;0,GV53,IF(ROUND(CX53*$J53,6)&lt;ROUND($M53,6),CX53,0)))</f>
        <v/>
      </c>
      <c r="GX53" s="68">
        <f>IF(OR($U53=0,$F53&lt;&gt;2),0,IF(GW53&gt;0,GW53,IF(ROUND(CY53*$J53,6)&lt;ROUND($M53,6),CY53,0)))</f>
        <v/>
      </c>
      <c r="GY53" s="68">
        <f>IF(OR($U53=0,$F53&lt;&gt;2),0,IF(GX53&gt;0,GX53,IF(ROUND(CZ53*$J53,6)&lt;ROUND($M53,6),CZ53,0)))</f>
        <v/>
      </c>
      <c r="GZ53" s="68">
        <f>IF(OR($U53=0,$F53&lt;&gt;2),0,IF(GY53&gt;0,GY53,IF(ROUND(DA53*$J53,6)&lt;ROUND($M53,6),DA53,0)))</f>
        <v/>
      </c>
      <c r="HA53" s="68">
        <f>IF(OR($U53=0,$F53&lt;&gt;2),0,IF(GZ53&gt;0,GZ53,IF(ROUND(DB53*$J53,6)&lt;ROUND($M53,6),DB53,0)))</f>
        <v/>
      </c>
      <c r="HB53" s="68">
        <f>IF(OR($U53=0,$F53&lt;&gt;2),0,IF(HA53&gt;0,HA53,IF(ROUND(DC53*$J53,6)&lt;ROUND($M53,6),DC53,0)))</f>
        <v/>
      </c>
      <c r="HC53" s="68">
        <f>IF(OR($U53=0,$F53&lt;&gt;2),0,IF(HB53&gt;0,HB53,IF(ROUND(DD53*$J53,6)&lt;ROUND($M53,6),DD53,0)))</f>
        <v/>
      </c>
      <c r="HD53" s="68">
        <f>IF(OR($U53=0,$F53&lt;&gt;2),0,IF(HC53&gt;0,HC53,IF(ROUND(DE53*$J53,6)&lt;ROUND($M53,6),DE53,0)))</f>
        <v/>
      </c>
      <c r="HE53" s="68">
        <f>IF(OR($U53=0,$F53&lt;&gt;2),0,IF(HD53&gt;0,HD53,IF(ROUND(DF53*$J53,6)&lt;ROUND($M53,6),DF53,0)))</f>
        <v/>
      </c>
      <c r="HF53" s="68">
        <f>IF(OR($U53=0,$F53&lt;&gt;2),0,IF(HE53&gt;0,HE53,IF(ROUND(DG53*$J53,6)&lt;ROUND($M53,6),DG53,0)))</f>
        <v/>
      </c>
      <c r="HG53" s="68">
        <f>IF(OR($U53=0,$F53&lt;&gt;2),0,IF(HF53&gt;0,HF53,IF(ROUND(DH53*$J53,6)&lt;ROUND($M53,6),DH53,0)))</f>
        <v/>
      </c>
      <c r="HH53" s="68">
        <f>IF(OR($U53=0,$F53&lt;&gt;2),0,IF(HG53&gt;0,HG53,IF(ROUND(DI53*$J53,6)&lt;ROUND($M53,6),DI53,0)))</f>
        <v/>
      </c>
      <c r="HI53" s="68">
        <f>IF(OR($U53=0,$F53&lt;&gt;2),0,IF(HH53&gt;0,HH53,IF(ROUND(DJ53*$J53,6)&lt;ROUND($M53,6),DJ53,0)))</f>
        <v/>
      </c>
      <c r="HJ53" s="68">
        <f>IF(OR($U53=0,$F53&lt;&gt;2),0,IF(HI53&gt;0,HI53,IF(ROUND(DK53*$J53,6)&lt;ROUND($M53,6),DK53,0)))</f>
        <v/>
      </c>
      <c r="HK53" s="68">
        <f>IF(OR($U53=0,$F53&lt;&gt;2),0,IF(HJ53&gt;0,HJ53,IF(ROUND(DL53*$J53,6)&lt;ROUND($M53,6),DL53,0)))</f>
        <v/>
      </c>
      <c r="HL53" s="68">
        <f>IF(OR($U53=0,$F53&lt;&gt;2),0,IF(HK53&gt;0,HK53,IF(ROUND(DM53*$J53,6)&lt;ROUND($M53,6),DM53,0)))</f>
        <v/>
      </c>
      <c r="HM53" s="68">
        <f>IF(OR($U53=0,$F53&lt;&gt;2),0,IF(HL53&gt;0,HL53,IF(ROUND(DN53*$J53,6)&lt;ROUND($M53,6),DN53,0)))</f>
        <v/>
      </c>
      <c r="HN53" s="68">
        <f>IF(OR($U53=0,$F53&lt;&gt;2),0,IF(HM53&gt;0,HM53,IF(ROUND(DO53*$J53,6)&lt;ROUND($M53,6),DO53,0)))</f>
        <v/>
      </c>
      <c r="HO53" s="68">
        <f>IF(OR($U53=0,$F53&lt;&gt;2),0,IF(HN53&gt;0,HN53,IF(ROUND(DP53*$J53,6)&lt;ROUND($M53,6),DP53,0)))</f>
        <v/>
      </c>
      <c r="HP53" s="68">
        <f>IF(OR($U53=0,$F53&lt;&gt;2),0,IF(HO53&gt;0,HO53,IF(ROUND(DQ53*$J53,6)&lt;ROUND($M53,6),DQ53,0)))</f>
        <v/>
      </c>
      <c r="HQ53" s="68">
        <f>IF(OR($U53=0,$F53&lt;&gt;2),0,IF(HP53&gt;0,HP53,IF(ROUND(DR53*$J53,6)&lt;ROUND($M53,6),DR53,0)))</f>
        <v/>
      </c>
      <c r="HR53" s="68">
        <f>IF(OR($U53=0,$F53&lt;&gt;2),0,IF(HQ53&gt;0,HQ53,IF(ROUND(DS53*$J53,6)&lt;ROUND($M53,6),DS53,0)))</f>
        <v/>
      </c>
      <c r="HS53" s="68">
        <f>IF(OR($U53=0,$F53&lt;&gt;2),0,IF(HR53&gt;0,HR53,IF(ROUND(DT53*$J53,6)&lt;ROUND($M53,6),DT53,0)))</f>
        <v/>
      </c>
      <c r="HT53" s="68">
        <f>IF(OR($U53=0,$F53&lt;&gt;2),0,IF(HS53&gt;0,HS53,IF(ROUND(DU53*$J53,6)&lt;ROUND($M53,6),DU53,0)))</f>
        <v/>
      </c>
      <c r="HU53" s="68">
        <f>IF(OR($U53=0,$F53&lt;&gt;2),0,IF(HT53&gt;0,HT53,IF(ROUND(DV53*$J53,6)&lt;ROUND($M53,6),DV53,0)))</f>
        <v/>
      </c>
      <c r="HV53" s="68">
        <f>IF(OR($U53=0,$F53&lt;&gt;2),0,IF(HU53&gt;0,HU53,IF(ROUND(DW53*$J53,6)&lt;ROUND($M53,6),DW53,0)))</f>
        <v/>
      </c>
      <c r="HW53" s="68">
        <f>IF(OR($U53=0,$F53&lt;&gt;2),0,IF(HV53&gt;0,HV53,IF(ROUND(DX53*$J53,6)&lt;ROUND($M53,6),DX53,0)))</f>
        <v/>
      </c>
      <c r="HX53" s="68">
        <f>IF(OR($U53=0,$F53&lt;&gt;2),0,IF(HW53&gt;0,HW53,IF(ROUND(DY53*$J53,6)&lt;ROUND($M53,6),DY53,0)))</f>
        <v/>
      </c>
      <c r="HY53" s="68">
        <f>IF(OR($U53=0,$F53&lt;&gt;2),0,IF(HX53&gt;0,HX53,IF(ROUND(DZ53*$J53,6)&lt;ROUND($M53,6),DZ53,0)))</f>
        <v/>
      </c>
      <c r="HZ53" s="68">
        <f>IF(OR($U53=0,$F53&lt;&gt;2),0,IF(HY53&gt;0,HY53,IF(ROUND(EA53*$J53,6)&lt;ROUND($M53,6),EA53,0)))</f>
        <v/>
      </c>
      <c r="IA53" s="68">
        <f>IF(OR($U53=0,$F53&lt;&gt;2),0,IF(HZ53&gt;0,HZ53,IF(ROUND(EB53*$J53,6)&lt;ROUND($M53,6),EB53,0)))</f>
        <v/>
      </c>
      <c r="IB53" s="68">
        <f>IF(OR($U53=0,$F53&lt;&gt;2),0,IF(IA53&gt;0,IA53,IF(ROUND(EC53*$J53,6)&lt;ROUND($M53,6),EC53,0)))</f>
        <v/>
      </c>
      <c r="IC53" s="68">
        <f>IF(OR($U53=0,$F53&lt;&gt;2),0,IF(IB53&gt;0,IB53,IF(ROUND(ED53*$J53,6)&lt;ROUND($M53,6),ED53,0)))</f>
        <v/>
      </c>
      <c r="ID53" s="68">
        <f>IF(OR($U53=0,$F53&lt;&gt;2),0,IF(IC53&gt;0,IC53,IF(ROUND(EE53*$J53,6)&lt;ROUND($M53,6),EE53,0)))</f>
        <v/>
      </c>
      <c r="IE53" s="68">
        <f>IF(OR($U53=0,$F53&lt;&gt;2),0,IF(ID53&gt;0,ID53,IF(ROUND(EF53*$J53,6)&lt;ROUND($M53,6),EF53,0)))</f>
        <v/>
      </c>
      <c r="IF53" s="68">
        <f>IF(OR($U53=0,$F53&lt;&gt;2),0,IF(IE53&gt;0,IE53,IF(ROUND(EG53*$J53,6)&lt;ROUND($M53,6),EG53,0)))</f>
        <v/>
      </c>
      <c r="IG53" s="68">
        <f>IF(OR($U53=0,$F53&lt;&gt;2),0,IF(IF53&gt;0,IF53,IF(ROUND(EH53*$J53,6)&lt;ROUND($M53,6),EH53,0)))</f>
        <v/>
      </c>
      <c r="IH53" s="68">
        <f>IF(OR($U53=0,$F53&lt;&gt;2),0,IF(IG53&gt;0,IG53,IF(ROUND(EI53*$J53,6)&lt;ROUND($M53,6),EI53,0)))</f>
        <v/>
      </c>
      <c r="II53" s="68">
        <f>IF(OR($U53=0,$F53&lt;&gt;2),0,IF(IH53&gt;0,IH53,IF(ROUND(EJ53*$J53,6)&lt;ROUND($M53,6),EJ53,0)))</f>
        <v/>
      </c>
      <c r="IJ53" s="68">
        <f>IF(OR($U53=0,$F53&lt;&gt;2),0,IF(II53&gt;0,II53,IF(ROUND(EK53*$J53,6)&lt;ROUND($M53,6),EK53,0)))</f>
        <v/>
      </c>
      <c r="IK53" s="68">
        <f>IF(OR($U53=0,$F53&lt;&gt;2),0,IF(IJ53&gt;0,IJ53,IF(ROUND(EL53*$J53,6)&lt;ROUND($M53,6),EL53,0)))</f>
        <v/>
      </c>
      <c r="IL53" s="68">
        <f>IF(OR($U53=0,$F53&lt;&gt;2),0,IF(IK53&gt;0,IK53,IF(ROUND(EM53*$J53,6)&lt;ROUND($M53,6),EM53,0)))</f>
        <v/>
      </c>
      <c r="IM53" s="68">
        <f>IF(OR($U53=0,$F53&lt;&gt;2),0,IF(IL53&gt;0,IL53,IF(ROUND(EN53*$J53,6)&lt;ROUND($M53,6),EN53,0)))</f>
        <v/>
      </c>
      <c r="IN53" s="68">
        <f>IF(OR($U53=0,$F53&lt;&gt;2),0,IF(IM53&gt;0,IM53,IF(ROUND(EO53*$J53,6)&lt;ROUND($M53,6),EO53,0)))</f>
        <v/>
      </c>
    </row>
    <row r="54">
      <c r="A54" s="68" t="n">
        <v>49</v>
      </c>
      <c r="B54" s="68">
        <f>IF(OR(TRIM('固定資産台帳'!$B54)&lt;&gt;"",'固定資産台帳'!$E54&lt;&gt;"",'固定資産台帳'!$G54&lt;&gt;"",'固定資産台帳'!$H54&lt;&gt;""),1,0)</f>
        <v/>
      </c>
      <c r="C54" s="68">
        <f>IF(ISNUMBER('固定資産台帳'!$G54),MAX(ROUND('固定資産台帳'!$G54,0),0),0)</f>
        <v/>
      </c>
      <c r="D54" s="84">
        <f>IF(ISNUMBER('固定資産台帳'!$E54),INT('固定資産台帳'!$E54),0)</f>
        <v/>
      </c>
      <c r="E54" s="84">
        <f>IF(ISNUMBER('固定資産台帳'!$F54),INT('固定資産台帳'!$F54),$D54)</f>
        <v/>
      </c>
      <c r="F54" s="68">
        <f>IF('固定資産台帳'!$H54="定額法",1,IF(OR('固定資産台帳'!$H54="定率法",'固定資産台帳'!$H54="定率法（200%）",'固定資産台帳'!$H54="定率法（250%）"),2,IF('固定資産台帳'!$H54="一括償却（3年）",3,IF('固定資産台帳'!$H54="少額特例",4,0))))</f>
        <v/>
      </c>
      <c r="G54" s="68">
        <f>IF('固定資産台帳'!$H54="定率法（250%）",250,IF('固定資産台帳'!$H54="定率法（200%）",200,IF($D54&gt;=DATE(2012,4,1),200,250)))</f>
        <v/>
      </c>
      <c r="H54" s="68">
        <f>IF(ISNUMBER('固定資産台帳'!$I54),IF(AND('固定資産台帳'!$I54&gt;=2,'固定資産台帳'!$I54&lt;=100,'固定資産台帳'!$I54=INT('固定資産台帳'!$I54)),'固定資産台帳'!$I54,0),0)</f>
        <v/>
      </c>
      <c r="I54" s="68">
        <f>IF('固定資産台帳'!$C54="無形固定資産",0,1)</f>
        <v/>
      </c>
      <c r="J54" s="68">
        <f>IF(OR($H54=0,$F54=0,$F54&gt;2),0,IF($F54=1,INDEX('償却率表'!$B$6:$B$104,$H54-1),IF($G54=200,INDEX('償却率表'!$C$6:$C$104,$H54-1),INDEX('償却率表'!$F$6:$F$104,$H54-1))))</f>
        <v/>
      </c>
      <c r="K54" s="68">
        <f>IF(AND($F54=2,$H54&gt;0),IF($G54=200,INDEX('償却率表'!$D$6:$D$104,$H54-1),INDEX('償却率表'!$G$6:$G$104,$H54-1)),0)</f>
        <v/>
      </c>
      <c r="L54" s="68">
        <f>IF(AND($F54=2,$H54&gt;0),IF($G54=200,INDEX('償却率表'!$E$6:$E$104,$H54-1),INDEX('償却率表'!$H$6:$H$104,$H54-1)),0)</f>
        <v/>
      </c>
      <c r="M54" s="68">
        <f>$C54*$L54</f>
        <v/>
      </c>
      <c r="N54" s="68">
        <f>IF($B$1=1,1,IF('固定資産台帳'!$J54="",1,IF(ISNUMBER('固定資産台帳'!$J54),IF(AND('固定資産台帳'!$J54&gt;0,'固定資産台帳'!$J54&lt;=1),'固定資産台帳'!$J54,0),0)))</f>
        <v/>
      </c>
      <c r="O54" s="68">
        <f>IF($E54=0,0,YEAR($E54)-IF(MONTH($E54)&lt;$B$2,1,0))</f>
        <v/>
      </c>
      <c r="P54" s="68">
        <f>IF($E54=0,0,12-MOD(MONTH($E54)-$B$2,12))</f>
        <v/>
      </c>
      <c r="Q54" s="84">
        <f>IF(ISNUMBER('固定資産台帳'!$K54),INT('固定資産台帳'!$K54),0)</f>
        <v/>
      </c>
      <c r="R54" s="68">
        <f>IF(OR($Q54=0,$E54=0),999,YEAR($Q54)-IF(MONTH($Q54)&lt;$B$2,1,0)-$O54)</f>
        <v/>
      </c>
      <c r="S54" s="68">
        <f>IF($R54=999,0,MOD(MONTH($Q54)-$B$2,12)+1-IF($R54=0,12-$P54,0))</f>
        <v/>
      </c>
      <c r="T54" s="68">
        <f>IF($B54=0,0,IF($C54&lt;=0,1,IF($D54=0,2,IF($F54=0,3,IF(AND($F54&lt;=2,$H54=0),4,IF(AND($F54&lt;=2,$D54&lt;DATE(2007,4,1)),5,IF($E54&lt;$D54,6,IF(AND($Q54&gt;0,$Q54&lt;$E54),7,IF($N54=0,8,IF($B$3=0,9,0))))))))))</f>
        <v/>
      </c>
      <c r="U54" s="68">
        <f>IF(AND($B54=1,$T54=0),1,0)</f>
        <v/>
      </c>
      <c r="V54" s="68">
        <f>$B$3-$O54</f>
        <v/>
      </c>
      <c r="W54" s="68">
        <f>IF(AND($U54=1,$V54&gt;=0),1,0)</f>
        <v/>
      </c>
      <c r="X54" s="68">
        <f>IF($W54=0,0,IF($V54=0,$C54,INDEX($AS54:$EP54,MIN($V54,102))))</f>
        <v/>
      </c>
      <c r="Y54" s="68">
        <f>IF($W54=0,0,INDEX($AS54:$EP54,MIN($V54,101)+1))</f>
        <v/>
      </c>
      <c r="Z54" s="68">
        <f>$X54-$Y54</f>
        <v/>
      </c>
      <c r="AA54" s="68">
        <f>IF(AND($W54=1,$F54=2,$V54&gt;=1),INDEX($ER54:$IN54,MIN($V54,101)),0)</f>
        <v/>
      </c>
      <c r="AB54" s="68">
        <f>IF(OR($W54=0,$F54&gt;2,$Z54=0),0,IF($V54=0,IF($R54=0,$S54,$P54),IF($V54=$R54,$S54,12)))</f>
        <v/>
      </c>
      <c r="AC54" s="68">
        <f>IF($W54=0,0,INT(ROUND($Z54*$N54,6)+$B$4))</f>
        <v/>
      </c>
      <c r="AD54" s="68">
        <f>IF(AND($W54=1,$F54&lt;=2,$V54=$R54),1,0)</f>
        <v/>
      </c>
      <c r="AE54" s="68">
        <f>IF(AND($W54=1,$F54&lt;=2,$V54&gt;$R54),1,0)</f>
        <v/>
      </c>
      <c r="AF54" s="68">
        <f>IF(AND($W54=1,$AE54=0,OR($Z54&gt;0,$AD54=1)),1,0)</f>
        <v/>
      </c>
      <c r="AG54" s="68">
        <f>IF($AF54=1,SUM($AF$6:$AF54),0)</f>
        <v/>
      </c>
      <c r="AH54" s="68">
        <f>IF($T54=0,"",CHOOSE($T54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54" s="68">
        <f>IF(AND($F54=2,OR('固定資産台帳'!$C54="建物",'固定資産台帳'!$C54="無形固定資産",AND(OR('固定資産台帳'!$C54="建物附属設備",'固定資産台帳'!$C54="構築物"),$D54&gt;=DATE(2016,4,1)))),"この資産は定額法だけです（定率法は使えません）。","")&amp;IF(AND($F54=3,$C54&gt;=200000),"一括償却は20万円未満の資産だけです。","")&amp;IF(AND($F54=3,$B$1=0,$C54&lt;100000),"10万円未満は一括償却にせず、全額をその年の経費にします。","")&amp;IF(AND($F54=4,$C54&lt;100000),"10万円未満は少額特例ではなく、全額をその年の経費にします。","")&amp;IF(AND($F54=4,$D54&lt;DATE(2026,4,1),$C54&gt;=300000),"2026年3月31日までの取得で少額特例が使えるのは30万円未満です。","")&amp;IF(AND($F54=4,$D54&gt;=DATE(2026,4,1),$C54&gt;=400000),"少額特例は40万円未満の資産だけです。","")&amp;IF(AND($F54=4,OR($D54&lt;DATE(2006,4,1),$D54&gt;DATE(2029,3,31))),"少額特例は2006年4月1日〜2029年3月31日に取得した資産だけです。","")&amp;IF(AND($F54=2,$G54=250,$D54&gt;DATE(2012,12,31)),"250%定率法は2012年12月31日までの取得だけです。","")</f>
        <v/>
      </c>
      <c r="AJ54" s="68">
        <f>IF(AND($F54=2,'固定資産台帳'!$H54="定率法（200%）",$D54&lt;DATE(2012,4,1)),"2012年3月31日までの取得に200%を使うのは、経過措置の届出をした場合です。","")&amp;IF(AND($F54=2,'固定資産台帳'!$H54="定率法（250%）",$D54&gt;=DATE(2012,4,1),$D54&lt;=DATE(2012,12,31)),"2012年4〜12月の取得に250%を使うのは、経過措置を選んだ場合です。","")</f>
        <v/>
      </c>
      <c r="AK54" s="68">
        <f>IF($U54=0,"",IF($V54&lt;0,"表示している年より後に使い始める資産です。",IF($AE54=1,"売却・除却済みです。",IF($AD54=1,"この年に売却・除却。期末の帳簿価額 "&amp;TEXT($Y54,"#,##0")&amp;"円を帳簿から外します。",IF($F54=4,IF($V54=0,"少額特例：この年に全額を経費にします。","少額特例で経費にした資産です。"),IF($F54=3,IF($V54&gt;2,"一括償却は終わっています。","一括償却 "&amp;($V54+1)&amp;"年目（3年のうち）。"),IF($Z54=0,"償却済み（帳簿価額 "&amp;TEXT($Y54,"#,##0")&amp;"円）。",IF($AA54&gt;0,"改定償却率で計算（改定取得価額 "&amp;TEXT($AA54,"#,##0")&amp;"円）。",IF($V54=0,"この年に使い始め（"&amp;$AB54&amp;"か月分）。","")))))))))</f>
        <v/>
      </c>
      <c r="AL54" s="68">
        <f>IF(AND($U54=1,$F54=4,$V54=0),$C54,0)</f>
        <v/>
      </c>
      <c r="AM54" s="68">
        <f>IF($F54=2,INT(ROUND($M54,6)+$B$4),0)</f>
        <v/>
      </c>
      <c r="AN54" s="68">
        <f>IF($W54=0,0,IF($F54=2,IF($AA54&gt;0,$AA54,$X54),$C54))</f>
        <v/>
      </c>
      <c r="AO54" s="68">
        <f>IF($W54=0,"",IF($F54=3,"1/3",IF($F54=4,"―",IF($AA54&gt;0,$K54,$J54))))</f>
        <v/>
      </c>
      <c r="AP54" s="68" t="n"/>
      <c r="AQ54" s="68" t="n"/>
      <c r="AR54" s="68" t="n"/>
      <c r="AS54" s="68">
        <f>IF($U54=0,0,IF($F54=4,0,IF($F54=3,MAX($C54-INT(ROUND($C54/3,6)+$B$4),0),$C54-MIN(INT(ROUND($C54*$J54*IF($R54=0,$S54,$P54)/12,6)+$B$4),MAX($C54-$I54,0)))))</f>
        <v/>
      </c>
      <c r="AT54" s="68">
        <f>IF($U54=0,0,IF($F54=4,0,IF($F54=3,AS54-MIN(INT(ROUND($C54/3,6)+$B$4),AS54),IF(OR(1&gt;$R54,AS54&lt;=$I54),AS54,AS54-MIN(INT(ROUND(IF($F54=1,$C54*$J54,IF(ER54&gt;0,ER54*$K54,AS54*$J54))*IF(1=$R54,$S54,12)/12,6)+$B$4),AS54-$I54)))))</f>
        <v/>
      </c>
      <c r="AU54" s="68">
        <f>IF($U54=0,0,IF($F54=4,0,IF($F54=3,0,IF(OR(2&gt;$R54,AT54&lt;=$I54),AT54,AT54-MIN(INT(ROUND(IF($F54=1,$C54*$J54,IF(ES54&gt;0,ES54*$K54,AT54*$J54))*IF(2=$R54,$S54,12)/12,6)+$B$4),AT54-$I54)))))</f>
        <v/>
      </c>
      <c r="AV54" s="68">
        <f>IF($U54=0,0,IF($F54=4,0,IF($F54=3,0,IF(OR(3&gt;$R54,AU54&lt;=$I54),AU54,AU54-MIN(INT(ROUND(IF($F54=1,$C54*$J54,IF(ET54&gt;0,ET54*$K54,AU54*$J54))*IF(3=$R54,$S54,12)/12,6)+$B$4),AU54-$I54)))))</f>
        <v/>
      </c>
      <c r="AW54" s="68">
        <f>IF($U54=0,0,IF($F54=4,0,IF($F54=3,0,IF(OR(4&gt;$R54,AV54&lt;=$I54),AV54,AV54-MIN(INT(ROUND(IF($F54=1,$C54*$J54,IF(EU54&gt;0,EU54*$K54,AV54*$J54))*IF(4=$R54,$S54,12)/12,6)+$B$4),AV54-$I54)))))</f>
        <v/>
      </c>
      <c r="AX54" s="68">
        <f>IF($U54=0,0,IF($F54=4,0,IF($F54=3,0,IF(OR(5&gt;$R54,AW54&lt;=$I54),AW54,AW54-MIN(INT(ROUND(IF($F54=1,$C54*$J54,IF(EV54&gt;0,EV54*$K54,AW54*$J54))*IF(5=$R54,$S54,12)/12,6)+$B$4),AW54-$I54)))))</f>
        <v/>
      </c>
      <c r="AY54" s="68">
        <f>IF($U54=0,0,IF($F54=4,0,IF($F54=3,0,IF(OR(6&gt;$R54,AX54&lt;=$I54),AX54,AX54-MIN(INT(ROUND(IF($F54=1,$C54*$J54,IF(EW54&gt;0,EW54*$K54,AX54*$J54))*IF(6=$R54,$S54,12)/12,6)+$B$4),AX54-$I54)))))</f>
        <v/>
      </c>
      <c r="AZ54" s="68">
        <f>IF($U54=0,0,IF($F54=4,0,IF($F54=3,0,IF(OR(7&gt;$R54,AY54&lt;=$I54),AY54,AY54-MIN(INT(ROUND(IF($F54=1,$C54*$J54,IF(EX54&gt;0,EX54*$K54,AY54*$J54))*IF(7=$R54,$S54,12)/12,6)+$B$4),AY54-$I54)))))</f>
        <v/>
      </c>
      <c r="BA54" s="68">
        <f>IF($U54=0,0,IF($F54=4,0,IF($F54=3,0,IF(OR(8&gt;$R54,AZ54&lt;=$I54),AZ54,AZ54-MIN(INT(ROUND(IF($F54=1,$C54*$J54,IF(EY54&gt;0,EY54*$K54,AZ54*$J54))*IF(8=$R54,$S54,12)/12,6)+$B$4),AZ54-$I54)))))</f>
        <v/>
      </c>
      <c r="BB54" s="68">
        <f>IF($U54=0,0,IF($F54=4,0,IF($F54=3,0,IF(OR(9&gt;$R54,BA54&lt;=$I54),BA54,BA54-MIN(INT(ROUND(IF($F54=1,$C54*$J54,IF(EZ54&gt;0,EZ54*$K54,BA54*$J54))*IF(9=$R54,$S54,12)/12,6)+$B$4),BA54-$I54)))))</f>
        <v/>
      </c>
      <c r="BC54" s="68">
        <f>IF($U54=0,0,IF($F54=4,0,IF($F54=3,0,IF(OR(10&gt;$R54,BB54&lt;=$I54),BB54,BB54-MIN(INT(ROUND(IF($F54=1,$C54*$J54,IF(FA54&gt;0,FA54*$K54,BB54*$J54))*IF(10=$R54,$S54,12)/12,6)+$B$4),BB54-$I54)))))</f>
        <v/>
      </c>
      <c r="BD54" s="68">
        <f>IF($U54=0,0,IF($F54=4,0,IF($F54=3,0,IF(OR(11&gt;$R54,BC54&lt;=$I54),BC54,BC54-MIN(INT(ROUND(IF($F54=1,$C54*$J54,IF(FB54&gt;0,FB54*$K54,BC54*$J54))*IF(11=$R54,$S54,12)/12,6)+$B$4),BC54-$I54)))))</f>
        <v/>
      </c>
      <c r="BE54" s="68">
        <f>IF($U54=0,0,IF($F54=4,0,IF($F54=3,0,IF(OR(12&gt;$R54,BD54&lt;=$I54),BD54,BD54-MIN(INT(ROUND(IF($F54=1,$C54*$J54,IF(FC54&gt;0,FC54*$K54,BD54*$J54))*IF(12=$R54,$S54,12)/12,6)+$B$4),BD54-$I54)))))</f>
        <v/>
      </c>
      <c r="BF54" s="68">
        <f>IF($U54=0,0,IF($F54=4,0,IF($F54=3,0,IF(OR(13&gt;$R54,BE54&lt;=$I54),BE54,BE54-MIN(INT(ROUND(IF($F54=1,$C54*$J54,IF(FD54&gt;0,FD54*$K54,BE54*$J54))*IF(13=$R54,$S54,12)/12,6)+$B$4),BE54-$I54)))))</f>
        <v/>
      </c>
      <c r="BG54" s="68">
        <f>IF($U54=0,0,IF($F54=4,0,IF($F54=3,0,IF(OR(14&gt;$R54,BF54&lt;=$I54),BF54,BF54-MIN(INT(ROUND(IF($F54=1,$C54*$J54,IF(FE54&gt;0,FE54*$K54,BF54*$J54))*IF(14=$R54,$S54,12)/12,6)+$B$4),BF54-$I54)))))</f>
        <v/>
      </c>
      <c r="BH54" s="68">
        <f>IF($U54=0,0,IF($F54=4,0,IF($F54=3,0,IF(OR(15&gt;$R54,BG54&lt;=$I54),BG54,BG54-MIN(INT(ROUND(IF($F54=1,$C54*$J54,IF(FF54&gt;0,FF54*$K54,BG54*$J54))*IF(15=$R54,$S54,12)/12,6)+$B$4),BG54-$I54)))))</f>
        <v/>
      </c>
      <c r="BI54" s="68">
        <f>IF($U54=0,0,IF($F54=4,0,IF($F54=3,0,IF(OR(16&gt;$R54,BH54&lt;=$I54),BH54,BH54-MIN(INT(ROUND(IF($F54=1,$C54*$J54,IF(FG54&gt;0,FG54*$K54,BH54*$J54))*IF(16=$R54,$S54,12)/12,6)+$B$4),BH54-$I54)))))</f>
        <v/>
      </c>
      <c r="BJ54" s="68">
        <f>IF($U54=0,0,IF($F54=4,0,IF($F54=3,0,IF(OR(17&gt;$R54,BI54&lt;=$I54),BI54,BI54-MIN(INT(ROUND(IF($F54=1,$C54*$J54,IF(FH54&gt;0,FH54*$K54,BI54*$J54))*IF(17=$R54,$S54,12)/12,6)+$B$4),BI54-$I54)))))</f>
        <v/>
      </c>
      <c r="BK54" s="68">
        <f>IF($U54=0,0,IF($F54=4,0,IF($F54=3,0,IF(OR(18&gt;$R54,BJ54&lt;=$I54),BJ54,BJ54-MIN(INT(ROUND(IF($F54=1,$C54*$J54,IF(FI54&gt;0,FI54*$K54,BJ54*$J54))*IF(18=$R54,$S54,12)/12,6)+$B$4),BJ54-$I54)))))</f>
        <v/>
      </c>
      <c r="BL54" s="68">
        <f>IF($U54=0,0,IF($F54=4,0,IF($F54=3,0,IF(OR(19&gt;$R54,BK54&lt;=$I54),BK54,BK54-MIN(INT(ROUND(IF($F54=1,$C54*$J54,IF(FJ54&gt;0,FJ54*$K54,BK54*$J54))*IF(19=$R54,$S54,12)/12,6)+$B$4),BK54-$I54)))))</f>
        <v/>
      </c>
      <c r="BM54" s="68">
        <f>IF($U54=0,0,IF($F54=4,0,IF($F54=3,0,IF(OR(20&gt;$R54,BL54&lt;=$I54),BL54,BL54-MIN(INT(ROUND(IF($F54=1,$C54*$J54,IF(FK54&gt;0,FK54*$K54,BL54*$J54))*IF(20=$R54,$S54,12)/12,6)+$B$4),BL54-$I54)))))</f>
        <v/>
      </c>
      <c r="BN54" s="68">
        <f>IF($U54=0,0,IF($F54=4,0,IF($F54=3,0,IF(OR(21&gt;$R54,BM54&lt;=$I54),BM54,BM54-MIN(INT(ROUND(IF($F54=1,$C54*$J54,IF(FL54&gt;0,FL54*$K54,BM54*$J54))*IF(21=$R54,$S54,12)/12,6)+$B$4),BM54-$I54)))))</f>
        <v/>
      </c>
      <c r="BO54" s="68">
        <f>IF($U54=0,0,IF($F54=4,0,IF($F54=3,0,IF(OR(22&gt;$R54,BN54&lt;=$I54),BN54,BN54-MIN(INT(ROUND(IF($F54=1,$C54*$J54,IF(FM54&gt;0,FM54*$K54,BN54*$J54))*IF(22=$R54,$S54,12)/12,6)+$B$4),BN54-$I54)))))</f>
        <v/>
      </c>
      <c r="BP54" s="68">
        <f>IF($U54=0,0,IF($F54=4,0,IF($F54=3,0,IF(OR(23&gt;$R54,BO54&lt;=$I54),BO54,BO54-MIN(INT(ROUND(IF($F54=1,$C54*$J54,IF(FN54&gt;0,FN54*$K54,BO54*$J54))*IF(23=$R54,$S54,12)/12,6)+$B$4),BO54-$I54)))))</f>
        <v/>
      </c>
      <c r="BQ54" s="68">
        <f>IF($U54=0,0,IF($F54=4,0,IF($F54=3,0,IF(OR(24&gt;$R54,BP54&lt;=$I54),BP54,BP54-MIN(INT(ROUND(IF($F54=1,$C54*$J54,IF(FO54&gt;0,FO54*$K54,BP54*$J54))*IF(24=$R54,$S54,12)/12,6)+$B$4),BP54-$I54)))))</f>
        <v/>
      </c>
      <c r="BR54" s="68">
        <f>IF($U54=0,0,IF($F54=4,0,IF($F54=3,0,IF(OR(25&gt;$R54,BQ54&lt;=$I54),BQ54,BQ54-MIN(INT(ROUND(IF($F54=1,$C54*$J54,IF(FP54&gt;0,FP54*$K54,BQ54*$J54))*IF(25=$R54,$S54,12)/12,6)+$B$4),BQ54-$I54)))))</f>
        <v/>
      </c>
      <c r="BS54" s="68">
        <f>IF($U54=0,0,IF($F54=4,0,IF($F54=3,0,IF(OR(26&gt;$R54,BR54&lt;=$I54),BR54,BR54-MIN(INT(ROUND(IF($F54=1,$C54*$J54,IF(FQ54&gt;0,FQ54*$K54,BR54*$J54))*IF(26=$R54,$S54,12)/12,6)+$B$4),BR54-$I54)))))</f>
        <v/>
      </c>
      <c r="BT54" s="68">
        <f>IF($U54=0,0,IF($F54=4,0,IF($F54=3,0,IF(OR(27&gt;$R54,BS54&lt;=$I54),BS54,BS54-MIN(INT(ROUND(IF($F54=1,$C54*$J54,IF(FR54&gt;0,FR54*$K54,BS54*$J54))*IF(27=$R54,$S54,12)/12,6)+$B$4),BS54-$I54)))))</f>
        <v/>
      </c>
      <c r="BU54" s="68">
        <f>IF($U54=0,0,IF($F54=4,0,IF($F54=3,0,IF(OR(28&gt;$R54,BT54&lt;=$I54),BT54,BT54-MIN(INT(ROUND(IF($F54=1,$C54*$J54,IF(FS54&gt;0,FS54*$K54,BT54*$J54))*IF(28=$R54,$S54,12)/12,6)+$B$4),BT54-$I54)))))</f>
        <v/>
      </c>
      <c r="BV54" s="68">
        <f>IF($U54=0,0,IF($F54=4,0,IF($F54=3,0,IF(OR(29&gt;$R54,BU54&lt;=$I54),BU54,BU54-MIN(INT(ROUND(IF($F54=1,$C54*$J54,IF(FT54&gt;0,FT54*$K54,BU54*$J54))*IF(29=$R54,$S54,12)/12,6)+$B$4),BU54-$I54)))))</f>
        <v/>
      </c>
      <c r="BW54" s="68">
        <f>IF($U54=0,0,IF($F54=4,0,IF($F54=3,0,IF(OR(30&gt;$R54,BV54&lt;=$I54),BV54,BV54-MIN(INT(ROUND(IF($F54=1,$C54*$J54,IF(FU54&gt;0,FU54*$K54,BV54*$J54))*IF(30=$R54,$S54,12)/12,6)+$B$4),BV54-$I54)))))</f>
        <v/>
      </c>
      <c r="BX54" s="68">
        <f>IF($U54=0,0,IF($F54=4,0,IF($F54=3,0,IF(OR(31&gt;$R54,BW54&lt;=$I54),BW54,BW54-MIN(INT(ROUND(IF($F54=1,$C54*$J54,IF(FV54&gt;0,FV54*$K54,BW54*$J54))*IF(31=$R54,$S54,12)/12,6)+$B$4),BW54-$I54)))))</f>
        <v/>
      </c>
      <c r="BY54" s="68">
        <f>IF($U54=0,0,IF($F54=4,0,IF($F54=3,0,IF(OR(32&gt;$R54,BX54&lt;=$I54),BX54,BX54-MIN(INT(ROUND(IF($F54=1,$C54*$J54,IF(FW54&gt;0,FW54*$K54,BX54*$J54))*IF(32=$R54,$S54,12)/12,6)+$B$4),BX54-$I54)))))</f>
        <v/>
      </c>
      <c r="BZ54" s="68">
        <f>IF($U54=0,0,IF($F54=4,0,IF($F54=3,0,IF(OR(33&gt;$R54,BY54&lt;=$I54),BY54,BY54-MIN(INT(ROUND(IF($F54=1,$C54*$J54,IF(FX54&gt;0,FX54*$K54,BY54*$J54))*IF(33=$R54,$S54,12)/12,6)+$B$4),BY54-$I54)))))</f>
        <v/>
      </c>
      <c r="CA54" s="68">
        <f>IF($U54=0,0,IF($F54=4,0,IF($F54=3,0,IF(OR(34&gt;$R54,BZ54&lt;=$I54),BZ54,BZ54-MIN(INT(ROUND(IF($F54=1,$C54*$J54,IF(FY54&gt;0,FY54*$K54,BZ54*$J54))*IF(34=$R54,$S54,12)/12,6)+$B$4),BZ54-$I54)))))</f>
        <v/>
      </c>
      <c r="CB54" s="68">
        <f>IF($U54=0,0,IF($F54=4,0,IF($F54=3,0,IF(OR(35&gt;$R54,CA54&lt;=$I54),CA54,CA54-MIN(INT(ROUND(IF($F54=1,$C54*$J54,IF(FZ54&gt;0,FZ54*$K54,CA54*$J54))*IF(35=$R54,$S54,12)/12,6)+$B$4),CA54-$I54)))))</f>
        <v/>
      </c>
      <c r="CC54" s="68">
        <f>IF($U54=0,0,IF($F54=4,0,IF($F54=3,0,IF(OR(36&gt;$R54,CB54&lt;=$I54),CB54,CB54-MIN(INT(ROUND(IF($F54=1,$C54*$J54,IF(GA54&gt;0,GA54*$K54,CB54*$J54))*IF(36=$R54,$S54,12)/12,6)+$B$4),CB54-$I54)))))</f>
        <v/>
      </c>
      <c r="CD54" s="68">
        <f>IF($U54=0,0,IF($F54=4,0,IF($F54=3,0,IF(OR(37&gt;$R54,CC54&lt;=$I54),CC54,CC54-MIN(INT(ROUND(IF($F54=1,$C54*$J54,IF(GB54&gt;0,GB54*$K54,CC54*$J54))*IF(37=$R54,$S54,12)/12,6)+$B$4),CC54-$I54)))))</f>
        <v/>
      </c>
      <c r="CE54" s="68">
        <f>IF($U54=0,0,IF($F54=4,0,IF($F54=3,0,IF(OR(38&gt;$R54,CD54&lt;=$I54),CD54,CD54-MIN(INT(ROUND(IF($F54=1,$C54*$J54,IF(GC54&gt;0,GC54*$K54,CD54*$J54))*IF(38=$R54,$S54,12)/12,6)+$B$4),CD54-$I54)))))</f>
        <v/>
      </c>
      <c r="CF54" s="68">
        <f>IF($U54=0,0,IF($F54=4,0,IF($F54=3,0,IF(OR(39&gt;$R54,CE54&lt;=$I54),CE54,CE54-MIN(INT(ROUND(IF($F54=1,$C54*$J54,IF(GD54&gt;0,GD54*$K54,CE54*$J54))*IF(39=$R54,$S54,12)/12,6)+$B$4),CE54-$I54)))))</f>
        <v/>
      </c>
      <c r="CG54" s="68">
        <f>IF($U54=0,0,IF($F54=4,0,IF($F54=3,0,IF(OR(40&gt;$R54,CF54&lt;=$I54),CF54,CF54-MIN(INT(ROUND(IF($F54=1,$C54*$J54,IF(GE54&gt;0,GE54*$K54,CF54*$J54))*IF(40=$R54,$S54,12)/12,6)+$B$4),CF54-$I54)))))</f>
        <v/>
      </c>
      <c r="CH54" s="68">
        <f>IF($U54=0,0,IF($F54=4,0,IF($F54=3,0,IF(OR(41&gt;$R54,CG54&lt;=$I54),CG54,CG54-MIN(INT(ROUND(IF($F54=1,$C54*$J54,IF(GF54&gt;0,GF54*$K54,CG54*$J54))*IF(41=$R54,$S54,12)/12,6)+$B$4),CG54-$I54)))))</f>
        <v/>
      </c>
      <c r="CI54" s="68">
        <f>IF($U54=0,0,IF($F54=4,0,IF($F54=3,0,IF(OR(42&gt;$R54,CH54&lt;=$I54),CH54,CH54-MIN(INT(ROUND(IF($F54=1,$C54*$J54,IF(GG54&gt;0,GG54*$K54,CH54*$J54))*IF(42=$R54,$S54,12)/12,6)+$B$4),CH54-$I54)))))</f>
        <v/>
      </c>
      <c r="CJ54" s="68">
        <f>IF($U54=0,0,IF($F54=4,0,IF($F54=3,0,IF(OR(43&gt;$R54,CI54&lt;=$I54),CI54,CI54-MIN(INT(ROUND(IF($F54=1,$C54*$J54,IF(GH54&gt;0,GH54*$K54,CI54*$J54))*IF(43=$R54,$S54,12)/12,6)+$B$4),CI54-$I54)))))</f>
        <v/>
      </c>
      <c r="CK54" s="68">
        <f>IF($U54=0,0,IF($F54=4,0,IF($F54=3,0,IF(OR(44&gt;$R54,CJ54&lt;=$I54),CJ54,CJ54-MIN(INT(ROUND(IF($F54=1,$C54*$J54,IF(GI54&gt;0,GI54*$K54,CJ54*$J54))*IF(44=$R54,$S54,12)/12,6)+$B$4),CJ54-$I54)))))</f>
        <v/>
      </c>
      <c r="CL54" s="68">
        <f>IF($U54=0,0,IF($F54=4,0,IF($F54=3,0,IF(OR(45&gt;$R54,CK54&lt;=$I54),CK54,CK54-MIN(INT(ROUND(IF($F54=1,$C54*$J54,IF(GJ54&gt;0,GJ54*$K54,CK54*$J54))*IF(45=$R54,$S54,12)/12,6)+$B$4),CK54-$I54)))))</f>
        <v/>
      </c>
      <c r="CM54" s="68">
        <f>IF($U54=0,0,IF($F54=4,0,IF($F54=3,0,IF(OR(46&gt;$R54,CL54&lt;=$I54),CL54,CL54-MIN(INT(ROUND(IF($F54=1,$C54*$J54,IF(GK54&gt;0,GK54*$K54,CL54*$J54))*IF(46=$R54,$S54,12)/12,6)+$B$4),CL54-$I54)))))</f>
        <v/>
      </c>
      <c r="CN54" s="68">
        <f>IF($U54=0,0,IF($F54=4,0,IF($F54=3,0,IF(OR(47&gt;$R54,CM54&lt;=$I54),CM54,CM54-MIN(INT(ROUND(IF($F54=1,$C54*$J54,IF(GL54&gt;0,GL54*$K54,CM54*$J54))*IF(47=$R54,$S54,12)/12,6)+$B$4),CM54-$I54)))))</f>
        <v/>
      </c>
      <c r="CO54" s="68">
        <f>IF($U54=0,0,IF($F54=4,0,IF($F54=3,0,IF(OR(48&gt;$R54,CN54&lt;=$I54),CN54,CN54-MIN(INT(ROUND(IF($F54=1,$C54*$J54,IF(GM54&gt;0,GM54*$K54,CN54*$J54))*IF(48=$R54,$S54,12)/12,6)+$B$4),CN54-$I54)))))</f>
        <v/>
      </c>
      <c r="CP54" s="68">
        <f>IF($U54=0,0,IF($F54=4,0,IF($F54=3,0,IF(OR(49&gt;$R54,CO54&lt;=$I54),CO54,CO54-MIN(INT(ROUND(IF($F54=1,$C54*$J54,IF(GN54&gt;0,GN54*$K54,CO54*$J54))*IF(49=$R54,$S54,12)/12,6)+$B$4),CO54-$I54)))))</f>
        <v/>
      </c>
      <c r="CQ54" s="68">
        <f>IF($U54=0,0,IF($F54=4,0,IF($F54=3,0,IF(OR(50&gt;$R54,CP54&lt;=$I54),CP54,CP54-MIN(INT(ROUND(IF($F54=1,$C54*$J54,IF(GO54&gt;0,GO54*$K54,CP54*$J54))*IF(50=$R54,$S54,12)/12,6)+$B$4),CP54-$I54)))))</f>
        <v/>
      </c>
      <c r="CR54" s="68">
        <f>IF($U54=0,0,IF($F54=4,0,IF($F54=3,0,IF(OR(51&gt;$R54,CQ54&lt;=$I54),CQ54,CQ54-MIN(INT(ROUND(IF($F54=1,$C54*$J54,IF(GP54&gt;0,GP54*$K54,CQ54*$J54))*IF(51=$R54,$S54,12)/12,6)+$B$4),CQ54-$I54)))))</f>
        <v/>
      </c>
      <c r="CS54" s="68">
        <f>IF($U54=0,0,IF($F54=4,0,IF($F54=3,0,IF(OR(52&gt;$R54,CR54&lt;=$I54),CR54,CR54-MIN(INT(ROUND(IF($F54=1,$C54*$J54,IF(GQ54&gt;0,GQ54*$K54,CR54*$J54))*IF(52=$R54,$S54,12)/12,6)+$B$4),CR54-$I54)))))</f>
        <v/>
      </c>
      <c r="CT54" s="68">
        <f>IF($U54=0,0,IF($F54=4,0,IF($F54=3,0,IF(OR(53&gt;$R54,CS54&lt;=$I54),CS54,CS54-MIN(INT(ROUND(IF($F54=1,$C54*$J54,IF(GR54&gt;0,GR54*$K54,CS54*$J54))*IF(53=$R54,$S54,12)/12,6)+$B$4),CS54-$I54)))))</f>
        <v/>
      </c>
      <c r="CU54" s="68">
        <f>IF($U54=0,0,IF($F54=4,0,IF($F54=3,0,IF(OR(54&gt;$R54,CT54&lt;=$I54),CT54,CT54-MIN(INT(ROUND(IF($F54=1,$C54*$J54,IF(GS54&gt;0,GS54*$K54,CT54*$J54))*IF(54=$R54,$S54,12)/12,6)+$B$4),CT54-$I54)))))</f>
        <v/>
      </c>
      <c r="CV54" s="68">
        <f>IF($U54=0,0,IF($F54=4,0,IF($F54=3,0,IF(OR(55&gt;$R54,CU54&lt;=$I54),CU54,CU54-MIN(INT(ROUND(IF($F54=1,$C54*$J54,IF(GT54&gt;0,GT54*$K54,CU54*$J54))*IF(55=$R54,$S54,12)/12,6)+$B$4),CU54-$I54)))))</f>
        <v/>
      </c>
      <c r="CW54" s="68">
        <f>IF($U54=0,0,IF($F54=4,0,IF($F54=3,0,IF(OR(56&gt;$R54,CV54&lt;=$I54),CV54,CV54-MIN(INT(ROUND(IF($F54=1,$C54*$J54,IF(GU54&gt;0,GU54*$K54,CV54*$J54))*IF(56=$R54,$S54,12)/12,6)+$B$4),CV54-$I54)))))</f>
        <v/>
      </c>
      <c r="CX54" s="68">
        <f>IF($U54=0,0,IF($F54=4,0,IF($F54=3,0,IF(OR(57&gt;$R54,CW54&lt;=$I54),CW54,CW54-MIN(INT(ROUND(IF($F54=1,$C54*$J54,IF(GV54&gt;0,GV54*$K54,CW54*$J54))*IF(57=$R54,$S54,12)/12,6)+$B$4),CW54-$I54)))))</f>
        <v/>
      </c>
      <c r="CY54" s="68">
        <f>IF($U54=0,0,IF($F54=4,0,IF($F54=3,0,IF(OR(58&gt;$R54,CX54&lt;=$I54),CX54,CX54-MIN(INT(ROUND(IF($F54=1,$C54*$J54,IF(GW54&gt;0,GW54*$K54,CX54*$J54))*IF(58=$R54,$S54,12)/12,6)+$B$4),CX54-$I54)))))</f>
        <v/>
      </c>
      <c r="CZ54" s="68">
        <f>IF($U54=0,0,IF($F54=4,0,IF($F54=3,0,IF(OR(59&gt;$R54,CY54&lt;=$I54),CY54,CY54-MIN(INT(ROUND(IF($F54=1,$C54*$J54,IF(GX54&gt;0,GX54*$K54,CY54*$J54))*IF(59=$R54,$S54,12)/12,6)+$B$4),CY54-$I54)))))</f>
        <v/>
      </c>
      <c r="DA54" s="68">
        <f>IF($U54=0,0,IF($F54=4,0,IF($F54=3,0,IF(OR(60&gt;$R54,CZ54&lt;=$I54),CZ54,CZ54-MIN(INT(ROUND(IF($F54=1,$C54*$J54,IF(GY54&gt;0,GY54*$K54,CZ54*$J54))*IF(60=$R54,$S54,12)/12,6)+$B$4),CZ54-$I54)))))</f>
        <v/>
      </c>
      <c r="DB54" s="68">
        <f>IF($U54=0,0,IF($F54=4,0,IF($F54=3,0,IF(OR(61&gt;$R54,DA54&lt;=$I54),DA54,DA54-MIN(INT(ROUND(IF($F54=1,$C54*$J54,IF(GZ54&gt;0,GZ54*$K54,DA54*$J54))*IF(61=$R54,$S54,12)/12,6)+$B$4),DA54-$I54)))))</f>
        <v/>
      </c>
      <c r="DC54" s="68">
        <f>IF($U54=0,0,IF($F54=4,0,IF($F54=3,0,IF(OR(62&gt;$R54,DB54&lt;=$I54),DB54,DB54-MIN(INT(ROUND(IF($F54=1,$C54*$J54,IF(HA54&gt;0,HA54*$K54,DB54*$J54))*IF(62=$R54,$S54,12)/12,6)+$B$4),DB54-$I54)))))</f>
        <v/>
      </c>
      <c r="DD54" s="68">
        <f>IF($U54=0,0,IF($F54=4,0,IF($F54=3,0,IF(OR(63&gt;$R54,DC54&lt;=$I54),DC54,DC54-MIN(INT(ROUND(IF($F54=1,$C54*$J54,IF(HB54&gt;0,HB54*$K54,DC54*$J54))*IF(63=$R54,$S54,12)/12,6)+$B$4),DC54-$I54)))))</f>
        <v/>
      </c>
      <c r="DE54" s="68">
        <f>IF($U54=0,0,IF($F54=4,0,IF($F54=3,0,IF(OR(64&gt;$R54,DD54&lt;=$I54),DD54,DD54-MIN(INT(ROUND(IF($F54=1,$C54*$J54,IF(HC54&gt;0,HC54*$K54,DD54*$J54))*IF(64=$R54,$S54,12)/12,6)+$B$4),DD54-$I54)))))</f>
        <v/>
      </c>
      <c r="DF54" s="68">
        <f>IF($U54=0,0,IF($F54=4,0,IF($F54=3,0,IF(OR(65&gt;$R54,DE54&lt;=$I54),DE54,DE54-MIN(INT(ROUND(IF($F54=1,$C54*$J54,IF(HD54&gt;0,HD54*$K54,DE54*$J54))*IF(65=$R54,$S54,12)/12,6)+$B$4),DE54-$I54)))))</f>
        <v/>
      </c>
      <c r="DG54" s="68">
        <f>IF($U54=0,0,IF($F54=4,0,IF($F54=3,0,IF(OR(66&gt;$R54,DF54&lt;=$I54),DF54,DF54-MIN(INT(ROUND(IF($F54=1,$C54*$J54,IF(HE54&gt;0,HE54*$K54,DF54*$J54))*IF(66=$R54,$S54,12)/12,6)+$B$4),DF54-$I54)))))</f>
        <v/>
      </c>
      <c r="DH54" s="68">
        <f>IF($U54=0,0,IF($F54=4,0,IF($F54=3,0,IF(OR(67&gt;$R54,DG54&lt;=$I54),DG54,DG54-MIN(INT(ROUND(IF($F54=1,$C54*$J54,IF(HF54&gt;0,HF54*$K54,DG54*$J54))*IF(67=$R54,$S54,12)/12,6)+$B$4),DG54-$I54)))))</f>
        <v/>
      </c>
      <c r="DI54" s="68">
        <f>IF($U54=0,0,IF($F54=4,0,IF($F54=3,0,IF(OR(68&gt;$R54,DH54&lt;=$I54),DH54,DH54-MIN(INT(ROUND(IF($F54=1,$C54*$J54,IF(HG54&gt;0,HG54*$K54,DH54*$J54))*IF(68=$R54,$S54,12)/12,6)+$B$4),DH54-$I54)))))</f>
        <v/>
      </c>
      <c r="DJ54" s="68">
        <f>IF($U54=0,0,IF($F54=4,0,IF($F54=3,0,IF(OR(69&gt;$R54,DI54&lt;=$I54),DI54,DI54-MIN(INT(ROUND(IF($F54=1,$C54*$J54,IF(HH54&gt;0,HH54*$K54,DI54*$J54))*IF(69=$R54,$S54,12)/12,6)+$B$4),DI54-$I54)))))</f>
        <v/>
      </c>
      <c r="DK54" s="68">
        <f>IF($U54=0,0,IF($F54=4,0,IF($F54=3,0,IF(OR(70&gt;$R54,DJ54&lt;=$I54),DJ54,DJ54-MIN(INT(ROUND(IF($F54=1,$C54*$J54,IF(HI54&gt;0,HI54*$K54,DJ54*$J54))*IF(70=$R54,$S54,12)/12,6)+$B$4),DJ54-$I54)))))</f>
        <v/>
      </c>
      <c r="DL54" s="68">
        <f>IF($U54=0,0,IF($F54=4,0,IF($F54=3,0,IF(OR(71&gt;$R54,DK54&lt;=$I54),DK54,DK54-MIN(INT(ROUND(IF($F54=1,$C54*$J54,IF(HJ54&gt;0,HJ54*$K54,DK54*$J54))*IF(71=$R54,$S54,12)/12,6)+$B$4),DK54-$I54)))))</f>
        <v/>
      </c>
      <c r="DM54" s="68">
        <f>IF($U54=0,0,IF($F54=4,0,IF($F54=3,0,IF(OR(72&gt;$R54,DL54&lt;=$I54),DL54,DL54-MIN(INT(ROUND(IF($F54=1,$C54*$J54,IF(HK54&gt;0,HK54*$K54,DL54*$J54))*IF(72=$R54,$S54,12)/12,6)+$B$4),DL54-$I54)))))</f>
        <v/>
      </c>
      <c r="DN54" s="68">
        <f>IF($U54=0,0,IF($F54=4,0,IF($F54=3,0,IF(OR(73&gt;$R54,DM54&lt;=$I54),DM54,DM54-MIN(INT(ROUND(IF($F54=1,$C54*$J54,IF(HL54&gt;0,HL54*$K54,DM54*$J54))*IF(73=$R54,$S54,12)/12,6)+$B$4),DM54-$I54)))))</f>
        <v/>
      </c>
      <c r="DO54" s="68">
        <f>IF($U54=0,0,IF($F54=4,0,IF($F54=3,0,IF(OR(74&gt;$R54,DN54&lt;=$I54),DN54,DN54-MIN(INT(ROUND(IF($F54=1,$C54*$J54,IF(HM54&gt;0,HM54*$K54,DN54*$J54))*IF(74=$R54,$S54,12)/12,6)+$B$4),DN54-$I54)))))</f>
        <v/>
      </c>
      <c r="DP54" s="68">
        <f>IF($U54=0,0,IF($F54=4,0,IF($F54=3,0,IF(OR(75&gt;$R54,DO54&lt;=$I54),DO54,DO54-MIN(INT(ROUND(IF($F54=1,$C54*$J54,IF(HN54&gt;0,HN54*$K54,DO54*$J54))*IF(75=$R54,$S54,12)/12,6)+$B$4),DO54-$I54)))))</f>
        <v/>
      </c>
      <c r="DQ54" s="68">
        <f>IF($U54=0,0,IF($F54=4,0,IF($F54=3,0,IF(OR(76&gt;$R54,DP54&lt;=$I54),DP54,DP54-MIN(INT(ROUND(IF($F54=1,$C54*$J54,IF(HO54&gt;0,HO54*$K54,DP54*$J54))*IF(76=$R54,$S54,12)/12,6)+$B$4),DP54-$I54)))))</f>
        <v/>
      </c>
      <c r="DR54" s="68">
        <f>IF($U54=0,0,IF($F54=4,0,IF($F54=3,0,IF(OR(77&gt;$R54,DQ54&lt;=$I54),DQ54,DQ54-MIN(INT(ROUND(IF($F54=1,$C54*$J54,IF(HP54&gt;0,HP54*$K54,DQ54*$J54))*IF(77=$R54,$S54,12)/12,6)+$B$4),DQ54-$I54)))))</f>
        <v/>
      </c>
      <c r="DS54" s="68">
        <f>IF($U54=0,0,IF($F54=4,0,IF($F54=3,0,IF(OR(78&gt;$R54,DR54&lt;=$I54),DR54,DR54-MIN(INT(ROUND(IF($F54=1,$C54*$J54,IF(HQ54&gt;0,HQ54*$K54,DR54*$J54))*IF(78=$R54,$S54,12)/12,6)+$B$4),DR54-$I54)))))</f>
        <v/>
      </c>
      <c r="DT54" s="68">
        <f>IF($U54=0,0,IF($F54=4,0,IF($F54=3,0,IF(OR(79&gt;$R54,DS54&lt;=$I54),DS54,DS54-MIN(INT(ROUND(IF($F54=1,$C54*$J54,IF(HR54&gt;0,HR54*$K54,DS54*$J54))*IF(79=$R54,$S54,12)/12,6)+$B$4),DS54-$I54)))))</f>
        <v/>
      </c>
      <c r="DU54" s="68">
        <f>IF($U54=0,0,IF($F54=4,0,IF($F54=3,0,IF(OR(80&gt;$R54,DT54&lt;=$I54),DT54,DT54-MIN(INT(ROUND(IF($F54=1,$C54*$J54,IF(HS54&gt;0,HS54*$K54,DT54*$J54))*IF(80=$R54,$S54,12)/12,6)+$B$4),DT54-$I54)))))</f>
        <v/>
      </c>
      <c r="DV54" s="68">
        <f>IF($U54=0,0,IF($F54=4,0,IF($F54=3,0,IF(OR(81&gt;$R54,DU54&lt;=$I54),DU54,DU54-MIN(INT(ROUND(IF($F54=1,$C54*$J54,IF(HT54&gt;0,HT54*$K54,DU54*$J54))*IF(81=$R54,$S54,12)/12,6)+$B$4),DU54-$I54)))))</f>
        <v/>
      </c>
      <c r="DW54" s="68">
        <f>IF($U54=0,0,IF($F54=4,0,IF($F54=3,0,IF(OR(82&gt;$R54,DV54&lt;=$I54),DV54,DV54-MIN(INT(ROUND(IF($F54=1,$C54*$J54,IF(HU54&gt;0,HU54*$K54,DV54*$J54))*IF(82=$R54,$S54,12)/12,6)+$B$4),DV54-$I54)))))</f>
        <v/>
      </c>
      <c r="DX54" s="68">
        <f>IF($U54=0,0,IF($F54=4,0,IF($F54=3,0,IF(OR(83&gt;$R54,DW54&lt;=$I54),DW54,DW54-MIN(INT(ROUND(IF($F54=1,$C54*$J54,IF(HV54&gt;0,HV54*$K54,DW54*$J54))*IF(83=$R54,$S54,12)/12,6)+$B$4),DW54-$I54)))))</f>
        <v/>
      </c>
      <c r="DY54" s="68">
        <f>IF($U54=0,0,IF($F54=4,0,IF($F54=3,0,IF(OR(84&gt;$R54,DX54&lt;=$I54),DX54,DX54-MIN(INT(ROUND(IF($F54=1,$C54*$J54,IF(HW54&gt;0,HW54*$K54,DX54*$J54))*IF(84=$R54,$S54,12)/12,6)+$B$4),DX54-$I54)))))</f>
        <v/>
      </c>
      <c r="DZ54" s="68">
        <f>IF($U54=0,0,IF($F54=4,0,IF($F54=3,0,IF(OR(85&gt;$R54,DY54&lt;=$I54),DY54,DY54-MIN(INT(ROUND(IF($F54=1,$C54*$J54,IF(HX54&gt;0,HX54*$K54,DY54*$J54))*IF(85=$R54,$S54,12)/12,6)+$B$4),DY54-$I54)))))</f>
        <v/>
      </c>
      <c r="EA54" s="68">
        <f>IF($U54=0,0,IF($F54=4,0,IF($F54=3,0,IF(OR(86&gt;$R54,DZ54&lt;=$I54),DZ54,DZ54-MIN(INT(ROUND(IF($F54=1,$C54*$J54,IF(HY54&gt;0,HY54*$K54,DZ54*$J54))*IF(86=$R54,$S54,12)/12,6)+$B$4),DZ54-$I54)))))</f>
        <v/>
      </c>
      <c r="EB54" s="68">
        <f>IF($U54=0,0,IF($F54=4,0,IF($F54=3,0,IF(OR(87&gt;$R54,EA54&lt;=$I54),EA54,EA54-MIN(INT(ROUND(IF($F54=1,$C54*$J54,IF(HZ54&gt;0,HZ54*$K54,EA54*$J54))*IF(87=$R54,$S54,12)/12,6)+$B$4),EA54-$I54)))))</f>
        <v/>
      </c>
      <c r="EC54" s="68">
        <f>IF($U54=0,0,IF($F54=4,0,IF($F54=3,0,IF(OR(88&gt;$R54,EB54&lt;=$I54),EB54,EB54-MIN(INT(ROUND(IF($F54=1,$C54*$J54,IF(IA54&gt;0,IA54*$K54,EB54*$J54))*IF(88=$R54,$S54,12)/12,6)+$B$4),EB54-$I54)))))</f>
        <v/>
      </c>
      <c r="ED54" s="68">
        <f>IF($U54=0,0,IF($F54=4,0,IF($F54=3,0,IF(OR(89&gt;$R54,EC54&lt;=$I54),EC54,EC54-MIN(INT(ROUND(IF($F54=1,$C54*$J54,IF(IB54&gt;0,IB54*$K54,EC54*$J54))*IF(89=$R54,$S54,12)/12,6)+$B$4),EC54-$I54)))))</f>
        <v/>
      </c>
      <c r="EE54" s="68">
        <f>IF($U54=0,0,IF($F54=4,0,IF($F54=3,0,IF(OR(90&gt;$R54,ED54&lt;=$I54),ED54,ED54-MIN(INT(ROUND(IF($F54=1,$C54*$J54,IF(IC54&gt;0,IC54*$K54,ED54*$J54))*IF(90=$R54,$S54,12)/12,6)+$B$4),ED54-$I54)))))</f>
        <v/>
      </c>
      <c r="EF54" s="68">
        <f>IF($U54=0,0,IF($F54=4,0,IF($F54=3,0,IF(OR(91&gt;$R54,EE54&lt;=$I54),EE54,EE54-MIN(INT(ROUND(IF($F54=1,$C54*$J54,IF(ID54&gt;0,ID54*$K54,EE54*$J54))*IF(91=$R54,$S54,12)/12,6)+$B$4),EE54-$I54)))))</f>
        <v/>
      </c>
      <c r="EG54" s="68">
        <f>IF($U54=0,0,IF($F54=4,0,IF($F54=3,0,IF(OR(92&gt;$R54,EF54&lt;=$I54),EF54,EF54-MIN(INT(ROUND(IF($F54=1,$C54*$J54,IF(IE54&gt;0,IE54*$K54,EF54*$J54))*IF(92=$R54,$S54,12)/12,6)+$B$4),EF54-$I54)))))</f>
        <v/>
      </c>
      <c r="EH54" s="68">
        <f>IF($U54=0,0,IF($F54=4,0,IF($F54=3,0,IF(OR(93&gt;$R54,EG54&lt;=$I54),EG54,EG54-MIN(INT(ROUND(IF($F54=1,$C54*$J54,IF(IF54&gt;0,IF54*$K54,EG54*$J54))*IF(93=$R54,$S54,12)/12,6)+$B$4),EG54-$I54)))))</f>
        <v/>
      </c>
      <c r="EI54" s="68">
        <f>IF($U54=0,0,IF($F54=4,0,IF($F54=3,0,IF(OR(94&gt;$R54,EH54&lt;=$I54),EH54,EH54-MIN(INT(ROUND(IF($F54=1,$C54*$J54,IF(IG54&gt;0,IG54*$K54,EH54*$J54))*IF(94=$R54,$S54,12)/12,6)+$B$4),EH54-$I54)))))</f>
        <v/>
      </c>
      <c r="EJ54" s="68">
        <f>IF($U54=0,0,IF($F54=4,0,IF($F54=3,0,IF(OR(95&gt;$R54,EI54&lt;=$I54),EI54,EI54-MIN(INT(ROUND(IF($F54=1,$C54*$J54,IF(IH54&gt;0,IH54*$K54,EI54*$J54))*IF(95=$R54,$S54,12)/12,6)+$B$4),EI54-$I54)))))</f>
        <v/>
      </c>
      <c r="EK54" s="68">
        <f>IF($U54=0,0,IF($F54=4,0,IF($F54=3,0,IF(OR(96&gt;$R54,EJ54&lt;=$I54),EJ54,EJ54-MIN(INT(ROUND(IF($F54=1,$C54*$J54,IF(II54&gt;0,II54*$K54,EJ54*$J54))*IF(96=$R54,$S54,12)/12,6)+$B$4),EJ54-$I54)))))</f>
        <v/>
      </c>
      <c r="EL54" s="68">
        <f>IF($U54=0,0,IF($F54=4,0,IF($F54=3,0,IF(OR(97&gt;$R54,EK54&lt;=$I54),EK54,EK54-MIN(INT(ROUND(IF($F54=1,$C54*$J54,IF(IJ54&gt;0,IJ54*$K54,EK54*$J54))*IF(97=$R54,$S54,12)/12,6)+$B$4),EK54-$I54)))))</f>
        <v/>
      </c>
      <c r="EM54" s="68">
        <f>IF($U54=0,0,IF($F54=4,0,IF($F54=3,0,IF(OR(98&gt;$R54,EL54&lt;=$I54),EL54,EL54-MIN(INT(ROUND(IF($F54=1,$C54*$J54,IF(IK54&gt;0,IK54*$K54,EL54*$J54))*IF(98=$R54,$S54,12)/12,6)+$B$4),EL54-$I54)))))</f>
        <v/>
      </c>
      <c r="EN54" s="68">
        <f>IF($U54=0,0,IF($F54=4,0,IF($F54=3,0,IF(OR(99&gt;$R54,EM54&lt;=$I54),EM54,EM54-MIN(INT(ROUND(IF($F54=1,$C54*$J54,IF(IL54&gt;0,IL54*$K54,EM54*$J54))*IF(99=$R54,$S54,12)/12,6)+$B$4),EM54-$I54)))))</f>
        <v/>
      </c>
      <c r="EO54" s="68">
        <f>IF($U54=0,0,IF($F54=4,0,IF($F54=3,0,IF(OR(100&gt;$R54,EN54&lt;=$I54),EN54,EN54-MIN(INT(ROUND(IF($F54=1,$C54*$J54,IF(IM54&gt;0,IM54*$K54,EN54*$J54))*IF(100=$R54,$S54,12)/12,6)+$B$4),EN54-$I54)))))</f>
        <v/>
      </c>
      <c r="EP54" s="68">
        <f>IF($U54=0,0,IF($F54=4,0,IF($F54=3,0,IF(OR(101&gt;$R54,EO54&lt;=$I54),EO54,EO54-MIN(INT(ROUND(IF($F54=1,$C54*$J54,IF(IN54&gt;0,IN54*$K54,EO54*$J54))*IF(101=$R54,$S54,12)/12,6)+$B$4),EO54-$I54)))))</f>
        <v/>
      </c>
      <c r="EQ54" s="68" t="n"/>
      <c r="ER54" s="68">
        <f>IF(OR($U54=0,$F54&lt;&gt;2),0,IF(ROUND(AS54*$J54,6)&lt;ROUND($M54,6),AS54,0))</f>
        <v/>
      </c>
      <c r="ES54" s="68">
        <f>IF(OR($U54=0,$F54&lt;&gt;2),0,IF(ER54&gt;0,ER54,IF(ROUND(AT54*$J54,6)&lt;ROUND($M54,6),AT54,0)))</f>
        <v/>
      </c>
      <c r="ET54" s="68">
        <f>IF(OR($U54=0,$F54&lt;&gt;2),0,IF(ES54&gt;0,ES54,IF(ROUND(AU54*$J54,6)&lt;ROUND($M54,6),AU54,0)))</f>
        <v/>
      </c>
      <c r="EU54" s="68">
        <f>IF(OR($U54=0,$F54&lt;&gt;2),0,IF(ET54&gt;0,ET54,IF(ROUND(AV54*$J54,6)&lt;ROUND($M54,6),AV54,0)))</f>
        <v/>
      </c>
      <c r="EV54" s="68">
        <f>IF(OR($U54=0,$F54&lt;&gt;2),0,IF(EU54&gt;0,EU54,IF(ROUND(AW54*$J54,6)&lt;ROUND($M54,6),AW54,0)))</f>
        <v/>
      </c>
      <c r="EW54" s="68">
        <f>IF(OR($U54=0,$F54&lt;&gt;2),0,IF(EV54&gt;0,EV54,IF(ROUND(AX54*$J54,6)&lt;ROUND($M54,6),AX54,0)))</f>
        <v/>
      </c>
      <c r="EX54" s="68">
        <f>IF(OR($U54=0,$F54&lt;&gt;2),0,IF(EW54&gt;0,EW54,IF(ROUND(AY54*$J54,6)&lt;ROUND($M54,6),AY54,0)))</f>
        <v/>
      </c>
      <c r="EY54" s="68">
        <f>IF(OR($U54=0,$F54&lt;&gt;2),0,IF(EX54&gt;0,EX54,IF(ROUND(AZ54*$J54,6)&lt;ROUND($M54,6),AZ54,0)))</f>
        <v/>
      </c>
      <c r="EZ54" s="68">
        <f>IF(OR($U54=0,$F54&lt;&gt;2),0,IF(EY54&gt;0,EY54,IF(ROUND(BA54*$J54,6)&lt;ROUND($M54,6),BA54,0)))</f>
        <v/>
      </c>
      <c r="FA54" s="68">
        <f>IF(OR($U54=0,$F54&lt;&gt;2),0,IF(EZ54&gt;0,EZ54,IF(ROUND(BB54*$J54,6)&lt;ROUND($M54,6),BB54,0)))</f>
        <v/>
      </c>
      <c r="FB54" s="68">
        <f>IF(OR($U54=0,$F54&lt;&gt;2),0,IF(FA54&gt;0,FA54,IF(ROUND(BC54*$J54,6)&lt;ROUND($M54,6),BC54,0)))</f>
        <v/>
      </c>
      <c r="FC54" s="68">
        <f>IF(OR($U54=0,$F54&lt;&gt;2),0,IF(FB54&gt;0,FB54,IF(ROUND(BD54*$J54,6)&lt;ROUND($M54,6),BD54,0)))</f>
        <v/>
      </c>
      <c r="FD54" s="68">
        <f>IF(OR($U54=0,$F54&lt;&gt;2),0,IF(FC54&gt;0,FC54,IF(ROUND(BE54*$J54,6)&lt;ROUND($M54,6),BE54,0)))</f>
        <v/>
      </c>
      <c r="FE54" s="68">
        <f>IF(OR($U54=0,$F54&lt;&gt;2),0,IF(FD54&gt;0,FD54,IF(ROUND(BF54*$J54,6)&lt;ROUND($M54,6),BF54,0)))</f>
        <v/>
      </c>
      <c r="FF54" s="68">
        <f>IF(OR($U54=0,$F54&lt;&gt;2),0,IF(FE54&gt;0,FE54,IF(ROUND(BG54*$J54,6)&lt;ROUND($M54,6),BG54,0)))</f>
        <v/>
      </c>
      <c r="FG54" s="68">
        <f>IF(OR($U54=0,$F54&lt;&gt;2),0,IF(FF54&gt;0,FF54,IF(ROUND(BH54*$J54,6)&lt;ROUND($M54,6),BH54,0)))</f>
        <v/>
      </c>
      <c r="FH54" s="68">
        <f>IF(OR($U54=0,$F54&lt;&gt;2),0,IF(FG54&gt;0,FG54,IF(ROUND(BI54*$J54,6)&lt;ROUND($M54,6),BI54,0)))</f>
        <v/>
      </c>
      <c r="FI54" s="68">
        <f>IF(OR($U54=0,$F54&lt;&gt;2),0,IF(FH54&gt;0,FH54,IF(ROUND(BJ54*$J54,6)&lt;ROUND($M54,6),BJ54,0)))</f>
        <v/>
      </c>
      <c r="FJ54" s="68">
        <f>IF(OR($U54=0,$F54&lt;&gt;2),0,IF(FI54&gt;0,FI54,IF(ROUND(BK54*$J54,6)&lt;ROUND($M54,6),BK54,0)))</f>
        <v/>
      </c>
      <c r="FK54" s="68">
        <f>IF(OR($U54=0,$F54&lt;&gt;2),0,IF(FJ54&gt;0,FJ54,IF(ROUND(BL54*$J54,6)&lt;ROUND($M54,6),BL54,0)))</f>
        <v/>
      </c>
      <c r="FL54" s="68">
        <f>IF(OR($U54=0,$F54&lt;&gt;2),0,IF(FK54&gt;0,FK54,IF(ROUND(BM54*$J54,6)&lt;ROUND($M54,6),BM54,0)))</f>
        <v/>
      </c>
      <c r="FM54" s="68">
        <f>IF(OR($U54=0,$F54&lt;&gt;2),0,IF(FL54&gt;0,FL54,IF(ROUND(BN54*$J54,6)&lt;ROUND($M54,6),BN54,0)))</f>
        <v/>
      </c>
      <c r="FN54" s="68">
        <f>IF(OR($U54=0,$F54&lt;&gt;2),0,IF(FM54&gt;0,FM54,IF(ROUND(BO54*$J54,6)&lt;ROUND($M54,6),BO54,0)))</f>
        <v/>
      </c>
      <c r="FO54" s="68">
        <f>IF(OR($U54=0,$F54&lt;&gt;2),0,IF(FN54&gt;0,FN54,IF(ROUND(BP54*$J54,6)&lt;ROUND($M54,6),BP54,0)))</f>
        <v/>
      </c>
      <c r="FP54" s="68">
        <f>IF(OR($U54=0,$F54&lt;&gt;2),0,IF(FO54&gt;0,FO54,IF(ROUND(BQ54*$J54,6)&lt;ROUND($M54,6),BQ54,0)))</f>
        <v/>
      </c>
      <c r="FQ54" s="68">
        <f>IF(OR($U54=0,$F54&lt;&gt;2),0,IF(FP54&gt;0,FP54,IF(ROUND(BR54*$J54,6)&lt;ROUND($M54,6),BR54,0)))</f>
        <v/>
      </c>
      <c r="FR54" s="68">
        <f>IF(OR($U54=0,$F54&lt;&gt;2),0,IF(FQ54&gt;0,FQ54,IF(ROUND(BS54*$J54,6)&lt;ROUND($M54,6),BS54,0)))</f>
        <v/>
      </c>
      <c r="FS54" s="68">
        <f>IF(OR($U54=0,$F54&lt;&gt;2),0,IF(FR54&gt;0,FR54,IF(ROUND(BT54*$J54,6)&lt;ROUND($M54,6),BT54,0)))</f>
        <v/>
      </c>
      <c r="FT54" s="68">
        <f>IF(OR($U54=0,$F54&lt;&gt;2),0,IF(FS54&gt;0,FS54,IF(ROUND(BU54*$J54,6)&lt;ROUND($M54,6),BU54,0)))</f>
        <v/>
      </c>
      <c r="FU54" s="68">
        <f>IF(OR($U54=0,$F54&lt;&gt;2),0,IF(FT54&gt;0,FT54,IF(ROUND(BV54*$J54,6)&lt;ROUND($M54,6),BV54,0)))</f>
        <v/>
      </c>
      <c r="FV54" s="68">
        <f>IF(OR($U54=0,$F54&lt;&gt;2),0,IF(FU54&gt;0,FU54,IF(ROUND(BW54*$J54,6)&lt;ROUND($M54,6),BW54,0)))</f>
        <v/>
      </c>
      <c r="FW54" s="68">
        <f>IF(OR($U54=0,$F54&lt;&gt;2),0,IF(FV54&gt;0,FV54,IF(ROUND(BX54*$J54,6)&lt;ROUND($M54,6),BX54,0)))</f>
        <v/>
      </c>
      <c r="FX54" s="68">
        <f>IF(OR($U54=0,$F54&lt;&gt;2),0,IF(FW54&gt;0,FW54,IF(ROUND(BY54*$J54,6)&lt;ROUND($M54,6),BY54,0)))</f>
        <v/>
      </c>
      <c r="FY54" s="68">
        <f>IF(OR($U54=0,$F54&lt;&gt;2),0,IF(FX54&gt;0,FX54,IF(ROUND(BZ54*$J54,6)&lt;ROUND($M54,6),BZ54,0)))</f>
        <v/>
      </c>
      <c r="FZ54" s="68">
        <f>IF(OR($U54=0,$F54&lt;&gt;2),0,IF(FY54&gt;0,FY54,IF(ROUND(CA54*$J54,6)&lt;ROUND($M54,6),CA54,0)))</f>
        <v/>
      </c>
      <c r="GA54" s="68">
        <f>IF(OR($U54=0,$F54&lt;&gt;2),0,IF(FZ54&gt;0,FZ54,IF(ROUND(CB54*$J54,6)&lt;ROUND($M54,6),CB54,0)))</f>
        <v/>
      </c>
      <c r="GB54" s="68">
        <f>IF(OR($U54=0,$F54&lt;&gt;2),0,IF(GA54&gt;0,GA54,IF(ROUND(CC54*$J54,6)&lt;ROUND($M54,6),CC54,0)))</f>
        <v/>
      </c>
      <c r="GC54" s="68">
        <f>IF(OR($U54=0,$F54&lt;&gt;2),0,IF(GB54&gt;0,GB54,IF(ROUND(CD54*$J54,6)&lt;ROUND($M54,6),CD54,0)))</f>
        <v/>
      </c>
      <c r="GD54" s="68">
        <f>IF(OR($U54=0,$F54&lt;&gt;2),0,IF(GC54&gt;0,GC54,IF(ROUND(CE54*$J54,6)&lt;ROUND($M54,6),CE54,0)))</f>
        <v/>
      </c>
      <c r="GE54" s="68">
        <f>IF(OR($U54=0,$F54&lt;&gt;2),0,IF(GD54&gt;0,GD54,IF(ROUND(CF54*$J54,6)&lt;ROUND($M54,6),CF54,0)))</f>
        <v/>
      </c>
      <c r="GF54" s="68">
        <f>IF(OR($U54=0,$F54&lt;&gt;2),0,IF(GE54&gt;0,GE54,IF(ROUND(CG54*$J54,6)&lt;ROUND($M54,6),CG54,0)))</f>
        <v/>
      </c>
      <c r="GG54" s="68">
        <f>IF(OR($U54=0,$F54&lt;&gt;2),0,IF(GF54&gt;0,GF54,IF(ROUND(CH54*$J54,6)&lt;ROUND($M54,6),CH54,0)))</f>
        <v/>
      </c>
      <c r="GH54" s="68">
        <f>IF(OR($U54=0,$F54&lt;&gt;2),0,IF(GG54&gt;0,GG54,IF(ROUND(CI54*$J54,6)&lt;ROUND($M54,6),CI54,0)))</f>
        <v/>
      </c>
      <c r="GI54" s="68">
        <f>IF(OR($U54=0,$F54&lt;&gt;2),0,IF(GH54&gt;0,GH54,IF(ROUND(CJ54*$J54,6)&lt;ROUND($M54,6),CJ54,0)))</f>
        <v/>
      </c>
      <c r="GJ54" s="68">
        <f>IF(OR($U54=0,$F54&lt;&gt;2),0,IF(GI54&gt;0,GI54,IF(ROUND(CK54*$J54,6)&lt;ROUND($M54,6),CK54,0)))</f>
        <v/>
      </c>
      <c r="GK54" s="68">
        <f>IF(OR($U54=0,$F54&lt;&gt;2),0,IF(GJ54&gt;0,GJ54,IF(ROUND(CL54*$J54,6)&lt;ROUND($M54,6),CL54,0)))</f>
        <v/>
      </c>
      <c r="GL54" s="68">
        <f>IF(OR($U54=0,$F54&lt;&gt;2),0,IF(GK54&gt;0,GK54,IF(ROUND(CM54*$J54,6)&lt;ROUND($M54,6),CM54,0)))</f>
        <v/>
      </c>
      <c r="GM54" s="68">
        <f>IF(OR($U54=0,$F54&lt;&gt;2),0,IF(GL54&gt;0,GL54,IF(ROUND(CN54*$J54,6)&lt;ROUND($M54,6),CN54,0)))</f>
        <v/>
      </c>
      <c r="GN54" s="68">
        <f>IF(OR($U54=0,$F54&lt;&gt;2),0,IF(GM54&gt;0,GM54,IF(ROUND(CO54*$J54,6)&lt;ROUND($M54,6),CO54,0)))</f>
        <v/>
      </c>
      <c r="GO54" s="68">
        <f>IF(OR($U54=0,$F54&lt;&gt;2),0,IF(GN54&gt;0,GN54,IF(ROUND(CP54*$J54,6)&lt;ROUND($M54,6),CP54,0)))</f>
        <v/>
      </c>
      <c r="GP54" s="68">
        <f>IF(OR($U54=0,$F54&lt;&gt;2),0,IF(GO54&gt;0,GO54,IF(ROUND(CQ54*$J54,6)&lt;ROUND($M54,6),CQ54,0)))</f>
        <v/>
      </c>
      <c r="GQ54" s="68">
        <f>IF(OR($U54=0,$F54&lt;&gt;2),0,IF(GP54&gt;0,GP54,IF(ROUND(CR54*$J54,6)&lt;ROUND($M54,6),CR54,0)))</f>
        <v/>
      </c>
      <c r="GR54" s="68">
        <f>IF(OR($U54=0,$F54&lt;&gt;2),0,IF(GQ54&gt;0,GQ54,IF(ROUND(CS54*$J54,6)&lt;ROUND($M54,6),CS54,0)))</f>
        <v/>
      </c>
      <c r="GS54" s="68">
        <f>IF(OR($U54=0,$F54&lt;&gt;2),0,IF(GR54&gt;0,GR54,IF(ROUND(CT54*$J54,6)&lt;ROUND($M54,6),CT54,0)))</f>
        <v/>
      </c>
      <c r="GT54" s="68">
        <f>IF(OR($U54=0,$F54&lt;&gt;2),0,IF(GS54&gt;0,GS54,IF(ROUND(CU54*$J54,6)&lt;ROUND($M54,6),CU54,0)))</f>
        <v/>
      </c>
      <c r="GU54" s="68">
        <f>IF(OR($U54=0,$F54&lt;&gt;2),0,IF(GT54&gt;0,GT54,IF(ROUND(CV54*$J54,6)&lt;ROUND($M54,6),CV54,0)))</f>
        <v/>
      </c>
      <c r="GV54" s="68">
        <f>IF(OR($U54=0,$F54&lt;&gt;2),0,IF(GU54&gt;0,GU54,IF(ROUND(CW54*$J54,6)&lt;ROUND($M54,6),CW54,0)))</f>
        <v/>
      </c>
      <c r="GW54" s="68">
        <f>IF(OR($U54=0,$F54&lt;&gt;2),0,IF(GV54&gt;0,GV54,IF(ROUND(CX54*$J54,6)&lt;ROUND($M54,6),CX54,0)))</f>
        <v/>
      </c>
      <c r="GX54" s="68">
        <f>IF(OR($U54=0,$F54&lt;&gt;2),0,IF(GW54&gt;0,GW54,IF(ROUND(CY54*$J54,6)&lt;ROUND($M54,6),CY54,0)))</f>
        <v/>
      </c>
      <c r="GY54" s="68">
        <f>IF(OR($U54=0,$F54&lt;&gt;2),0,IF(GX54&gt;0,GX54,IF(ROUND(CZ54*$J54,6)&lt;ROUND($M54,6),CZ54,0)))</f>
        <v/>
      </c>
      <c r="GZ54" s="68">
        <f>IF(OR($U54=0,$F54&lt;&gt;2),0,IF(GY54&gt;0,GY54,IF(ROUND(DA54*$J54,6)&lt;ROUND($M54,6),DA54,0)))</f>
        <v/>
      </c>
      <c r="HA54" s="68">
        <f>IF(OR($U54=0,$F54&lt;&gt;2),0,IF(GZ54&gt;0,GZ54,IF(ROUND(DB54*$J54,6)&lt;ROUND($M54,6),DB54,0)))</f>
        <v/>
      </c>
      <c r="HB54" s="68">
        <f>IF(OR($U54=0,$F54&lt;&gt;2),0,IF(HA54&gt;0,HA54,IF(ROUND(DC54*$J54,6)&lt;ROUND($M54,6),DC54,0)))</f>
        <v/>
      </c>
      <c r="HC54" s="68">
        <f>IF(OR($U54=0,$F54&lt;&gt;2),0,IF(HB54&gt;0,HB54,IF(ROUND(DD54*$J54,6)&lt;ROUND($M54,6),DD54,0)))</f>
        <v/>
      </c>
      <c r="HD54" s="68">
        <f>IF(OR($U54=0,$F54&lt;&gt;2),0,IF(HC54&gt;0,HC54,IF(ROUND(DE54*$J54,6)&lt;ROUND($M54,6),DE54,0)))</f>
        <v/>
      </c>
      <c r="HE54" s="68">
        <f>IF(OR($U54=0,$F54&lt;&gt;2),0,IF(HD54&gt;0,HD54,IF(ROUND(DF54*$J54,6)&lt;ROUND($M54,6),DF54,0)))</f>
        <v/>
      </c>
      <c r="HF54" s="68">
        <f>IF(OR($U54=0,$F54&lt;&gt;2),0,IF(HE54&gt;0,HE54,IF(ROUND(DG54*$J54,6)&lt;ROUND($M54,6),DG54,0)))</f>
        <v/>
      </c>
      <c r="HG54" s="68">
        <f>IF(OR($U54=0,$F54&lt;&gt;2),0,IF(HF54&gt;0,HF54,IF(ROUND(DH54*$J54,6)&lt;ROUND($M54,6),DH54,0)))</f>
        <v/>
      </c>
      <c r="HH54" s="68">
        <f>IF(OR($U54=0,$F54&lt;&gt;2),0,IF(HG54&gt;0,HG54,IF(ROUND(DI54*$J54,6)&lt;ROUND($M54,6),DI54,0)))</f>
        <v/>
      </c>
      <c r="HI54" s="68">
        <f>IF(OR($U54=0,$F54&lt;&gt;2),0,IF(HH54&gt;0,HH54,IF(ROUND(DJ54*$J54,6)&lt;ROUND($M54,6),DJ54,0)))</f>
        <v/>
      </c>
      <c r="HJ54" s="68">
        <f>IF(OR($U54=0,$F54&lt;&gt;2),0,IF(HI54&gt;0,HI54,IF(ROUND(DK54*$J54,6)&lt;ROUND($M54,6),DK54,0)))</f>
        <v/>
      </c>
      <c r="HK54" s="68">
        <f>IF(OR($U54=0,$F54&lt;&gt;2),0,IF(HJ54&gt;0,HJ54,IF(ROUND(DL54*$J54,6)&lt;ROUND($M54,6),DL54,0)))</f>
        <v/>
      </c>
      <c r="HL54" s="68">
        <f>IF(OR($U54=0,$F54&lt;&gt;2),0,IF(HK54&gt;0,HK54,IF(ROUND(DM54*$J54,6)&lt;ROUND($M54,6),DM54,0)))</f>
        <v/>
      </c>
      <c r="HM54" s="68">
        <f>IF(OR($U54=0,$F54&lt;&gt;2),0,IF(HL54&gt;0,HL54,IF(ROUND(DN54*$J54,6)&lt;ROUND($M54,6),DN54,0)))</f>
        <v/>
      </c>
      <c r="HN54" s="68">
        <f>IF(OR($U54=0,$F54&lt;&gt;2),0,IF(HM54&gt;0,HM54,IF(ROUND(DO54*$J54,6)&lt;ROUND($M54,6),DO54,0)))</f>
        <v/>
      </c>
      <c r="HO54" s="68">
        <f>IF(OR($U54=0,$F54&lt;&gt;2),0,IF(HN54&gt;0,HN54,IF(ROUND(DP54*$J54,6)&lt;ROUND($M54,6),DP54,0)))</f>
        <v/>
      </c>
      <c r="HP54" s="68">
        <f>IF(OR($U54=0,$F54&lt;&gt;2),0,IF(HO54&gt;0,HO54,IF(ROUND(DQ54*$J54,6)&lt;ROUND($M54,6),DQ54,0)))</f>
        <v/>
      </c>
      <c r="HQ54" s="68">
        <f>IF(OR($U54=0,$F54&lt;&gt;2),0,IF(HP54&gt;0,HP54,IF(ROUND(DR54*$J54,6)&lt;ROUND($M54,6),DR54,0)))</f>
        <v/>
      </c>
      <c r="HR54" s="68">
        <f>IF(OR($U54=0,$F54&lt;&gt;2),0,IF(HQ54&gt;0,HQ54,IF(ROUND(DS54*$J54,6)&lt;ROUND($M54,6),DS54,0)))</f>
        <v/>
      </c>
      <c r="HS54" s="68">
        <f>IF(OR($U54=0,$F54&lt;&gt;2),0,IF(HR54&gt;0,HR54,IF(ROUND(DT54*$J54,6)&lt;ROUND($M54,6),DT54,0)))</f>
        <v/>
      </c>
      <c r="HT54" s="68">
        <f>IF(OR($U54=0,$F54&lt;&gt;2),0,IF(HS54&gt;0,HS54,IF(ROUND(DU54*$J54,6)&lt;ROUND($M54,6),DU54,0)))</f>
        <v/>
      </c>
      <c r="HU54" s="68">
        <f>IF(OR($U54=0,$F54&lt;&gt;2),0,IF(HT54&gt;0,HT54,IF(ROUND(DV54*$J54,6)&lt;ROUND($M54,6),DV54,0)))</f>
        <v/>
      </c>
      <c r="HV54" s="68">
        <f>IF(OR($U54=0,$F54&lt;&gt;2),0,IF(HU54&gt;0,HU54,IF(ROUND(DW54*$J54,6)&lt;ROUND($M54,6),DW54,0)))</f>
        <v/>
      </c>
      <c r="HW54" s="68">
        <f>IF(OR($U54=0,$F54&lt;&gt;2),0,IF(HV54&gt;0,HV54,IF(ROUND(DX54*$J54,6)&lt;ROUND($M54,6),DX54,0)))</f>
        <v/>
      </c>
      <c r="HX54" s="68">
        <f>IF(OR($U54=0,$F54&lt;&gt;2),0,IF(HW54&gt;0,HW54,IF(ROUND(DY54*$J54,6)&lt;ROUND($M54,6),DY54,0)))</f>
        <v/>
      </c>
      <c r="HY54" s="68">
        <f>IF(OR($U54=0,$F54&lt;&gt;2),0,IF(HX54&gt;0,HX54,IF(ROUND(DZ54*$J54,6)&lt;ROUND($M54,6),DZ54,0)))</f>
        <v/>
      </c>
      <c r="HZ54" s="68">
        <f>IF(OR($U54=0,$F54&lt;&gt;2),0,IF(HY54&gt;0,HY54,IF(ROUND(EA54*$J54,6)&lt;ROUND($M54,6),EA54,0)))</f>
        <v/>
      </c>
      <c r="IA54" s="68">
        <f>IF(OR($U54=0,$F54&lt;&gt;2),0,IF(HZ54&gt;0,HZ54,IF(ROUND(EB54*$J54,6)&lt;ROUND($M54,6),EB54,0)))</f>
        <v/>
      </c>
      <c r="IB54" s="68">
        <f>IF(OR($U54=0,$F54&lt;&gt;2),0,IF(IA54&gt;0,IA54,IF(ROUND(EC54*$J54,6)&lt;ROUND($M54,6),EC54,0)))</f>
        <v/>
      </c>
      <c r="IC54" s="68">
        <f>IF(OR($U54=0,$F54&lt;&gt;2),0,IF(IB54&gt;0,IB54,IF(ROUND(ED54*$J54,6)&lt;ROUND($M54,6),ED54,0)))</f>
        <v/>
      </c>
      <c r="ID54" s="68">
        <f>IF(OR($U54=0,$F54&lt;&gt;2),0,IF(IC54&gt;0,IC54,IF(ROUND(EE54*$J54,6)&lt;ROUND($M54,6),EE54,0)))</f>
        <v/>
      </c>
      <c r="IE54" s="68">
        <f>IF(OR($U54=0,$F54&lt;&gt;2),0,IF(ID54&gt;0,ID54,IF(ROUND(EF54*$J54,6)&lt;ROUND($M54,6),EF54,0)))</f>
        <v/>
      </c>
      <c r="IF54" s="68">
        <f>IF(OR($U54=0,$F54&lt;&gt;2),0,IF(IE54&gt;0,IE54,IF(ROUND(EG54*$J54,6)&lt;ROUND($M54,6),EG54,0)))</f>
        <v/>
      </c>
      <c r="IG54" s="68">
        <f>IF(OR($U54=0,$F54&lt;&gt;2),0,IF(IF54&gt;0,IF54,IF(ROUND(EH54*$J54,6)&lt;ROUND($M54,6),EH54,0)))</f>
        <v/>
      </c>
      <c r="IH54" s="68">
        <f>IF(OR($U54=0,$F54&lt;&gt;2),0,IF(IG54&gt;0,IG54,IF(ROUND(EI54*$J54,6)&lt;ROUND($M54,6),EI54,0)))</f>
        <v/>
      </c>
      <c r="II54" s="68">
        <f>IF(OR($U54=0,$F54&lt;&gt;2),0,IF(IH54&gt;0,IH54,IF(ROUND(EJ54*$J54,6)&lt;ROUND($M54,6),EJ54,0)))</f>
        <v/>
      </c>
      <c r="IJ54" s="68">
        <f>IF(OR($U54=0,$F54&lt;&gt;2),0,IF(II54&gt;0,II54,IF(ROUND(EK54*$J54,6)&lt;ROUND($M54,6),EK54,0)))</f>
        <v/>
      </c>
      <c r="IK54" s="68">
        <f>IF(OR($U54=0,$F54&lt;&gt;2),0,IF(IJ54&gt;0,IJ54,IF(ROUND(EL54*$J54,6)&lt;ROUND($M54,6),EL54,0)))</f>
        <v/>
      </c>
      <c r="IL54" s="68">
        <f>IF(OR($U54=0,$F54&lt;&gt;2),0,IF(IK54&gt;0,IK54,IF(ROUND(EM54*$J54,6)&lt;ROUND($M54,6),EM54,0)))</f>
        <v/>
      </c>
      <c r="IM54" s="68">
        <f>IF(OR($U54=0,$F54&lt;&gt;2),0,IF(IL54&gt;0,IL54,IF(ROUND(EN54*$J54,6)&lt;ROUND($M54,6),EN54,0)))</f>
        <v/>
      </c>
      <c r="IN54" s="68">
        <f>IF(OR($U54=0,$F54&lt;&gt;2),0,IF(IM54&gt;0,IM54,IF(ROUND(EO54*$J54,6)&lt;ROUND($M54,6),EO54,0)))</f>
        <v/>
      </c>
    </row>
    <row r="55">
      <c r="A55" s="68" t="n">
        <v>50</v>
      </c>
      <c r="B55" s="68">
        <f>IF(OR(TRIM('固定資産台帳'!$B55)&lt;&gt;"",'固定資産台帳'!$E55&lt;&gt;"",'固定資産台帳'!$G55&lt;&gt;"",'固定資産台帳'!$H55&lt;&gt;""),1,0)</f>
        <v/>
      </c>
      <c r="C55" s="68">
        <f>IF(ISNUMBER('固定資産台帳'!$G55),MAX(ROUND('固定資産台帳'!$G55,0),0),0)</f>
        <v/>
      </c>
      <c r="D55" s="84">
        <f>IF(ISNUMBER('固定資産台帳'!$E55),INT('固定資産台帳'!$E55),0)</f>
        <v/>
      </c>
      <c r="E55" s="84">
        <f>IF(ISNUMBER('固定資産台帳'!$F55),INT('固定資産台帳'!$F55),$D55)</f>
        <v/>
      </c>
      <c r="F55" s="68">
        <f>IF('固定資産台帳'!$H55="定額法",1,IF(OR('固定資産台帳'!$H55="定率法",'固定資産台帳'!$H55="定率法（200%）",'固定資産台帳'!$H55="定率法（250%）"),2,IF('固定資産台帳'!$H55="一括償却（3年）",3,IF('固定資産台帳'!$H55="少額特例",4,0))))</f>
        <v/>
      </c>
      <c r="G55" s="68">
        <f>IF('固定資産台帳'!$H55="定率法（250%）",250,IF('固定資産台帳'!$H55="定率法（200%）",200,IF($D55&gt;=DATE(2012,4,1),200,250)))</f>
        <v/>
      </c>
      <c r="H55" s="68">
        <f>IF(ISNUMBER('固定資産台帳'!$I55),IF(AND('固定資産台帳'!$I55&gt;=2,'固定資産台帳'!$I55&lt;=100,'固定資産台帳'!$I55=INT('固定資産台帳'!$I55)),'固定資産台帳'!$I55,0),0)</f>
        <v/>
      </c>
      <c r="I55" s="68">
        <f>IF('固定資産台帳'!$C55="無形固定資産",0,1)</f>
        <v/>
      </c>
      <c r="J55" s="68">
        <f>IF(OR($H55=0,$F55=0,$F55&gt;2),0,IF($F55=1,INDEX('償却率表'!$B$6:$B$104,$H55-1),IF($G55=200,INDEX('償却率表'!$C$6:$C$104,$H55-1),INDEX('償却率表'!$F$6:$F$104,$H55-1))))</f>
        <v/>
      </c>
      <c r="K55" s="68">
        <f>IF(AND($F55=2,$H55&gt;0),IF($G55=200,INDEX('償却率表'!$D$6:$D$104,$H55-1),INDEX('償却率表'!$G$6:$G$104,$H55-1)),0)</f>
        <v/>
      </c>
      <c r="L55" s="68">
        <f>IF(AND($F55=2,$H55&gt;0),IF($G55=200,INDEX('償却率表'!$E$6:$E$104,$H55-1),INDEX('償却率表'!$H$6:$H$104,$H55-1)),0)</f>
        <v/>
      </c>
      <c r="M55" s="68">
        <f>$C55*$L55</f>
        <v/>
      </c>
      <c r="N55" s="68">
        <f>IF($B$1=1,1,IF('固定資産台帳'!$J55="",1,IF(ISNUMBER('固定資産台帳'!$J55),IF(AND('固定資産台帳'!$J55&gt;0,'固定資産台帳'!$J55&lt;=1),'固定資産台帳'!$J55,0),0)))</f>
        <v/>
      </c>
      <c r="O55" s="68">
        <f>IF($E55=0,0,YEAR($E55)-IF(MONTH($E55)&lt;$B$2,1,0))</f>
        <v/>
      </c>
      <c r="P55" s="68">
        <f>IF($E55=0,0,12-MOD(MONTH($E55)-$B$2,12))</f>
        <v/>
      </c>
      <c r="Q55" s="84">
        <f>IF(ISNUMBER('固定資産台帳'!$K55),INT('固定資産台帳'!$K55),0)</f>
        <v/>
      </c>
      <c r="R55" s="68">
        <f>IF(OR($Q55=0,$E55=0),999,YEAR($Q55)-IF(MONTH($Q55)&lt;$B$2,1,0)-$O55)</f>
        <v/>
      </c>
      <c r="S55" s="68">
        <f>IF($R55=999,0,MOD(MONTH($Q55)-$B$2,12)+1-IF($R55=0,12-$P55,0))</f>
        <v/>
      </c>
      <c r="T55" s="68">
        <f>IF($B55=0,0,IF($C55&lt;=0,1,IF($D55=0,2,IF($F55=0,3,IF(AND($F55&lt;=2,$H55=0),4,IF(AND($F55&lt;=2,$D55&lt;DATE(2007,4,1)),5,IF($E55&lt;$D55,6,IF(AND($Q55&gt;0,$Q55&lt;$E55),7,IF($N55=0,8,IF($B$3=0,9,0))))))))))</f>
        <v/>
      </c>
      <c r="U55" s="68">
        <f>IF(AND($B55=1,$T55=0),1,0)</f>
        <v/>
      </c>
      <c r="V55" s="68">
        <f>$B$3-$O55</f>
        <v/>
      </c>
      <c r="W55" s="68">
        <f>IF(AND($U55=1,$V55&gt;=0),1,0)</f>
        <v/>
      </c>
      <c r="X55" s="68">
        <f>IF($W55=0,0,IF($V55=0,$C55,INDEX($AS55:$EP55,MIN($V55,102))))</f>
        <v/>
      </c>
      <c r="Y55" s="68">
        <f>IF($W55=0,0,INDEX($AS55:$EP55,MIN($V55,101)+1))</f>
        <v/>
      </c>
      <c r="Z55" s="68">
        <f>$X55-$Y55</f>
        <v/>
      </c>
      <c r="AA55" s="68">
        <f>IF(AND($W55=1,$F55=2,$V55&gt;=1),INDEX($ER55:$IN55,MIN($V55,101)),0)</f>
        <v/>
      </c>
      <c r="AB55" s="68">
        <f>IF(OR($W55=0,$F55&gt;2,$Z55=0),0,IF($V55=0,IF($R55=0,$S55,$P55),IF($V55=$R55,$S55,12)))</f>
        <v/>
      </c>
      <c r="AC55" s="68">
        <f>IF($W55=0,0,INT(ROUND($Z55*$N55,6)+$B$4))</f>
        <v/>
      </c>
      <c r="AD55" s="68">
        <f>IF(AND($W55=1,$F55&lt;=2,$V55=$R55),1,0)</f>
        <v/>
      </c>
      <c r="AE55" s="68">
        <f>IF(AND($W55=1,$F55&lt;=2,$V55&gt;$R55),1,0)</f>
        <v/>
      </c>
      <c r="AF55" s="68">
        <f>IF(AND($W55=1,$AE55=0,OR($Z55&gt;0,$AD55=1)),1,0)</f>
        <v/>
      </c>
      <c r="AG55" s="68">
        <f>IF($AF55=1,SUM($AF$6:$AF55),0)</f>
        <v/>
      </c>
      <c r="AH55" s="68">
        <f>IF($T55=0,"",CHOOSE($T55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55" s="68">
        <f>IF(AND($F55=2,OR('固定資産台帳'!$C55="建物",'固定資産台帳'!$C55="無形固定資産",AND(OR('固定資産台帳'!$C55="建物附属設備",'固定資産台帳'!$C55="構築物"),$D55&gt;=DATE(2016,4,1)))),"この資産は定額法だけです（定率法は使えません）。","")&amp;IF(AND($F55=3,$C55&gt;=200000),"一括償却は20万円未満の資産だけです。","")&amp;IF(AND($F55=3,$B$1=0,$C55&lt;100000),"10万円未満は一括償却にせず、全額をその年の経費にします。","")&amp;IF(AND($F55=4,$C55&lt;100000),"10万円未満は少額特例ではなく、全額をその年の経費にします。","")&amp;IF(AND($F55=4,$D55&lt;DATE(2026,4,1),$C55&gt;=300000),"2026年3月31日までの取得で少額特例が使えるのは30万円未満です。","")&amp;IF(AND($F55=4,$D55&gt;=DATE(2026,4,1),$C55&gt;=400000),"少額特例は40万円未満の資産だけです。","")&amp;IF(AND($F55=4,OR($D55&lt;DATE(2006,4,1),$D55&gt;DATE(2029,3,31))),"少額特例は2006年4月1日〜2029年3月31日に取得した資産だけです。","")&amp;IF(AND($F55=2,$G55=250,$D55&gt;DATE(2012,12,31)),"250%定率法は2012年12月31日までの取得だけです。","")</f>
        <v/>
      </c>
      <c r="AJ55" s="68">
        <f>IF(AND($F55=2,'固定資産台帳'!$H55="定率法（200%）",$D55&lt;DATE(2012,4,1)),"2012年3月31日までの取得に200%を使うのは、経過措置の届出をした場合です。","")&amp;IF(AND($F55=2,'固定資産台帳'!$H55="定率法（250%）",$D55&gt;=DATE(2012,4,1),$D55&lt;=DATE(2012,12,31)),"2012年4〜12月の取得に250%を使うのは、経過措置を選んだ場合です。","")</f>
        <v/>
      </c>
      <c r="AK55" s="68">
        <f>IF($U55=0,"",IF($V55&lt;0,"表示している年より後に使い始める資産です。",IF($AE55=1,"売却・除却済みです。",IF($AD55=1,"この年に売却・除却。期末の帳簿価額 "&amp;TEXT($Y55,"#,##0")&amp;"円を帳簿から外します。",IF($F55=4,IF($V55=0,"少額特例：この年に全額を経費にします。","少額特例で経費にした資産です。"),IF($F55=3,IF($V55&gt;2,"一括償却は終わっています。","一括償却 "&amp;($V55+1)&amp;"年目（3年のうち）。"),IF($Z55=0,"償却済み（帳簿価額 "&amp;TEXT($Y55,"#,##0")&amp;"円）。",IF($AA55&gt;0,"改定償却率で計算（改定取得価額 "&amp;TEXT($AA55,"#,##0")&amp;"円）。",IF($V55=0,"この年に使い始め（"&amp;$AB55&amp;"か月分）。","")))))))))</f>
        <v/>
      </c>
      <c r="AL55" s="68">
        <f>IF(AND($U55=1,$F55=4,$V55=0),$C55,0)</f>
        <v/>
      </c>
      <c r="AM55" s="68">
        <f>IF($F55=2,INT(ROUND($M55,6)+$B$4),0)</f>
        <v/>
      </c>
      <c r="AN55" s="68">
        <f>IF($W55=0,0,IF($F55=2,IF($AA55&gt;0,$AA55,$X55),$C55))</f>
        <v/>
      </c>
      <c r="AO55" s="68">
        <f>IF($W55=0,"",IF($F55=3,"1/3",IF($F55=4,"―",IF($AA55&gt;0,$K55,$J55))))</f>
        <v/>
      </c>
      <c r="AP55" s="68" t="n"/>
      <c r="AQ55" s="68" t="n"/>
      <c r="AR55" s="68" t="n"/>
      <c r="AS55" s="68">
        <f>IF($U55=0,0,IF($F55=4,0,IF($F55=3,MAX($C55-INT(ROUND($C55/3,6)+$B$4),0),$C55-MIN(INT(ROUND($C55*$J55*IF($R55=0,$S55,$P55)/12,6)+$B$4),MAX($C55-$I55,0)))))</f>
        <v/>
      </c>
      <c r="AT55" s="68">
        <f>IF($U55=0,0,IF($F55=4,0,IF($F55=3,AS55-MIN(INT(ROUND($C55/3,6)+$B$4),AS55),IF(OR(1&gt;$R55,AS55&lt;=$I55),AS55,AS55-MIN(INT(ROUND(IF($F55=1,$C55*$J55,IF(ER55&gt;0,ER55*$K55,AS55*$J55))*IF(1=$R55,$S55,12)/12,6)+$B$4),AS55-$I55)))))</f>
        <v/>
      </c>
      <c r="AU55" s="68">
        <f>IF($U55=0,0,IF($F55=4,0,IF($F55=3,0,IF(OR(2&gt;$R55,AT55&lt;=$I55),AT55,AT55-MIN(INT(ROUND(IF($F55=1,$C55*$J55,IF(ES55&gt;0,ES55*$K55,AT55*$J55))*IF(2=$R55,$S55,12)/12,6)+$B$4),AT55-$I55)))))</f>
        <v/>
      </c>
      <c r="AV55" s="68">
        <f>IF($U55=0,0,IF($F55=4,0,IF($F55=3,0,IF(OR(3&gt;$R55,AU55&lt;=$I55),AU55,AU55-MIN(INT(ROUND(IF($F55=1,$C55*$J55,IF(ET55&gt;0,ET55*$K55,AU55*$J55))*IF(3=$R55,$S55,12)/12,6)+$B$4),AU55-$I55)))))</f>
        <v/>
      </c>
      <c r="AW55" s="68">
        <f>IF($U55=0,0,IF($F55=4,0,IF($F55=3,0,IF(OR(4&gt;$R55,AV55&lt;=$I55),AV55,AV55-MIN(INT(ROUND(IF($F55=1,$C55*$J55,IF(EU55&gt;0,EU55*$K55,AV55*$J55))*IF(4=$R55,$S55,12)/12,6)+$B$4),AV55-$I55)))))</f>
        <v/>
      </c>
      <c r="AX55" s="68">
        <f>IF($U55=0,0,IF($F55=4,0,IF($F55=3,0,IF(OR(5&gt;$R55,AW55&lt;=$I55),AW55,AW55-MIN(INT(ROUND(IF($F55=1,$C55*$J55,IF(EV55&gt;0,EV55*$K55,AW55*$J55))*IF(5=$R55,$S55,12)/12,6)+$B$4),AW55-$I55)))))</f>
        <v/>
      </c>
      <c r="AY55" s="68">
        <f>IF($U55=0,0,IF($F55=4,0,IF($F55=3,0,IF(OR(6&gt;$R55,AX55&lt;=$I55),AX55,AX55-MIN(INT(ROUND(IF($F55=1,$C55*$J55,IF(EW55&gt;0,EW55*$K55,AX55*$J55))*IF(6=$R55,$S55,12)/12,6)+$B$4),AX55-$I55)))))</f>
        <v/>
      </c>
      <c r="AZ55" s="68">
        <f>IF($U55=0,0,IF($F55=4,0,IF($F55=3,0,IF(OR(7&gt;$R55,AY55&lt;=$I55),AY55,AY55-MIN(INT(ROUND(IF($F55=1,$C55*$J55,IF(EX55&gt;0,EX55*$K55,AY55*$J55))*IF(7=$R55,$S55,12)/12,6)+$B$4),AY55-$I55)))))</f>
        <v/>
      </c>
      <c r="BA55" s="68">
        <f>IF($U55=0,0,IF($F55=4,0,IF($F55=3,0,IF(OR(8&gt;$R55,AZ55&lt;=$I55),AZ55,AZ55-MIN(INT(ROUND(IF($F55=1,$C55*$J55,IF(EY55&gt;0,EY55*$K55,AZ55*$J55))*IF(8=$R55,$S55,12)/12,6)+$B$4),AZ55-$I55)))))</f>
        <v/>
      </c>
      <c r="BB55" s="68">
        <f>IF($U55=0,0,IF($F55=4,0,IF($F55=3,0,IF(OR(9&gt;$R55,BA55&lt;=$I55),BA55,BA55-MIN(INT(ROUND(IF($F55=1,$C55*$J55,IF(EZ55&gt;0,EZ55*$K55,BA55*$J55))*IF(9=$R55,$S55,12)/12,6)+$B$4),BA55-$I55)))))</f>
        <v/>
      </c>
      <c r="BC55" s="68">
        <f>IF($U55=0,0,IF($F55=4,0,IF($F55=3,0,IF(OR(10&gt;$R55,BB55&lt;=$I55),BB55,BB55-MIN(INT(ROUND(IF($F55=1,$C55*$J55,IF(FA55&gt;0,FA55*$K55,BB55*$J55))*IF(10=$R55,$S55,12)/12,6)+$B$4),BB55-$I55)))))</f>
        <v/>
      </c>
      <c r="BD55" s="68">
        <f>IF($U55=0,0,IF($F55=4,0,IF($F55=3,0,IF(OR(11&gt;$R55,BC55&lt;=$I55),BC55,BC55-MIN(INT(ROUND(IF($F55=1,$C55*$J55,IF(FB55&gt;0,FB55*$K55,BC55*$J55))*IF(11=$R55,$S55,12)/12,6)+$B$4),BC55-$I55)))))</f>
        <v/>
      </c>
      <c r="BE55" s="68">
        <f>IF($U55=0,0,IF($F55=4,0,IF($F55=3,0,IF(OR(12&gt;$R55,BD55&lt;=$I55),BD55,BD55-MIN(INT(ROUND(IF($F55=1,$C55*$J55,IF(FC55&gt;0,FC55*$K55,BD55*$J55))*IF(12=$R55,$S55,12)/12,6)+$B$4),BD55-$I55)))))</f>
        <v/>
      </c>
      <c r="BF55" s="68">
        <f>IF($U55=0,0,IF($F55=4,0,IF($F55=3,0,IF(OR(13&gt;$R55,BE55&lt;=$I55),BE55,BE55-MIN(INT(ROUND(IF($F55=1,$C55*$J55,IF(FD55&gt;0,FD55*$K55,BE55*$J55))*IF(13=$R55,$S55,12)/12,6)+$B$4),BE55-$I55)))))</f>
        <v/>
      </c>
      <c r="BG55" s="68">
        <f>IF($U55=0,0,IF($F55=4,0,IF($F55=3,0,IF(OR(14&gt;$R55,BF55&lt;=$I55),BF55,BF55-MIN(INT(ROUND(IF($F55=1,$C55*$J55,IF(FE55&gt;0,FE55*$K55,BF55*$J55))*IF(14=$R55,$S55,12)/12,6)+$B$4),BF55-$I55)))))</f>
        <v/>
      </c>
      <c r="BH55" s="68">
        <f>IF($U55=0,0,IF($F55=4,0,IF($F55=3,0,IF(OR(15&gt;$R55,BG55&lt;=$I55),BG55,BG55-MIN(INT(ROUND(IF($F55=1,$C55*$J55,IF(FF55&gt;0,FF55*$K55,BG55*$J55))*IF(15=$R55,$S55,12)/12,6)+$B$4),BG55-$I55)))))</f>
        <v/>
      </c>
      <c r="BI55" s="68">
        <f>IF($U55=0,0,IF($F55=4,0,IF($F55=3,0,IF(OR(16&gt;$R55,BH55&lt;=$I55),BH55,BH55-MIN(INT(ROUND(IF($F55=1,$C55*$J55,IF(FG55&gt;0,FG55*$K55,BH55*$J55))*IF(16=$R55,$S55,12)/12,6)+$B$4),BH55-$I55)))))</f>
        <v/>
      </c>
      <c r="BJ55" s="68">
        <f>IF($U55=0,0,IF($F55=4,0,IF($F55=3,0,IF(OR(17&gt;$R55,BI55&lt;=$I55),BI55,BI55-MIN(INT(ROUND(IF($F55=1,$C55*$J55,IF(FH55&gt;0,FH55*$K55,BI55*$J55))*IF(17=$R55,$S55,12)/12,6)+$B$4),BI55-$I55)))))</f>
        <v/>
      </c>
      <c r="BK55" s="68">
        <f>IF($U55=0,0,IF($F55=4,0,IF($F55=3,0,IF(OR(18&gt;$R55,BJ55&lt;=$I55),BJ55,BJ55-MIN(INT(ROUND(IF($F55=1,$C55*$J55,IF(FI55&gt;0,FI55*$K55,BJ55*$J55))*IF(18=$R55,$S55,12)/12,6)+$B$4),BJ55-$I55)))))</f>
        <v/>
      </c>
      <c r="BL55" s="68">
        <f>IF($U55=0,0,IF($F55=4,0,IF($F55=3,0,IF(OR(19&gt;$R55,BK55&lt;=$I55),BK55,BK55-MIN(INT(ROUND(IF($F55=1,$C55*$J55,IF(FJ55&gt;0,FJ55*$K55,BK55*$J55))*IF(19=$R55,$S55,12)/12,6)+$B$4),BK55-$I55)))))</f>
        <v/>
      </c>
      <c r="BM55" s="68">
        <f>IF($U55=0,0,IF($F55=4,0,IF($F55=3,0,IF(OR(20&gt;$R55,BL55&lt;=$I55),BL55,BL55-MIN(INT(ROUND(IF($F55=1,$C55*$J55,IF(FK55&gt;0,FK55*$K55,BL55*$J55))*IF(20=$R55,$S55,12)/12,6)+$B$4),BL55-$I55)))))</f>
        <v/>
      </c>
      <c r="BN55" s="68">
        <f>IF($U55=0,0,IF($F55=4,0,IF($F55=3,0,IF(OR(21&gt;$R55,BM55&lt;=$I55),BM55,BM55-MIN(INT(ROUND(IF($F55=1,$C55*$J55,IF(FL55&gt;0,FL55*$K55,BM55*$J55))*IF(21=$R55,$S55,12)/12,6)+$B$4),BM55-$I55)))))</f>
        <v/>
      </c>
      <c r="BO55" s="68">
        <f>IF($U55=0,0,IF($F55=4,0,IF($F55=3,0,IF(OR(22&gt;$R55,BN55&lt;=$I55),BN55,BN55-MIN(INT(ROUND(IF($F55=1,$C55*$J55,IF(FM55&gt;0,FM55*$K55,BN55*$J55))*IF(22=$R55,$S55,12)/12,6)+$B$4),BN55-$I55)))))</f>
        <v/>
      </c>
      <c r="BP55" s="68">
        <f>IF($U55=0,0,IF($F55=4,0,IF($F55=3,0,IF(OR(23&gt;$R55,BO55&lt;=$I55),BO55,BO55-MIN(INT(ROUND(IF($F55=1,$C55*$J55,IF(FN55&gt;0,FN55*$K55,BO55*$J55))*IF(23=$R55,$S55,12)/12,6)+$B$4),BO55-$I55)))))</f>
        <v/>
      </c>
      <c r="BQ55" s="68">
        <f>IF($U55=0,0,IF($F55=4,0,IF($F55=3,0,IF(OR(24&gt;$R55,BP55&lt;=$I55),BP55,BP55-MIN(INT(ROUND(IF($F55=1,$C55*$J55,IF(FO55&gt;0,FO55*$K55,BP55*$J55))*IF(24=$R55,$S55,12)/12,6)+$B$4),BP55-$I55)))))</f>
        <v/>
      </c>
      <c r="BR55" s="68">
        <f>IF($U55=0,0,IF($F55=4,0,IF($F55=3,0,IF(OR(25&gt;$R55,BQ55&lt;=$I55),BQ55,BQ55-MIN(INT(ROUND(IF($F55=1,$C55*$J55,IF(FP55&gt;0,FP55*$K55,BQ55*$J55))*IF(25=$R55,$S55,12)/12,6)+$B$4),BQ55-$I55)))))</f>
        <v/>
      </c>
      <c r="BS55" s="68">
        <f>IF($U55=0,0,IF($F55=4,0,IF($F55=3,0,IF(OR(26&gt;$R55,BR55&lt;=$I55),BR55,BR55-MIN(INT(ROUND(IF($F55=1,$C55*$J55,IF(FQ55&gt;0,FQ55*$K55,BR55*$J55))*IF(26=$R55,$S55,12)/12,6)+$B$4),BR55-$I55)))))</f>
        <v/>
      </c>
      <c r="BT55" s="68">
        <f>IF($U55=0,0,IF($F55=4,0,IF($F55=3,0,IF(OR(27&gt;$R55,BS55&lt;=$I55),BS55,BS55-MIN(INT(ROUND(IF($F55=1,$C55*$J55,IF(FR55&gt;0,FR55*$K55,BS55*$J55))*IF(27=$R55,$S55,12)/12,6)+$B$4),BS55-$I55)))))</f>
        <v/>
      </c>
      <c r="BU55" s="68">
        <f>IF($U55=0,0,IF($F55=4,0,IF($F55=3,0,IF(OR(28&gt;$R55,BT55&lt;=$I55),BT55,BT55-MIN(INT(ROUND(IF($F55=1,$C55*$J55,IF(FS55&gt;0,FS55*$K55,BT55*$J55))*IF(28=$R55,$S55,12)/12,6)+$B$4),BT55-$I55)))))</f>
        <v/>
      </c>
      <c r="BV55" s="68">
        <f>IF($U55=0,0,IF($F55=4,0,IF($F55=3,0,IF(OR(29&gt;$R55,BU55&lt;=$I55),BU55,BU55-MIN(INT(ROUND(IF($F55=1,$C55*$J55,IF(FT55&gt;0,FT55*$K55,BU55*$J55))*IF(29=$R55,$S55,12)/12,6)+$B$4),BU55-$I55)))))</f>
        <v/>
      </c>
      <c r="BW55" s="68">
        <f>IF($U55=0,0,IF($F55=4,0,IF($F55=3,0,IF(OR(30&gt;$R55,BV55&lt;=$I55),BV55,BV55-MIN(INT(ROUND(IF($F55=1,$C55*$J55,IF(FU55&gt;0,FU55*$K55,BV55*$J55))*IF(30=$R55,$S55,12)/12,6)+$B$4),BV55-$I55)))))</f>
        <v/>
      </c>
      <c r="BX55" s="68">
        <f>IF($U55=0,0,IF($F55=4,0,IF($F55=3,0,IF(OR(31&gt;$R55,BW55&lt;=$I55),BW55,BW55-MIN(INT(ROUND(IF($F55=1,$C55*$J55,IF(FV55&gt;0,FV55*$K55,BW55*$J55))*IF(31=$R55,$S55,12)/12,6)+$B$4),BW55-$I55)))))</f>
        <v/>
      </c>
      <c r="BY55" s="68">
        <f>IF($U55=0,0,IF($F55=4,0,IF($F55=3,0,IF(OR(32&gt;$R55,BX55&lt;=$I55),BX55,BX55-MIN(INT(ROUND(IF($F55=1,$C55*$J55,IF(FW55&gt;0,FW55*$K55,BX55*$J55))*IF(32=$R55,$S55,12)/12,6)+$B$4),BX55-$I55)))))</f>
        <v/>
      </c>
      <c r="BZ55" s="68">
        <f>IF($U55=0,0,IF($F55=4,0,IF($F55=3,0,IF(OR(33&gt;$R55,BY55&lt;=$I55),BY55,BY55-MIN(INT(ROUND(IF($F55=1,$C55*$J55,IF(FX55&gt;0,FX55*$K55,BY55*$J55))*IF(33=$R55,$S55,12)/12,6)+$B$4),BY55-$I55)))))</f>
        <v/>
      </c>
      <c r="CA55" s="68">
        <f>IF($U55=0,0,IF($F55=4,0,IF($F55=3,0,IF(OR(34&gt;$R55,BZ55&lt;=$I55),BZ55,BZ55-MIN(INT(ROUND(IF($F55=1,$C55*$J55,IF(FY55&gt;0,FY55*$K55,BZ55*$J55))*IF(34=$R55,$S55,12)/12,6)+$B$4),BZ55-$I55)))))</f>
        <v/>
      </c>
      <c r="CB55" s="68">
        <f>IF($U55=0,0,IF($F55=4,0,IF($F55=3,0,IF(OR(35&gt;$R55,CA55&lt;=$I55),CA55,CA55-MIN(INT(ROUND(IF($F55=1,$C55*$J55,IF(FZ55&gt;0,FZ55*$K55,CA55*$J55))*IF(35=$R55,$S55,12)/12,6)+$B$4),CA55-$I55)))))</f>
        <v/>
      </c>
      <c r="CC55" s="68">
        <f>IF($U55=0,0,IF($F55=4,0,IF($F55=3,0,IF(OR(36&gt;$R55,CB55&lt;=$I55),CB55,CB55-MIN(INT(ROUND(IF($F55=1,$C55*$J55,IF(GA55&gt;0,GA55*$K55,CB55*$J55))*IF(36=$R55,$S55,12)/12,6)+$B$4),CB55-$I55)))))</f>
        <v/>
      </c>
      <c r="CD55" s="68">
        <f>IF($U55=0,0,IF($F55=4,0,IF($F55=3,0,IF(OR(37&gt;$R55,CC55&lt;=$I55),CC55,CC55-MIN(INT(ROUND(IF($F55=1,$C55*$J55,IF(GB55&gt;0,GB55*$K55,CC55*$J55))*IF(37=$R55,$S55,12)/12,6)+$B$4),CC55-$I55)))))</f>
        <v/>
      </c>
      <c r="CE55" s="68">
        <f>IF($U55=0,0,IF($F55=4,0,IF($F55=3,0,IF(OR(38&gt;$R55,CD55&lt;=$I55),CD55,CD55-MIN(INT(ROUND(IF($F55=1,$C55*$J55,IF(GC55&gt;0,GC55*$K55,CD55*$J55))*IF(38=$R55,$S55,12)/12,6)+$B$4),CD55-$I55)))))</f>
        <v/>
      </c>
      <c r="CF55" s="68">
        <f>IF($U55=0,0,IF($F55=4,0,IF($F55=3,0,IF(OR(39&gt;$R55,CE55&lt;=$I55),CE55,CE55-MIN(INT(ROUND(IF($F55=1,$C55*$J55,IF(GD55&gt;0,GD55*$K55,CE55*$J55))*IF(39=$R55,$S55,12)/12,6)+$B$4),CE55-$I55)))))</f>
        <v/>
      </c>
      <c r="CG55" s="68">
        <f>IF($U55=0,0,IF($F55=4,0,IF($F55=3,0,IF(OR(40&gt;$R55,CF55&lt;=$I55),CF55,CF55-MIN(INT(ROUND(IF($F55=1,$C55*$J55,IF(GE55&gt;0,GE55*$K55,CF55*$J55))*IF(40=$R55,$S55,12)/12,6)+$B$4),CF55-$I55)))))</f>
        <v/>
      </c>
      <c r="CH55" s="68">
        <f>IF($U55=0,0,IF($F55=4,0,IF($F55=3,0,IF(OR(41&gt;$R55,CG55&lt;=$I55),CG55,CG55-MIN(INT(ROUND(IF($F55=1,$C55*$J55,IF(GF55&gt;0,GF55*$K55,CG55*$J55))*IF(41=$R55,$S55,12)/12,6)+$B$4),CG55-$I55)))))</f>
        <v/>
      </c>
      <c r="CI55" s="68">
        <f>IF($U55=0,0,IF($F55=4,0,IF($F55=3,0,IF(OR(42&gt;$R55,CH55&lt;=$I55),CH55,CH55-MIN(INT(ROUND(IF($F55=1,$C55*$J55,IF(GG55&gt;0,GG55*$K55,CH55*$J55))*IF(42=$R55,$S55,12)/12,6)+$B$4),CH55-$I55)))))</f>
        <v/>
      </c>
      <c r="CJ55" s="68">
        <f>IF($U55=0,0,IF($F55=4,0,IF($F55=3,0,IF(OR(43&gt;$R55,CI55&lt;=$I55),CI55,CI55-MIN(INT(ROUND(IF($F55=1,$C55*$J55,IF(GH55&gt;0,GH55*$K55,CI55*$J55))*IF(43=$R55,$S55,12)/12,6)+$B$4),CI55-$I55)))))</f>
        <v/>
      </c>
      <c r="CK55" s="68">
        <f>IF($U55=0,0,IF($F55=4,0,IF($F55=3,0,IF(OR(44&gt;$R55,CJ55&lt;=$I55),CJ55,CJ55-MIN(INT(ROUND(IF($F55=1,$C55*$J55,IF(GI55&gt;0,GI55*$K55,CJ55*$J55))*IF(44=$R55,$S55,12)/12,6)+$B$4),CJ55-$I55)))))</f>
        <v/>
      </c>
      <c r="CL55" s="68">
        <f>IF($U55=0,0,IF($F55=4,0,IF($F55=3,0,IF(OR(45&gt;$R55,CK55&lt;=$I55),CK55,CK55-MIN(INT(ROUND(IF($F55=1,$C55*$J55,IF(GJ55&gt;0,GJ55*$K55,CK55*$J55))*IF(45=$R55,$S55,12)/12,6)+$B$4),CK55-$I55)))))</f>
        <v/>
      </c>
      <c r="CM55" s="68">
        <f>IF($U55=0,0,IF($F55=4,0,IF($F55=3,0,IF(OR(46&gt;$R55,CL55&lt;=$I55),CL55,CL55-MIN(INT(ROUND(IF($F55=1,$C55*$J55,IF(GK55&gt;0,GK55*$K55,CL55*$J55))*IF(46=$R55,$S55,12)/12,6)+$B$4),CL55-$I55)))))</f>
        <v/>
      </c>
      <c r="CN55" s="68">
        <f>IF($U55=0,0,IF($F55=4,0,IF($F55=3,0,IF(OR(47&gt;$R55,CM55&lt;=$I55),CM55,CM55-MIN(INT(ROUND(IF($F55=1,$C55*$J55,IF(GL55&gt;0,GL55*$K55,CM55*$J55))*IF(47=$R55,$S55,12)/12,6)+$B$4),CM55-$I55)))))</f>
        <v/>
      </c>
      <c r="CO55" s="68">
        <f>IF($U55=0,0,IF($F55=4,0,IF($F55=3,0,IF(OR(48&gt;$R55,CN55&lt;=$I55),CN55,CN55-MIN(INT(ROUND(IF($F55=1,$C55*$J55,IF(GM55&gt;0,GM55*$K55,CN55*$J55))*IF(48=$R55,$S55,12)/12,6)+$B$4),CN55-$I55)))))</f>
        <v/>
      </c>
      <c r="CP55" s="68">
        <f>IF($U55=0,0,IF($F55=4,0,IF($F55=3,0,IF(OR(49&gt;$R55,CO55&lt;=$I55),CO55,CO55-MIN(INT(ROUND(IF($F55=1,$C55*$J55,IF(GN55&gt;0,GN55*$K55,CO55*$J55))*IF(49=$R55,$S55,12)/12,6)+$B$4),CO55-$I55)))))</f>
        <v/>
      </c>
      <c r="CQ55" s="68">
        <f>IF($U55=0,0,IF($F55=4,0,IF($F55=3,0,IF(OR(50&gt;$R55,CP55&lt;=$I55),CP55,CP55-MIN(INT(ROUND(IF($F55=1,$C55*$J55,IF(GO55&gt;0,GO55*$K55,CP55*$J55))*IF(50=$R55,$S55,12)/12,6)+$B$4),CP55-$I55)))))</f>
        <v/>
      </c>
      <c r="CR55" s="68">
        <f>IF($U55=0,0,IF($F55=4,0,IF($F55=3,0,IF(OR(51&gt;$R55,CQ55&lt;=$I55),CQ55,CQ55-MIN(INT(ROUND(IF($F55=1,$C55*$J55,IF(GP55&gt;0,GP55*$K55,CQ55*$J55))*IF(51=$R55,$S55,12)/12,6)+$B$4),CQ55-$I55)))))</f>
        <v/>
      </c>
      <c r="CS55" s="68">
        <f>IF($U55=0,0,IF($F55=4,0,IF($F55=3,0,IF(OR(52&gt;$R55,CR55&lt;=$I55),CR55,CR55-MIN(INT(ROUND(IF($F55=1,$C55*$J55,IF(GQ55&gt;0,GQ55*$K55,CR55*$J55))*IF(52=$R55,$S55,12)/12,6)+$B$4),CR55-$I55)))))</f>
        <v/>
      </c>
      <c r="CT55" s="68">
        <f>IF($U55=0,0,IF($F55=4,0,IF($F55=3,0,IF(OR(53&gt;$R55,CS55&lt;=$I55),CS55,CS55-MIN(INT(ROUND(IF($F55=1,$C55*$J55,IF(GR55&gt;0,GR55*$K55,CS55*$J55))*IF(53=$R55,$S55,12)/12,6)+$B$4),CS55-$I55)))))</f>
        <v/>
      </c>
      <c r="CU55" s="68">
        <f>IF($U55=0,0,IF($F55=4,0,IF($F55=3,0,IF(OR(54&gt;$R55,CT55&lt;=$I55),CT55,CT55-MIN(INT(ROUND(IF($F55=1,$C55*$J55,IF(GS55&gt;0,GS55*$K55,CT55*$J55))*IF(54=$R55,$S55,12)/12,6)+$B$4),CT55-$I55)))))</f>
        <v/>
      </c>
      <c r="CV55" s="68">
        <f>IF($U55=0,0,IF($F55=4,0,IF($F55=3,0,IF(OR(55&gt;$R55,CU55&lt;=$I55),CU55,CU55-MIN(INT(ROUND(IF($F55=1,$C55*$J55,IF(GT55&gt;0,GT55*$K55,CU55*$J55))*IF(55=$R55,$S55,12)/12,6)+$B$4),CU55-$I55)))))</f>
        <v/>
      </c>
      <c r="CW55" s="68">
        <f>IF($U55=0,0,IF($F55=4,0,IF($F55=3,0,IF(OR(56&gt;$R55,CV55&lt;=$I55),CV55,CV55-MIN(INT(ROUND(IF($F55=1,$C55*$J55,IF(GU55&gt;0,GU55*$K55,CV55*$J55))*IF(56=$R55,$S55,12)/12,6)+$B$4),CV55-$I55)))))</f>
        <v/>
      </c>
      <c r="CX55" s="68">
        <f>IF($U55=0,0,IF($F55=4,0,IF($F55=3,0,IF(OR(57&gt;$R55,CW55&lt;=$I55),CW55,CW55-MIN(INT(ROUND(IF($F55=1,$C55*$J55,IF(GV55&gt;0,GV55*$K55,CW55*$J55))*IF(57=$R55,$S55,12)/12,6)+$B$4),CW55-$I55)))))</f>
        <v/>
      </c>
      <c r="CY55" s="68">
        <f>IF($U55=0,0,IF($F55=4,0,IF($F55=3,0,IF(OR(58&gt;$R55,CX55&lt;=$I55),CX55,CX55-MIN(INT(ROUND(IF($F55=1,$C55*$J55,IF(GW55&gt;0,GW55*$K55,CX55*$J55))*IF(58=$R55,$S55,12)/12,6)+$B$4),CX55-$I55)))))</f>
        <v/>
      </c>
      <c r="CZ55" s="68">
        <f>IF($U55=0,0,IF($F55=4,0,IF($F55=3,0,IF(OR(59&gt;$R55,CY55&lt;=$I55),CY55,CY55-MIN(INT(ROUND(IF($F55=1,$C55*$J55,IF(GX55&gt;0,GX55*$K55,CY55*$J55))*IF(59=$R55,$S55,12)/12,6)+$B$4),CY55-$I55)))))</f>
        <v/>
      </c>
      <c r="DA55" s="68">
        <f>IF($U55=0,0,IF($F55=4,0,IF($F55=3,0,IF(OR(60&gt;$R55,CZ55&lt;=$I55),CZ55,CZ55-MIN(INT(ROUND(IF($F55=1,$C55*$J55,IF(GY55&gt;0,GY55*$K55,CZ55*$J55))*IF(60=$R55,$S55,12)/12,6)+$B$4),CZ55-$I55)))))</f>
        <v/>
      </c>
      <c r="DB55" s="68">
        <f>IF($U55=0,0,IF($F55=4,0,IF($F55=3,0,IF(OR(61&gt;$R55,DA55&lt;=$I55),DA55,DA55-MIN(INT(ROUND(IF($F55=1,$C55*$J55,IF(GZ55&gt;0,GZ55*$K55,DA55*$J55))*IF(61=$R55,$S55,12)/12,6)+$B$4),DA55-$I55)))))</f>
        <v/>
      </c>
      <c r="DC55" s="68">
        <f>IF($U55=0,0,IF($F55=4,0,IF($F55=3,0,IF(OR(62&gt;$R55,DB55&lt;=$I55),DB55,DB55-MIN(INT(ROUND(IF($F55=1,$C55*$J55,IF(HA55&gt;0,HA55*$K55,DB55*$J55))*IF(62=$R55,$S55,12)/12,6)+$B$4),DB55-$I55)))))</f>
        <v/>
      </c>
      <c r="DD55" s="68">
        <f>IF($U55=0,0,IF($F55=4,0,IF($F55=3,0,IF(OR(63&gt;$R55,DC55&lt;=$I55),DC55,DC55-MIN(INT(ROUND(IF($F55=1,$C55*$J55,IF(HB55&gt;0,HB55*$K55,DC55*$J55))*IF(63=$R55,$S55,12)/12,6)+$B$4),DC55-$I55)))))</f>
        <v/>
      </c>
      <c r="DE55" s="68">
        <f>IF($U55=0,0,IF($F55=4,0,IF($F55=3,0,IF(OR(64&gt;$R55,DD55&lt;=$I55),DD55,DD55-MIN(INT(ROUND(IF($F55=1,$C55*$J55,IF(HC55&gt;0,HC55*$K55,DD55*$J55))*IF(64=$R55,$S55,12)/12,6)+$B$4),DD55-$I55)))))</f>
        <v/>
      </c>
      <c r="DF55" s="68">
        <f>IF($U55=0,0,IF($F55=4,0,IF($F55=3,0,IF(OR(65&gt;$R55,DE55&lt;=$I55),DE55,DE55-MIN(INT(ROUND(IF($F55=1,$C55*$J55,IF(HD55&gt;0,HD55*$K55,DE55*$J55))*IF(65=$R55,$S55,12)/12,6)+$B$4),DE55-$I55)))))</f>
        <v/>
      </c>
      <c r="DG55" s="68">
        <f>IF($U55=0,0,IF($F55=4,0,IF($F55=3,0,IF(OR(66&gt;$R55,DF55&lt;=$I55),DF55,DF55-MIN(INT(ROUND(IF($F55=1,$C55*$J55,IF(HE55&gt;0,HE55*$K55,DF55*$J55))*IF(66=$R55,$S55,12)/12,6)+$B$4),DF55-$I55)))))</f>
        <v/>
      </c>
      <c r="DH55" s="68">
        <f>IF($U55=0,0,IF($F55=4,0,IF($F55=3,0,IF(OR(67&gt;$R55,DG55&lt;=$I55),DG55,DG55-MIN(INT(ROUND(IF($F55=1,$C55*$J55,IF(HF55&gt;0,HF55*$K55,DG55*$J55))*IF(67=$R55,$S55,12)/12,6)+$B$4),DG55-$I55)))))</f>
        <v/>
      </c>
      <c r="DI55" s="68">
        <f>IF($U55=0,0,IF($F55=4,0,IF($F55=3,0,IF(OR(68&gt;$R55,DH55&lt;=$I55),DH55,DH55-MIN(INT(ROUND(IF($F55=1,$C55*$J55,IF(HG55&gt;0,HG55*$K55,DH55*$J55))*IF(68=$R55,$S55,12)/12,6)+$B$4),DH55-$I55)))))</f>
        <v/>
      </c>
      <c r="DJ55" s="68">
        <f>IF($U55=0,0,IF($F55=4,0,IF($F55=3,0,IF(OR(69&gt;$R55,DI55&lt;=$I55),DI55,DI55-MIN(INT(ROUND(IF($F55=1,$C55*$J55,IF(HH55&gt;0,HH55*$K55,DI55*$J55))*IF(69=$R55,$S55,12)/12,6)+$B$4),DI55-$I55)))))</f>
        <v/>
      </c>
      <c r="DK55" s="68">
        <f>IF($U55=0,0,IF($F55=4,0,IF($F55=3,0,IF(OR(70&gt;$R55,DJ55&lt;=$I55),DJ55,DJ55-MIN(INT(ROUND(IF($F55=1,$C55*$J55,IF(HI55&gt;0,HI55*$K55,DJ55*$J55))*IF(70=$R55,$S55,12)/12,6)+$B$4),DJ55-$I55)))))</f>
        <v/>
      </c>
      <c r="DL55" s="68">
        <f>IF($U55=0,0,IF($F55=4,0,IF($F55=3,0,IF(OR(71&gt;$R55,DK55&lt;=$I55),DK55,DK55-MIN(INT(ROUND(IF($F55=1,$C55*$J55,IF(HJ55&gt;0,HJ55*$K55,DK55*$J55))*IF(71=$R55,$S55,12)/12,6)+$B$4),DK55-$I55)))))</f>
        <v/>
      </c>
      <c r="DM55" s="68">
        <f>IF($U55=0,0,IF($F55=4,0,IF($F55=3,0,IF(OR(72&gt;$R55,DL55&lt;=$I55),DL55,DL55-MIN(INT(ROUND(IF($F55=1,$C55*$J55,IF(HK55&gt;0,HK55*$K55,DL55*$J55))*IF(72=$R55,$S55,12)/12,6)+$B$4),DL55-$I55)))))</f>
        <v/>
      </c>
      <c r="DN55" s="68">
        <f>IF($U55=0,0,IF($F55=4,0,IF($F55=3,0,IF(OR(73&gt;$R55,DM55&lt;=$I55),DM55,DM55-MIN(INT(ROUND(IF($F55=1,$C55*$J55,IF(HL55&gt;0,HL55*$K55,DM55*$J55))*IF(73=$R55,$S55,12)/12,6)+$B$4),DM55-$I55)))))</f>
        <v/>
      </c>
      <c r="DO55" s="68">
        <f>IF($U55=0,0,IF($F55=4,0,IF($F55=3,0,IF(OR(74&gt;$R55,DN55&lt;=$I55),DN55,DN55-MIN(INT(ROUND(IF($F55=1,$C55*$J55,IF(HM55&gt;0,HM55*$K55,DN55*$J55))*IF(74=$R55,$S55,12)/12,6)+$B$4),DN55-$I55)))))</f>
        <v/>
      </c>
      <c r="DP55" s="68">
        <f>IF($U55=0,0,IF($F55=4,0,IF($F55=3,0,IF(OR(75&gt;$R55,DO55&lt;=$I55),DO55,DO55-MIN(INT(ROUND(IF($F55=1,$C55*$J55,IF(HN55&gt;0,HN55*$K55,DO55*$J55))*IF(75=$R55,$S55,12)/12,6)+$B$4),DO55-$I55)))))</f>
        <v/>
      </c>
      <c r="DQ55" s="68">
        <f>IF($U55=0,0,IF($F55=4,0,IF($F55=3,0,IF(OR(76&gt;$R55,DP55&lt;=$I55),DP55,DP55-MIN(INT(ROUND(IF($F55=1,$C55*$J55,IF(HO55&gt;0,HO55*$K55,DP55*$J55))*IF(76=$R55,$S55,12)/12,6)+$B$4),DP55-$I55)))))</f>
        <v/>
      </c>
      <c r="DR55" s="68">
        <f>IF($U55=0,0,IF($F55=4,0,IF($F55=3,0,IF(OR(77&gt;$R55,DQ55&lt;=$I55),DQ55,DQ55-MIN(INT(ROUND(IF($F55=1,$C55*$J55,IF(HP55&gt;0,HP55*$K55,DQ55*$J55))*IF(77=$R55,$S55,12)/12,6)+$B$4),DQ55-$I55)))))</f>
        <v/>
      </c>
      <c r="DS55" s="68">
        <f>IF($U55=0,0,IF($F55=4,0,IF($F55=3,0,IF(OR(78&gt;$R55,DR55&lt;=$I55),DR55,DR55-MIN(INT(ROUND(IF($F55=1,$C55*$J55,IF(HQ55&gt;0,HQ55*$K55,DR55*$J55))*IF(78=$R55,$S55,12)/12,6)+$B$4),DR55-$I55)))))</f>
        <v/>
      </c>
      <c r="DT55" s="68">
        <f>IF($U55=0,0,IF($F55=4,0,IF($F55=3,0,IF(OR(79&gt;$R55,DS55&lt;=$I55),DS55,DS55-MIN(INT(ROUND(IF($F55=1,$C55*$J55,IF(HR55&gt;0,HR55*$K55,DS55*$J55))*IF(79=$R55,$S55,12)/12,6)+$B$4),DS55-$I55)))))</f>
        <v/>
      </c>
      <c r="DU55" s="68">
        <f>IF($U55=0,0,IF($F55=4,0,IF($F55=3,0,IF(OR(80&gt;$R55,DT55&lt;=$I55),DT55,DT55-MIN(INT(ROUND(IF($F55=1,$C55*$J55,IF(HS55&gt;0,HS55*$K55,DT55*$J55))*IF(80=$R55,$S55,12)/12,6)+$B$4),DT55-$I55)))))</f>
        <v/>
      </c>
      <c r="DV55" s="68">
        <f>IF($U55=0,0,IF($F55=4,0,IF($F55=3,0,IF(OR(81&gt;$R55,DU55&lt;=$I55),DU55,DU55-MIN(INT(ROUND(IF($F55=1,$C55*$J55,IF(HT55&gt;0,HT55*$K55,DU55*$J55))*IF(81=$R55,$S55,12)/12,6)+$B$4),DU55-$I55)))))</f>
        <v/>
      </c>
      <c r="DW55" s="68">
        <f>IF($U55=0,0,IF($F55=4,0,IF($F55=3,0,IF(OR(82&gt;$R55,DV55&lt;=$I55),DV55,DV55-MIN(INT(ROUND(IF($F55=1,$C55*$J55,IF(HU55&gt;0,HU55*$K55,DV55*$J55))*IF(82=$R55,$S55,12)/12,6)+$B$4),DV55-$I55)))))</f>
        <v/>
      </c>
      <c r="DX55" s="68">
        <f>IF($U55=0,0,IF($F55=4,0,IF($F55=3,0,IF(OR(83&gt;$R55,DW55&lt;=$I55),DW55,DW55-MIN(INT(ROUND(IF($F55=1,$C55*$J55,IF(HV55&gt;0,HV55*$K55,DW55*$J55))*IF(83=$R55,$S55,12)/12,6)+$B$4),DW55-$I55)))))</f>
        <v/>
      </c>
      <c r="DY55" s="68">
        <f>IF($U55=0,0,IF($F55=4,0,IF($F55=3,0,IF(OR(84&gt;$R55,DX55&lt;=$I55),DX55,DX55-MIN(INT(ROUND(IF($F55=1,$C55*$J55,IF(HW55&gt;0,HW55*$K55,DX55*$J55))*IF(84=$R55,$S55,12)/12,6)+$B$4),DX55-$I55)))))</f>
        <v/>
      </c>
      <c r="DZ55" s="68">
        <f>IF($U55=0,0,IF($F55=4,0,IF($F55=3,0,IF(OR(85&gt;$R55,DY55&lt;=$I55),DY55,DY55-MIN(INT(ROUND(IF($F55=1,$C55*$J55,IF(HX55&gt;0,HX55*$K55,DY55*$J55))*IF(85=$R55,$S55,12)/12,6)+$B$4),DY55-$I55)))))</f>
        <v/>
      </c>
      <c r="EA55" s="68">
        <f>IF($U55=0,0,IF($F55=4,0,IF($F55=3,0,IF(OR(86&gt;$R55,DZ55&lt;=$I55),DZ55,DZ55-MIN(INT(ROUND(IF($F55=1,$C55*$J55,IF(HY55&gt;0,HY55*$K55,DZ55*$J55))*IF(86=$R55,$S55,12)/12,6)+$B$4),DZ55-$I55)))))</f>
        <v/>
      </c>
      <c r="EB55" s="68">
        <f>IF($U55=0,0,IF($F55=4,0,IF($F55=3,0,IF(OR(87&gt;$R55,EA55&lt;=$I55),EA55,EA55-MIN(INT(ROUND(IF($F55=1,$C55*$J55,IF(HZ55&gt;0,HZ55*$K55,EA55*$J55))*IF(87=$R55,$S55,12)/12,6)+$B$4),EA55-$I55)))))</f>
        <v/>
      </c>
      <c r="EC55" s="68">
        <f>IF($U55=0,0,IF($F55=4,0,IF($F55=3,0,IF(OR(88&gt;$R55,EB55&lt;=$I55),EB55,EB55-MIN(INT(ROUND(IF($F55=1,$C55*$J55,IF(IA55&gt;0,IA55*$K55,EB55*$J55))*IF(88=$R55,$S55,12)/12,6)+$B$4),EB55-$I55)))))</f>
        <v/>
      </c>
      <c r="ED55" s="68">
        <f>IF($U55=0,0,IF($F55=4,0,IF($F55=3,0,IF(OR(89&gt;$R55,EC55&lt;=$I55),EC55,EC55-MIN(INT(ROUND(IF($F55=1,$C55*$J55,IF(IB55&gt;0,IB55*$K55,EC55*$J55))*IF(89=$R55,$S55,12)/12,6)+$B$4),EC55-$I55)))))</f>
        <v/>
      </c>
      <c r="EE55" s="68">
        <f>IF($U55=0,0,IF($F55=4,0,IF($F55=3,0,IF(OR(90&gt;$R55,ED55&lt;=$I55),ED55,ED55-MIN(INT(ROUND(IF($F55=1,$C55*$J55,IF(IC55&gt;0,IC55*$K55,ED55*$J55))*IF(90=$R55,$S55,12)/12,6)+$B$4),ED55-$I55)))))</f>
        <v/>
      </c>
      <c r="EF55" s="68">
        <f>IF($U55=0,0,IF($F55=4,0,IF($F55=3,0,IF(OR(91&gt;$R55,EE55&lt;=$I55),EE55,EE55-MIN(INT(ROUND(IF($F55=1,$C55*$J55,IF(ID55&gt;0,ID55*$K55,EE55*$J55))*IF(91=$R55,$S55,12)/12,6)+$B$4),EE55-$I55)))))</f>
        <v/>
      </c>
      <c r="EG55" s="68">
        <f>IF($U55=0,0,IF($F55=4,0,IF($F55=3,0,IF(OR(92&gt;$R55,EF55&lt;=$I55),EF55,EF55-MIN(INT(ROUND(IF($F55=1,$C55*$J55,IF(IE55&gt;0,IE55*$K55,EF55*$J55))*IF(92=$R55,$S55,12)/12,6)+$B$4),EF55-$I55)))))</f>
        <v/>
      </c>
      <c r="EH55" s="68">
        <f>IF($U55=0,0,IF($F55=4,0,IF($F55=3,0,IF(OR(93&gt;$R55,EG55&lt;=$I55),EG55,EG55-MIN(INT(ROUND(IF($F55=1,$C55*$J55,IF(IF55&gt;0,IF55*$K55,EG55*$J55))*IF(93=$R55,$S55,12)/12,6)+$B$4),EG55-$I55)))))</f>
        <v/>
      </c>
      <c r="EI55" s="68">
        <f>IF($U55=0,0,IF($F55=4,0,IF($F55=3,0,IF(OR(94&gt;$R55,EH55&lt;=$I55),EH55,EH55-MIN(INT(ROUND(IF($F55=1,$C55*$J55,IF(IG55&gt;0,IG55*$K55,EH55*$J55))*IF(94=$R55,$S55,12)/12,6)+$B$4),EH55-$I55)))))</f>
        <v/>
      </c>
      <c r="EJ55" s="68">
        <f>IF($U55=0,0,IF($F55=4,0,IF($F55=3,0,IF(OR(95&gt;$R55,EI55&lt;=$I55),EI55,EI55-MIN(INT(ROUND(IF($F55=1,$C55*$J55,IF(IH55&gt;0,IH55*$K55,EI55*$J55))*IF(95=$R55,$S55,12)/12,6)+$B$4),EI55-$I55)))))</f>
        <v/>
      </c>
      <c r="EK55" s="68">
        <f>IF($U55=0,0,IF($F55=4,0,IF($F55=3,0,IF(OR(96&gt;$R55,EJ55&lt;=$I55),EJ55,EJ55-MIN(INT(ROUND(IF($F55=1,$C55*$J55,IF(II55&gt;0,II55*$K55,EJ55*$J55))*IF(96=$R55,$S55,12)/12,6)+$B$4),EJ55-$I55)))))</f>
        <v/>
      </c>
      <c r="EL55" s="68">
        <f>IF($U55=0,0,IF($F55=4,0,IF($F55=3,0,IF(OR(97&gt;$R55,EK55&lt;=$I55),EK55,EK55-MIN(INT(ROUND(IF($F55=1,$C55*$J55,IF(IJ55&gt;0,IJ55*$K55,EK55*$J55))*IF(97=$R55,$S55,12)/12,6)+$B$4),EK55-$I55)))))</f>
        <v/>
      </c>
      <c r="EM55" s="68">
        <f>IF($U55=0,0,IF($F55=4,0,IF($F55=3,0,IF(OR(98&gt;$R55,EL55&lt;=$I55),EL55,EL55-MIN(INT(ROUND(IF($F55=1,$C55*$J55,IF(IK55&gt;0,IK55*$K55,EL55*$J55))*IF(98=$R55,$S55,12)/12,6)+$B$4),EL55-$I55)))))</f>
        <v/>
      </c>
      <c r="EN55" s="68">
        <f>IF($U55=0,0,IF($F55=4,0,IF($F55=3,0,IF(OR(99&gt;$R55,EM55&lt;=$I55),EM55,EM55-MIN(INT(ROUND(IF($F55=1,$C55*$J55,IF(IL55&gt;0,IL55*$K55,EM55*$J55))*IF(99=$R55,$S55,12)/12,6)+$B$4),EM55-$I55)))))</f>
        <v/>
      </c>
      <c r="EO55" s="68">
        <f>IF($U55=0,0,IF($F55=4,0,IF($F55=3,0,IF(OR(100&gt;$R55,EN55&lt;=$I55),EN55,EN55-MIN(INT(ROUND(IF($F55=1,$C55*$J55,IF(IM55&gt;0,IM55*$K55,EN55*$J55))*IF(100=$R55,$S55,12)/12,6)+$B$4),EN55-$I55)))))</f>
        <v/>
      </c>
      <c r="EP55" s="68">
        <f>IF($U55=0,0,IF($F55=4,0,IF($F55=3,0,IF(OR(101&gt;$R55,EO55&lt;=$I55),EO55,EO55-MIN(INT(ROUND(IF($F55=1,$C55*$J55,IF(IN55&gt;0,IN55*$K55,EO55*$J55))*IF(101=$R55,$S55,12)/12,6)+$B$4),EO55-$I55)))))</f>
        <v/>
      </c>
      <c r="EQ55" s="68" t="n"/>
      <c r="ER55" s="68">
        <f>IF(OR($U55=0,$F55&lt;&gt;2),0,IF(ROUND(AS55*$J55,6)&lt;ROUND($M55,6),AS55,0))</f>
        <v/>
      </c>
      <c r="ES55" s="68">
        <f>IF(OR($U55=0,$F55&lt;&gt;2),0,IF(ER55&gt;0,ER55,IF(ROUND(AT55*$J55,6)&lt;ROUND($M55,6),AT55,0)))</f>
        <v/>
      </c>
      <c r="ET55" s="68">
        <f>IF(OR($U55=0,$F55&lt;&gt;2),0,IF(ES55&gt;0,ES55,IF(ROUND(AU55*$J55,6)&lt;ROUND($M55,6),AU55,0)))</f>
        <v/>
      </c>
      <c r="EU55" s="68">
        <f>IF(OR($U55=0,$F55&lt;&gt;2),0,IF(ET55&gt;0,ET55,IF(ROUND(AV55*$J55,6)&lt;ROUND($M55,6),AV55,0)))</f>
        <v/>
      </c>
      <c r="EV55" s="68">
        <f>IF(OR($U55=0,$F55&lt;&gt;2),0,IF(EU55&gt;0,EU55,IF(ROUND(AW55*$J55,6)&lt;ROUND($M55,6),AW55,0)))</f>
        <v/>
      </c>
      <c r="EW55" s="68">
        <f>IF(OR($U55=0,$F55&lt;&gt;2),0,IF(EV55&gt;0,EV55,IF(ROUND(AX55*$J55,6)&lt;ROUND($M55,6),AX55,0)))</f>
        <v/>
      </c>
      <c r="EX55" s="68">
        <f>IF(OR($U55=0,$F55&lt;&gt;2),0,IF(EW55&gt;0,EW55,IF(ROUND(AY55*$J55,6)&lt;ROUND($M55,6),AY55,0)))</f>
        <v/>
      </c>
      <c r="EY55" s="68">
        <f>IF(OR($U55=0,$F55&lt;&gt;2),0,IF(EX55&gt;0,EX55,IF(ROUND(AZ55*$J55,6)&lt;ROUND($M55,6),AZ55,0)))</f>
        <v/>
      </c>
      <c r="EZ55" s="68">
        <f>IF(OR($U55=0,$F55&lt;&gt;2),0,IF(EY55&gt;0,EY55,IF(ROUND(BA55*$J55,6)&lt;ROUND($M55,6),BA55,0)))</f>
        <v/>
      </c>
      <c r="FA55" s="68">
        <f>IF(OR($U55=0,$F55&lt;&gt;2),0,IF(EZ55&gt;0,EZ55,IF(ROUND(BB55*$J55,6)&lt;ROUND($M55,6),BB55,0)))</f>
        <v/>
      </c>
      <c r="FB55" s="68">
        <f>IF(OR($U55=0,$F55&lt;&gt;2),0,IF(FA55&gt;0,FA55,IF(ROUND(BC55*$J55,6)&lt;ROUND($M55,6),BC55,0)))</f>
        <v/>
      </c>
      <c r="FC55" s="68">
        <f>IF(OR($U55=0,$F55&lt;&gt;2),0,IF(FB55&gt;0,FB55,IF(ROUND(BD55*$J55,6)&lt;ROUND($M55,6),BD55,0)))</f>
        <v/>
      </c>
      <c r="FD55" s="68">
        <f>IF(OR($U55=0,$F55&lt;&gt;2),0,IF(FC55&gt;0,FC55,IF(ROUND(BE55*$J55,6)&lt;ROUND($M55,6),BE55,0)))</f>
        <v/>
      </c>
      <c r="FE55" s="68">
        <f>IF(OR($U55=0,$F55&lt;&gt;2),0,IF(FD55&gt;0,FD55,IF(ROUND(BF55*$J55,6)&lt;ROUND($M55,6),BF55,0)))</f>
        <v/>
      </c>
      <c r="FF55" s="68">
        <f>IF(OR($U55=0,$F55&lt;&gt;2),0,IF(FE55&gt;0,FE55,IF(ROUND(BG55*$J55,6)&lt;ROUND($M55,6),BG55,0)))</f>
        <v/>
      </c>
      <c r="FG55" s="68">
        <f>IF(OR($U55=0,$F55&lt;&gt;2),0,IF(FF55&gt;0,FF55,IF(ROUND(BH55*$J55,6)&lt;ROUND($M55,6),BH55,0)))</f>
        <v/>
      </c>
      <c r="FH55" s="68">
        <f>IF(OR($U55=0,$F55&lt;&gt;2),0,IF(FG55&gt;0,FG55,IF(ROUND(BI55*$J55,6)&lt;ROUND($M55,6),BI55,0)))</f>
        <v/>
      </c>
      <c r="FI55" s="68">
        <f>IF(OR($U55=0,$F55&lt;&gt;2),0,IF(FH55&gt;0,FH55,IF(ROUND(BJ55*$J55,6)&lt;ROUND($M55,6),BJ55,0)))</f>
        <v/>
      </c>
      <c r="FJ55" s="68">
        <f>IF(OR($U55=0,$F55&lt;&gt;2),0,IF(FI55&gt;0,FI55,IF(ROUND(BK55*$J55,6)&lt;ROUND($M55,6),BK55,0)))</f>
        <v/>
      </c>
      <c r="FK55" s="68">
        <f>IF(OR($U55=0,$F55&lt;&gt;2),0,IF(FJ55&gt;0,FJ55,IF(ROUND(BL55*$J55,6)&lt;ROUND($M55,6),BL55,0)))</f>
        <v/>
      </c>
      <c r="FL55" s="68">
        <f>IF(OR($U55=0,$F55&lt;&gt;2),0,IF(FK55&gt;0,FK55,IF(ROUND(BM55*$J55,6)&lt;ROUND($M55,6),BM55,0)))</f>
        <v/>
      </c>
      <c r="FM55" s="68">
        <f>IF(OR($U55=0,$F55&lt;&gt;2),0,IF(FL55&gt;0,FL55,IF(ROUND(BN55*$J55,6)&lt;ROUND($M55,6),BN55,0)))</f>
        <v/>
      </c>
      <c r="FN55" s="68">
        <f>IF(OR($U55=0,$F55&lt;&gt;2),0,IF(FM55&gt;0,FM55,IF(ROUND(BO55*$J55,6)&lt;ROUND($M55,6),BO55,0)))</f>
        <v/>
      </c>
      <c r="FO55" s="68">
        <f>IF(OR($U55=0,$F55&lt;&gt;2),0,IF(FN55&gt;0,FN55,IF(ROUND(BP55*$J55,6)&lt;ROUND($M55,6),BP55,0)))</f>
        <v/>
      </c>
      <c r="FP55" s="68">
        <f>IF(OR($U55=0,$F55&lt;&gt;2),0,IF(FO55&gt;0,FO55,IF(ROUND(BQ55*$J55,6)&lt;ROUND($M55,6),BQ55,0)))</f>
        <v/>
      </c>
      <c r="FQ55" s="68">
        <f>IF(OR($U55=0,$F55&lt;&gt;2),0,IF(FP55&gt;0,FP55,IF(ROUND(BR55*$J55,6)&lt;ROUND($M55,6),BR55,0)))</f>
        <v/>
      </c>
      <c r="FR55" s="68">
        <f>IF(OR($U55=0,$F55&lt;&gt;2),0,IF(FQ55&gt;0,FQ55,IF(ROUND(BS55*$J55,6)&lt;ROUND($M55,6),BS55,0)))</f>
        <v/>
      </c>
      <c r="FS55" s="68">
        <f>IF(OR($U55=0,$F55&lt;&gt;2),0,IF(FR55&gt;0,FR55,IF(ROUND(BT55*$J55,6)&lt;ROUND($M55,6),BT55,0)))</f>
        <v/>
      </c>
      <c r="FT55" s="68">
        <f>IF(OR($U55=0,$F55&lt;&gt;2),0,IF(FS55&gt;0,FS55,IF(ROUND(BU55*$J55,6)&lt;ROUND($M55,6),BU55,0)))</f>
        <v/>
      </c>
      <c r="FU55" s="68">
        <f>IF(OR($U55=0,$F55&lt;&gt;2),0,IF(FT55&gt;0,FT55,IF(ROUND(BV55*$J55,6)&lt;ROUND($M55,6),BV55,0)))</f>
        <v/>
      </c>
      <c r="FV55" s="68">
        <f>IF(OR($U55=0,$F55&lt;&gt;2),0,IF(FU55&gt;0,FU55,IF(ROUND(BW55*$J55,6)&lt;ROUND($M55,6),BW55,0)))</f>
        <v/>
      </c>
      <c r="FW55" s="68">
        <f>IF(OR($U55=0,$F55&lt;&gt;2),0,IF(FV55&gt;0,FV55,IF(ROUND(BX55*$J55,6)&lt;ROUND($M55,6),BX55,0)))</f>
        <v/>
      </c>
      <c r="FX55" s="68">
        <f>IF(OR($U55=0,$F55&lt;&gt;2),0,IF(FW55&gt;0,FW55,IF(ROUND(BY55*$J55,6)&lt;ROUND($M55,6),BY55,0)))</f>
        <v/>
      </c>
      <c r="FY55" s="68">
        <f>IF(OR($U55=0,$F55&lt;&gt;2),0,IF(FX55&gt;0,FX55,IF(ROUND(BZ55*$J55,6)&lt;ROUND($M55,6),BZ55,0)))</f>
        <v/>
      </c>
      <c r="FZ55" s="68">
        <f>IF(OR($U55=0,$F55&lt;&gt;2),0,IF(FY55&gt;0,FY55,IF(ROUND(CA55*$J55,6)&lt;ROUND($M55,6),CA55,0)))</f>
        <v/>
      </c>
      <c r="GA55" s="68">
        <f>IF(OR($U55=0,$F55&lt;&gt;2),0,IF(FZ55&gt;0,FZ55,IF(ROUND(CB55*$J55,6)&lt;ROUND($M55,6),CB55,0)))</f>
        <v/>
      </c>
      <c r="GB55" s="68">
        <f>IF(OR($U55=0,$F55&lt;&gt;2),0,IF(GA55&gt;0,GA55,IF(ROUND(CC55*$J55,6)&lt;ROUND($M55,6),CC55,0)))</f>
        <v/>
      </c>
      <c r="GC55" s="68">
        <f>IF(OR($U55=0,$F55&lt;&gt;2),0,IF(GB55&gt;0,GB55,IF(ROUND(CD55*$J55,6)&lt;ROUND($M55,6),CD55,0)))</f>
        <v/>
      </c>
      <c r="GD55" s="68">
        <f>IF(OR($U55=0,$F55&lt;&gt;2),0,IF(GC55&gt;0,GC55,IF(ROUND(CE55*$J55,6)&lt;ROUND($M55,6),CE55,0)))</f>
        <v/>
      </c>
      <c r="GE55" s="68">
        <f>IF(OR($U55=0,$F55&lt;&gt;2),0,IF(GD55&gt;0,GD55,IF(ROUND(CF55*$J55,6)&lt;ROUND($M55,6),CF55,0)))</f>
        <v/>
      </c>
      <c r="GF55" s="68">
        <f>IF(OR($U55=0,$F55&lt;&gt;2),0,IF(GE55&gt;0,GE55,IF(ROUND(CG55*$J55,6)&lt;ROUND($M55,6),CG55,0)))</f>
        <v/>
      </c>
      <c r="GG55" s="68">
        <f>IF(OR($U55=0,$F55&lt;&gt;2),0,IF(GF55&gt;0,GF55,IF(ROUND(CH55*$J55,6)&lt;ROUND($M55,6),CH55,0)))</f>
        <v/>
      </c>
      <c r="GH55" s="68">
        <f>IF(OR($U55=0,$F55&lt;&gt;2),0,IF(GG55&gt;0,GG55,IF(ROUND(CI55*$J55,6)&lt;ROUND($M55,6),CI55,0)))</f>
        <v/>
      </c>
      <c r="GI55" s="68">
        <f>IF(OR($U55=0,$F55&lt;&gt;2),0,IF(GH55&gt;0,GH55,IF(ROUND(CJ55*$J55,6)&lt;ROUND($M55,6),CJ55,0)))</f>
        <v/>
      </c>
      <c r="GJ55" s="68">
        <f>IF(OR($U55=0,$F55&lt;&gt;2),0,IF(GI55&gt;0,GI55,IF(ROUND(CK55*$J55,6)&lt;ROUND($M55,6),CK55,0)))</f>
        <v/>
      </c>
      <c r="GK55" s="68">
        <f>IF(OR($U55=0,$F55&lt;&gt;2),0,IF(GJ55&gt;0,GJ55,IF(ROUND(CL55*$J55,6)&lt;ROUND($M55,6),CL55,0)))</f>
        <v/>
      </c>
      <c r="GL55" s="68">
        <f>IF(OR($U55=0,$F55&lt;&gt;2),0,IF(GK55&gt;0,GK55,IF(ROUND(CM55*$J55,6)&lt;ROUND($M55,6),CM55,0)))</f>
        <v/>
      </c>
      <c r="GM55" s="68">
        <f>IF(OR($U55=0,$F55&lt;&gt;2),0,IF(GL55&gt;0,GL55,IF(ROUND(CN55*$J55,6)&lt;ROUND($M55,6),CN55,0)))</f>
        <v/>
      </c>
      <c r="GN55" s="68">
        <f>IF(OR($U55=0,$F55&lt;&gt;2),0,IF(GM55&gt;0,GM55,IF(ROUND(CO55*$J55,6)&lt;ROUND($M55,6),CO55,0)))</f>
        <v/>
      </c>
      <c r="GO55" s="68">
        <f>IF(OR($U55=0,$F55&lt;&gt;2),0,IF(GN55&gt;0,GN55,IF(ROUND(CP55*$J55,6)&lt;ROUND($M55,6),CP55,0)))</f>
        <v/>
      </c>
      <c r="GP55" s="68">
        <f>IF(OR($U55=0,$F55&lt;&gt;2),0,IF(GO55&gt;0,GO55,IF(ROUND(CQ55*$J55,6)&lt;ROUND($M55,6),CQ55,0)))</f>
        <v/>
      </c>
      <c r="GQ55" s="68">
        <f>IF(OR($U55=0,$F55&lt;&gt;2),0,IF(GP55&gt;0,GP55,IF(ROUND(CR55*$J55,6)&lt;ROUND($M55,6),CR55,0)))</f>
        <v/>
      </c>
      <c r="GR55" s="68">
        <f>IF(OR($U55=0,$F55&lt;&gt;2),0,IF(GQ55&gt;0,GQ55,IF(ROUND(CS55*$J55,6)&lt;ROUND($M55,6),CS55,0)))</f>
        <v/>
      </c>
      <c r="GS55" s="68">
        <f>IF(OR($U55=0,$F55&lt;&gt;2),0,IF(GR55&gt;0,GR55,IF(ROUND(CT55*$J55,6)&lt;ROUND($M55,6),CT55,0)))</f>
        <v/>
      </c>
      <c r="GT55" s="68">
        <f>IF(OR($U55=0,$F55&lt;&gt;2),0,IF(GS55&gt;0,GS55,IF(ROUND(CU55*$J55,6)&lt;ROUND($M55,6),CU55,0)))</f>
        <v/>
      </c>
      <c r="GU55" s="68">
        <f>IF(OR($U55=0,$F55&lt;&gt;2),0,IF(GT55&gt;0,GT55,IF(ROUND(CV55*$J55,6)&lt;ROUND($M55,6),CV55,0)))</f>
        <v/>
      </c>
      <c r="GV55" s="68">
        <f>IF(OR($U55=0,$F55&lt;&gt;2),0,IF(GU55&gt;0,GU55,IF(ROUND(CW55*$J55,6)&lt;ROUND($M55,6),CW55,0)))</f>
        <v/>
      </c>
      <c r="GW55" s="68">
        <f>IF(OR($U55=0,$F55&lt;&gt;2),0,IF(GV55&gt;0,GV55,IF(ROUND(CX55*$J55,6)&lt;ROUND($M55,6),CX55,0)))</f>
        <v/>
      </c>
      <c r="GX55" s="68">
        <f>IF(OR($U55=0,$F55&lt;&gt;2),0,IF(GW55&gt;0,GW55,IF(ROUND(CY55*$J55,6)&lt;ROUND($M55,6),CY55,0)))</f>
        <v/>
      </c>
      <c r="GY55" s="68">
        <f>IF(OR($U55=0,$F55&lt;&gt;2),0,IF(GX55&gt;0,GX55,IF(ROUND(CZ55*$J55,6)&lt;ROUND($M55,6),CZ55,0)))</f>
        <v/>
      </c>
      <c r="GZ55" s="68">
        <f>IF(OR($U55=0,$F55&lt;&gt;2),0,IF(GY55&gt;0,GY55,IF(ROUND(DA55*$J55,6)&lt;ROUND($M55,6),DA55,0)))</f>
        <v/>
      </c>
      <c r="HA55" s="68">
        <f>IF(OR($U55=0,$F55&lt;&gt;2),0,IF(GZ55&gt;0,GZ55,IF(ROUND(DB55*$J55,6)&lt;ROUND($M55,6),DB55,0)))</f>
        <v/>
      </c>
      <c r="HB55" s="68">
        <f>IF(OR($U55=0,$F55&lt;&gt;2),0,IF(HA55&gt;0,HA55,IF(ROUND(DC55*$J55,6)&lt;ROUND($M55,6),DC55,0)))</f>
        <v/>
      </c>
      <c r="HC55" s="68">
        <f>IF(OR($U55=0,$F55&lt;&gt;2),0,IF(HB55&gt;0,HB55,IF(ROUND(DD55*$J55,6)&lt;ROUND($M55,6),DD55,0)))</f>
        <v/>
      </c>
      <c r="HD55" s="68">
        <f>IF(OR($U55=0,$F55&lt;&gt;2),0,IF(HC55&gt;0,HC55,IF(ROUND(DE55*$J55,6)&lt;ROUND($M55,6),DE55,0)))</f>
        <v/>
      </c>
      <c r="HE55" s="68">
        <f>IF(OR($U55=0,$F55&lt;&gt;2),0,IF(HD55&gt;0,HD55,IF(ROUND(DF55*$J55,6)&lt;ROUND($M55,6),DF55,0)))</f>
        <v/>
      </c>
      <c r="HF55" s="68">
        <f>IF(OR($U55=0,$F55&lt;&gt;2),0,IF(HE55&gt;0,HE55,IF(ROUND(DG55*$J55,6)&lt;ROUND($M55,6),DG55,0)))</f>
        <v/>
      </c>
      <c r="HG55" s="68">
        <f>IF(OR($U55=0,$F55&lt;&gt;2),0,IF(HF55&gt;0,HF55,IF(ROUND(DH55*$J55,6)&lt;ROUND($M55,6),DH55,0)))</f>
        <v/>
      </c>
      <c r="HH55" s="68">
        <f>IF(OR($U55=0,$F55&lt;&gt;2),0,IF(HG55&gt;0,HG55,IF(ROUND(DI55*$J55,6)&lt;ROUND($M55,6),DI55,0)))</f>
        <v/>
      </c>
      <c r="HI55" s="68">
        <f>IF(OR($U55=0,$F55&lt;&gt;2),0,IF(HH55&gt;0,HH55,IF(ROUND(DJ55*$J55,6)&lt;ROUND($M55,6),DJ55,0)))</f>
        <v/>
      </c>
      <c r="HJ55" s="68">
        <f>IF(OR($U55=0,$F55&lt;&gt;2),0,IF(HI55&gt;0,HI55,IF(ROUND(DK55*$J55,6)&lt;ROUND($M55,6),DK55,0)))</f>
        <v/>
      </c>
      <c r="HK55" s="68">
        <f>IF(OR($U55=0,$F55&lt;&gt;2),0,IF(HJ55&gt;0,HJ55,IF(ROUND(DL55*$J55,6)&lt;ROUND($M55,6),DL55,0)))</f>
        <v/>
      </c>
      <c r="HL55" s="68">
        <f>IF(OR($U55=0,$F55&lt;&gt;2),0,IF(HK55&gt;0,HK55,IF(ROUND(DM55*$J55,6)&lt;ROUND($M55,6),DM55,0)))</f>
        <v/>
      </c>
      <c r="HM55" s="68">
        <f>IF(OR($U55=0,$F55&lt;&gt;2),0,IF(HL55&gt;0,HL55,IF(ROUND(DN55*$J55,6)&lt;ROUND($M55,6),DN55,0)))</f>
        <v/>
      </c>
      <c r="HN55" s="68">
        <f>IF(OR($U55=0,$F55&lt;&gt;2),0,IF(HM55&gt;0,HM55,IF(ROUND(DO55*$J55,6)&lt;ROUND($M55,6),DO55,0)))</f>
        <v/>
      </c>
      <c r="HO55" s="68">
        <f>IF(OR($U55=0,$F55&lt;&gt;2),0,IF(HN55&gt;0,HN55,IF(ROUND(DP55*$J55,6)&lt;ROUND($M55,6),DP55,0)))</f>
        <v/>
      </c>
      <c r="HP55" s="68">
        <f>IF(OR($U55=0,$F55&lt;&gt;2),0,IF(HO55&gt;0,HO55,IF(ROUND(DQ55*$J55,6)&lt;ROUND($M55,6),DQ55,0)))</f>
        <v/>
      </c>
      <c r="HQ55" s="68">
        <f>IF(OR($U55=0,$F55&lt;&gt;2),0,IF(HP55&gt;0,HP55,IF(ROUND(DR55*$J55,6)&lt;ROUND($M55,6),DR55,0)))</f>
        <v/>
      </c>
      <c r="HR55" s="68">
        <f>IF(OR($U55=0,$F55&lt;&gt;2),0,IF(HQ55&gt;0,HQ55,IF(ROUND(DS55*$J55,6)&lt;ROUND($M55,6),DS55,0)))</f>
        <v/>
      </c>
      <c r="HS55" s="68">
        <f>IF(OR($U55=0,$F55&lt;&gt;2),0,IF(HR55&gt;0,HR55,IF(ROUND(DT55*$J55,6)&lt;ROUND($M55,6),DT55,0)))</f>
        <v/>
      </c>
      <c r="HT55" s="68">
        <f>IF(OR($U55=0,$F55&lt;&gt;2),0,IF(HS55&gt;0,HS55,IF(ROUND(DU55*$J55,6)&lt;ROUND($M55,6),DU55,0)))</f>
        <v/>
      </c>
      <c r="HU55" s="68">
        <f>IF(OR($U55=0,$F55&lt;&gt;2),0,IF(HT55&gt;0,HT55,IF(ROUND(DV55*$J55,6)&lt;ROUND($M55,6),DV55,0)))</f>
        <v/>
      </c>
      <c r="HV55" s="68">
        <f>IF(OR($U55=0,$F55&lt;&gt;2),0,IF(HU55&gt;0,HU55,IF(ROUND(DW55*$J55,6)&lt;ROUND($M55,6),DW55,0)))</f>
        <v/>
      </c>
      <c r="HW55" s="68">
        <f>IF(OR($U55=0,$F55&lt;&gt;2),0,IF(HV55&gt;0,HV55,IF(ROUND(DX55*$J55,6)&lt;ROUND($M55,6),DX55,0)))</f>
        <v/>
      </c>
      <c r="HX55" s="68">
        <f>IF(OR($U55=0,$F55&lt;&gt;2),0,IF(HW55&gt;0,HW55,IF(ROUND(DY55*$J55,6)&lt;ROUND($M55,6),DY55,0)))</f>
        <v/>
      </c>
      <c r="HY55" s="68">
        <f>IF(OR($U55=0,$F55&lt;&gt;2),0,IF(HX55&gt;0,HX55,IF(ROUND(DZ55*$J55,6)&lt;ROUND($M55,6),DZ55,0)))</f>
        <v/>
      </c>
      <c r="HZ55" s="68">
        <f>IF(OR($U55=0,$F55&lt;&gt;2),0,IF(HY55&gt;0,HY55,IF(ROUND(EA55*$J55,6)&lt;ROUND($M55,6),EA55,0)))</f>
        <v/>
      </c>
      <c r="IA55" s="68">
        <f>IF(OR($U55=0,$F55&lt;&gt;2),0,IF(HZ55&gt;0,HZ55,IF(ROUND(EB55*$J55,6)&lt;ROUND($M55,6),EB55,0)))</f>
        <v/>
      </c>
      <c r="IB55" s="68">
        <f>IF(OR($U55=0,$F55&lt;&gt;2),0,IF(IA55&gt;0,IA55,IF(ROUND(EC55*$J55,6)&lt;ROUND($M55,6),EC55,0)))</f>
        <v/>
      </c>
      <c r="IC55" s="68">
        <f>IF(OR($U55=0,$F55&lt;&gt;2),0,IF(IB55&gt;0,IB55,IF(ROUND(ED55*$J55,6)&lt;ROUND($M55,6),ED55,0)))</f>
        <v/>
      </c>
      <c r="ID55" s="68">
        <f>IF(OR($U55=0,$F55&lt;&gt;2),0,IF(IC55&gt;0,IC55,IF(ROUND(EE55*$J55,6)&lt;ROUND($M55,6),EE55,0)))</f>
        <v/>
      </c>
      <c r="IE55" s="68">
        <f>IF(OR($U55=0,$F55&lt;&gt;2),0,IF(ID55&gt;0,ID55,IF(ROUND(EF55*$J55,6)&lt;ROUND($M55,6),EF55,0)))</f>
        <v/>
      </c>
      <c r="IF55" s="68">
        <f>IF(OR($U55=0,$F55&lt;&gt;2),0,IF(IE55&gt;0,IE55,IF(ROUND(EG55*$J55,6)&lt;ROUND($M55,6),EG55,0)))</f>
        <v/>
      </c>
      <c r="IG55" s="68">
        <f>IF(OR($U55=0,$F55&lt;&gt;2),0,IF(IF55&gt;0,IF55,IF(ROUND(EH55*$J55,6)&lt;ROUND($M55,6),EH55,0)))</f>
        <v/>
      </c>
      <c r="IH55" s="68">
        <f>IF(OR($U55=0,$F55&lt;&gt;2),0,IF(IG55&gt;0,IG55,IF(ROUND(EI55*$J55,6)&lt;ROUND($M55,6),EI55,0)))</f>
        <v/>
      </c>
      <c r="II55" s="68">
        <f>IF(OR($U55=0,$F55&lt;&gt;2),0,IF(IH55&gt;0,IH55,IF(ROUND(EJ55*$J55,6)&lt;ROUND($M55,6),EJ55,0)))</f>
        <v/>
      </c>
      <c r="IJ55" s="68">
        <f>IF(OR($U55=0,$F55&lt;&gt;2),0,IF(II55&gt;0,II55,IF(ROUND(EK55*$J55,6)&lt;ROUND($M55,6),EK55,0)))</f>
        <v/>
      </c>
      <c r="IK55" s="68">
        <f>IF(OR($U55=0,$F55&lt;&gt;2),0,IF(IJ55&gt;0,IJ55,IF(ROUND(EL55*$J55,6)&lt;ROUND($M55,6),EL55,0)))</f>
        <v/>
      </c>
      <c r="IL55" s="68">
        <f>IF(OR($U55=0,$F55&lt;&gt;2),0,IF(IK55&gt;0,IK55,IF(ROUND(EM55*$J55,6)&lt;ROUND($M55,6),EM55,0)))</f>
        <v/>
      </c>
      <c r="IM55" s="68">
        <f>IF(OR($U55=0,$F55&lt;&gt;2),0,IF(IL55&gt;0,IL55,IF(ROUND(EN55*$J55,6)&lt;ROUND($M55,6),EN55,0)))</f>
        <v/>
      </c>
      <c r="IN55" s="68">
        <f>IF(OR($U55=0,$F55&lt;&gt;2),0,IF(IM55&gt;0,IM55,IF(ROUND(EO55*$J55,6)&lt;ROUND($M55,6),EO55,0)))</f>
        <v/>
      </c>
    </row>
    <row r="56">
      <c r="A56" s="68" t="n">
        <v>51</v>
      </c>
      <c r="B56" s="68">
        <f>IF(OR(TRIM('固定資産台帳'!$B56)&lt;&gt;"",'固定資産台帳'!$E56&lt;&gt;"",'固定資産台帳'!$G56&lt;&gt;"",'固定資産台帳'!$H56&lt;&gt;""),1,0)</f>
        <v/>
      </c>
      <c r="C56" s="68">
        <f>IF(ISNUMBER('固定資産台帳'!$G56),MAX(ROUND('固定資産台帳'!$G56,0),0),0)</f>
        <v/>
      </c>
      <c r="D56" s="84">
        <f>IF(ISNUMBER('固定資産台帳'!$E56),INT('固定資産台帳'!$E56),0)</f>
        <v/>
      </c>
      <c r="E56" s="84">
        <f>IF(ISNUMBER('固定資産台帳'!$F56),INT('固定資産台帳'!$F56),$D56)</f>
        <v/>
      </c>
      <c r="F56" s="68">
        <f>IF('固定資産台帳'!$H56="定額法",1,IF(OR('固定資産台帳'!$H56="定率法",'固定資産台帳'!$H56="定率法（200%）",'固定資産台帳'!$H56="定率法（250%）"),2,IF('固定資産台帳'!$H56="一括償却（3年）",3,IF('固定資産台帳'!$H56="少額特例",4,0))))</f>
        <v/>
      </c>
      <c r="G56" s="68">
        <f>IF('固定資産台帳'!$H56="定率法（250%）",250,IF('固定資産台帳'!$H56="定率法（200%）",200,IF($D56&gt;=DATE(2012,4,1),200,250)))</f>
        <v/>
      </c>
      <c r="H56" s="68">
        <f>IF(ISNUMBER('固定資産台帳'!$I56),IF(AND('固定資産台帳'!$I56&gt;=2,'固定資産台帳'!$I56&lt;=100,'固定資産台帳'!$I56=INT('固定資産台帳'!$I56)),'固定資産台帳'!$I56,0),0)</f>
        <v/>
      </c>
      <c r="I56" s="68">
        <f>IF('固定資産台帳'!$C56="無形固定資産",0,1)</f>
        <v/>
      </c>
      <c r="J56" s="68">
        <f>IF(OR($H56=0,$F56=0,$F56&gt;2),0,IF($F56=1,INDEX('償却率表'!$B$6:$B$104,$H56-1),IF($G56=200,INDEX('償却率表'!$C$6:$C$104,$H56-1),INDEX('償却率表'!$F$6:$F$104,$H56-1))))</f>
        <v/>
      </c>
      <c r="K56" s="68">
        <f>IF(AND($F56=2,$H56&gt;0),IF($G56=200,INDEX('償却率表'!$D$6:$D$104,$H56-1),INDEX('償却率表'!$G$6:$G$104,$H56-1)),0)</f>
        <v/>
      </c>
      <c r="L56" s="68">
        <f>IF(AND($F56=2,$H56&gt;0),IF($G56=200,INDEX('償却率表'!$E$6:$E$104,$H56-1),INDEX('償却率表'!$H$6:$H$104,$H56-1)),0)</f>
        <v/>
      </c>
      <c r="M56" s="68">
        <f>$C56*$L56</f>
        <v/>
      </c>
      <c r="N56" s="68">
        <f>IF($B$1=1,1,IF('固定資産台帳'!$J56="",1,IF(ISNUMBER('固定資産台帳'!$J56),IF(AND('固定資産台帳'!$J56&gt;0,'固定資産台帳'!$J56&lt;=1),'固定資産台帳'!$J56,0),0)))</f>
        <v/>
      </c>
      <c r="O56" s="68">
        <f>IF($E56=0,0,YEAR($E56)-IF(MONTH($E56)&lt;$B$2,1,0))</f>
        <v/>
      </c>
      <c r="P56" s="68">
        <f>IF($E56=0,0,12-MOD(MONTH($E56)-$B$2,12))</f>
        <v/>
      </c>
      <c r="Q56" s="84">
        <f>IF(ISNUMBER('固定資産台帳'!$K56),INT('固定資産台帳'!$K56),0)</f>
        <v/>
      </c>
      <c r="R56" s="68">
        <f>IF(OR($Q56=0,$E56=0),999,YEAR($Q56)-IF(MONTH($Q56)&lt;$B$2,1,0)-$O56)</f>
        <v/>
      </c>
      <c r="S56" s="68">
        <f>IF($R56=999,0,MOD(MONTH($Q56)-$B$2,12)+1-IF($R56=0,12-$P56,0))</f>
        <v/>
      </c>
      <c r="T56" s="68">
        <f>IF($B56=0,0,IF($C56&lt;=0,1,IF($D56=0,2,IF($F56=0,3,IF(AND($F56&lt;=2,$H56=0),4,IF(AND($F56&lt;=2,$D56&lt;DATE(2007,4,1)),5,IF($E56&lt;$D56,6,IF(AND($Q56&gt;0,$Q56&lt;$E56),7,IF($N56=0,8,IF($B$3=0,9,0))))))))))</f>
        <v/>
      </c>
      <c r="U56" s="68">
        <f>IF(AND($B56=1,$T56=0),1,0)</f>
        <v/>
      </c>
      <c r="V56" s="68">
        <f>$B$3-$O56</f>
        <v/>
      </c>
      <c r="W56" s="68">
        <f>IF(AND($U56=1,$V56&gt;=0),1,0)</f>
        <v/>
      </c>
      <c r="X56" s="68">
        <f>IF($W56=0,0,IF($V56=0,$C56,INDEX($AS56:$EP56,MIN($V56,102))))</f>
        <v/>
      </c>
      <c r="Y56" s="68">
        <f>IF($W56=0,0,INDEX($AS56:$EP56,MIN($V56,101)+1))</f>
        <v/>
      </c>
      <c r="Z56" s="68">
        <f>$X56-$Y56</f>
        <v/>
      </c>
      <c r="AA56" s="68">
        <f>IF(AND($W56=1,$F56=2,$V56&gt;=1),INDEX($ER56:$IN56,MIN($V56,101)),0)</f>
        <v/>
      </c>
      <c r="AB56" s="68">
        <f>IF(OR($W56=0,$F56&gt;2,$Z56=0),0,IF($V56=0,IF($R56=0,$S56,$P56),IF($V56=$R56,$S56,12)))</f>
        <v/>
      </c>
      <c r="AC56" s="68">
        <f>IF($W56=0,0,INT(ROUND($Z56*$N56,6)+$B$4))</f>
        <v/>
      </c>
      <c r="AD56" s="68">
        <f>IF(AND($W56=1,$F56&lt;=2,$V56=$R56),1,0)</f>
        <v/>
      </c>
      <c r="AE56" s="68">
        <f>IF(AND($W56=1,$F56&lt;=2,$V56&gt;$R56),1,0)</f>
        <v/>
      </c>
      <c r="AF56" s="68">
        <f>IF(AND($W56=1,$AE56=0,OR($Z56&gt;0,$AD56=1)),1,0)</f>
        <v/>
      </c>
      <c r="AG56" s="68">
        <f>IF($AF56=1,SUM($AF$6:$AF56),0)</f>
        <v/>
      </c>
      <c r="AH56" s="68">
        <f>IF($T56=0,"",CHOOSE($T56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56" s="68">
        <f>IF(AND($F56=2,OR('固定資産台帳'!$C56="建物",'固定資産台帳'!$C56="無形固定資産",AND(OR('固定資産台帳'!$C56="建物附属設備",'固定資産台帳'!$C56="構築物"),$D56&gt;=DATE(2016,4,1)))),"この資産は定額法だけです（定率法は使えません）。","")&amp;IF(AND($F56=3,$C56&gt;=200000),"一括償却は20万円未満の資産だけです。","")&amp;IF(AND($F56=3,$B$1=0,$C56&lt;100000),"10万円未満は一括償却にせず、全額をその年の経費にします。","")&amp;IF(AND($F56=4,$C56&lt;100000),"10万円未満は少額特例ではなく、全額をその年の経費にします。","")&amp;IF(AND($F56=4,$D56&lt;DATE(2026,4,1),$C56&gt;=300000),"2026年3月31日までの取得で少額特例が使えるのは30万円未満です。","")&amp;IF(AND($F56=4,$D56&gt;=DATE(2026,4,1),$C56&gt;=400000),"少額特例は40万円未満の資産だけです。","")&amp;IF(AND($F56=4,OR($D56&lt;DATE(2006,4,1),$D56&gt;DATE(2029,3,31))),"少額特例は2006年4月1日〜2029年3月31日に取得した資産だけです。","")&amp;IF(AND($F56=2,$G56=250,$D56&gt;DATE(2012,12,31)),"250%定率法は2012年12月31日までの取得だけです。","")</f>
        <v/>
      </c>
      <c r="AJ56" s="68">
        <f>IF(AND($F56=2,'固定資産台帳'!$H56="定率法（200%）",$D56&lt;DATE(2012,4,1)),"2012年3月31日までの取得に200%を使うのは、経過措置の届出をした場合です。","")&amp;IF(AND($F56=2,'固定資産台帳'!$H56="定率法（250%）",$D56&gt;=DATE(2012,4,1),$D56&lt;=DATE(2012,12,31)),"2012年4〜12月の取得に250%を使うのは、経過措置を選んだ場合です。","")</f>
        <v/>
      </c>
      <c r="AK56" s="68">
        <f>IF($U56=0,"",IF($V56&lt;0,"表示している年より後に使い始める資産です。",IF($AE56=1,"売却・除却済みです。",IF($AD56=1,"この年に売却・除却。期末の帳簿価額 "&amp;TEXT($Y56,"#,##0")&amp;"円を帳簿から外します。",IF($F56=4,IF($V56=0,"少額特例：この年に全額を経費にします。","少額特例で経費にした資産です。"),IF($F56=3,IF($V56&gt;2,"一括償却は終わっています。","一括償却 "&amp;($V56+1)&amp;"年目（3年のうち）。"),IF($Z56=0,"償却済み（帳簿価額 "&amp;TEXT($Y56,"#,##0")&amp;"円）。",IF($AA56&gt;0,"改定償却率で計算（改定取得価額 "&amp;TEXT($AA56,"#,##0")&amp;"円）。",IF($V56=0,"この年に使い始め（"&amp;$AB56&amp;"か月分）。","")))))))))</f>
        <v/>
      </c>
      <c r="AL56" s="68">
        <f>IF(AND($U56=1,$F56=4,$V56=0),$C56,0)</f>
        <v/>
      </c>
      <c r="AM56" s="68">
        <f>IF($F56=2,INT(ROUND($M56,6)+$B$4),0)</f>
        <v/>
      </c>
      <c r="AN56" s="68">
        <f>IF($W56=0,0,IF($F56=2,IF($AA56&gt;0,$AA56,$X56),$C56))</f>
        <v/>
      </c>
      <c r="AO56" s="68">
        <f>IF($W56=0,"",IF($F56=3,"1/3",IF($F56=4,"―",IF($AA56&gt;0,$K56,$J56))))</f>
        <v/>
      </c>
      <c r="AP56" s="68" t="n"/>
      <c r="AQ56" s="68" t="n"/>
      <c r="AR56" s="68" t="n"/>
      <c r="AS56" s="68">
        <f>IF($U56=0,0,IF($F56=4,0,IF($F56=3,MAX($C56-INT(ROUND($C56/3,6)+$B$4),0),$C56-MIN(INT(ROUND($C56*$J56*IF($R56=0,$S56,$P56)/12,6)+$B$4),MAX($C56-$I56,0)))))</f>
        <v/>
      </c>
      <c r="AT56" s="68">
        <f>IF($U56=0,0,IF($F56=4,0,IF($F56=3,AS56-MIN(INT(ROUND($C56/3,6)+$B$4),AS56),IF(OR(1&gt;$R56,AS56&lt;=$I56),AS56,AS56-MIN(INT(ROUND(IF($F56=1,$C56*$J56,IF(ER56&gt;0,ER56*$K56,AS56*$J56))*IF(1=$R56,$S56,12)/12,6)+$B$4),AS56-$I56)))))</f>
        <v/>
      </c>
      <c r="AU56" s="68">
        <f>IF($U56=0,0,IF($F56=4,0,IF($F56=3,0,IF(OR(2&gt;$R56,AT56&lt;=$I56),AT56,AT56-MIN(INT(ROUND(IF($F56=1,$C56*$J56,IF(ES56&gt;0,ES56*$K56,AT56*$J56))*IF(2=$R56,$S56,12)/12,6)+$B$4),AT56-$I56)))))</f>
        <v/>
      </c>
      <c r="AV56" s="68">
        <f>IF($U56=0,0,IF($F56=4,0,IF($F56=3,0,IF(OR(3&gt;$R56,AU56&lt;=$I56),AU56,AU56-MIN(INT(ROUND(IF($F56=1,$C56*$J56,IF(ET56&gt;0,ET56*$K56,AU56*$J56))*IF(3=$R56,$S56,12)/12,6)+$B$4),AU56-$I56)))))</f>
        <v/>
      </c>
      <c r="AW56" s="68">
        <f>IF($U56=0,0,IF($F56=4,0,IF($F56=3,0,IF(OR(4&gt;$R56,AV56&lt;=$I56),AV56,AV56-MIN(INT(ROUND(IF($F56=1,$C56*$J56,IF(EU56&gt;0,EU56*$K56,AV56*$J56))*IF(4=$R56,$S56,12)/12,6)+$B$4),AV56-$I56)))))</f>
        <v/>
      </c>
      <c r="AX56" s="68">
        <f>IF($U56=0,0,IF($F56=4,0,IF($F56=3,0,IF(OR(5&gt;$R56,AW56&lt;=$I56),AW56,AW56-MIN(INT(ROUND(IF($F56=1,$C56*$J56,IF(EV56&gt;0,EV56*$K56,AW56*$J56))*IF(5=$R56,$S56,12)/12,6)+$B$4),AW56-$I56)))))</f>
        <v/>
      </c>
      <c r="AY56" s="68">
        <f>IF($U56=0,0,IF($F56=4,0,IF($F56=3,0,IF(OR(6&gt;$R56,AX56&lt;=$I56),AX56,AX56-MIN(INT(ROUND(IF($F56=1,$C56*$J56,IF(EW56&gt;0,EW56*$K56,AX56*$J56))*IF(6=$R56,$S56,12)/12,6)+$B$4),AX56-$I56)))))</f>
        <v/>
      </c>
      <c r="AZ56" s="68">
        <f>IF($U56=0,0,IF($F56=4,0,IF($F56=3,0,IF(OR(7&gt;$R56,AY56&lt;=$I56),AY56,AY56-MIN(INT(ROUND(IF($F56=1,$C56*$J56,IF(EX56&gt;0,EX56*$K56,AY56*$J56))*IF(7=$R56,$S56,12)/12,6)+$B$4),AY56-$I56)))))</f>
        <v/>
      </c>
      <c r="BA56" s="68">
        <f>IF($U56=0,0,IF($F56=4,0,IF($F56=3,0,IF(OR(8&gt;$R56,AZ56&lt;=$I56),AZ56,AZ56-MIN(INT(ROUND(IF($F56=1,$C56*$J56,IF(EY56&gt;0,EY56*$K56,AZ56*$J56))*IF(8=$R56,$S56,12)/12,6)+$B$4),AZ56-$I56)))))</f>
        <v/>
      </c>
      <c r="BB56" s="68">
        <f>IF($U56=0,0,IF($F56=4,0,IF($F56=3,0,IF(OR(9&gt;$R56,BA56&lt;=$I56),BA56,BA56-MIN(INT(ROUND(IF($F56=1,$C56*$J56,IF(EZ56&gt;0,EZ56*$K56,BA56*$J56))*IF(9=$R56,$S56,12)/12,6)+$B$4),BA56-$I56)))))</f>
        <v/>
      </c>
      <c r="BC56" s="68">
        <f>IF($U56=0,0,IF($F56=4,0,IF($F56=3,0,IF(OR(10&gt;$R56,BB56&lt;=$I56),BB56,BB56-MIN(INT(ROUND(IF($F56=1,$C56*$J56,IF(FA56&gt;0,FA56*$K56,BB56*$J56))*IF(10=$R56,$S56,12)/12,6)+$B$4),BB56-$I56)))))</f>
        <v/>
      </c>
      <c r="BD56" s="68">
        <f>IF($U56=0,0,IF($F56=4,0,IF($F56=3,0,IF(OR(11&gt;$R56,BC56&lt;=$I56),BC56,BC56-MIN(INT(ROUND(IF($F56=1,$C56*$J56,IF(FB56&gt;0,FB56*$K56,BC56*$J56))*IF(11=$R56,$S56,12)/12,6)+$B$4),BC56-$I56)))))</f>
        <v/>
      </c>
      <c r="BE56" s="68">
        <f>IF($U56=0,0,IF($F56=4,0,IF($F56=3,0,IF(OR(12&gt;$R56,BD56&lt;=$I56),BD56,BD56-MIN(INT(ROUND(IF($F56=1,$C56*$J56,IF(FC56&gt;0,FC56*$K56,BD56*$J56))*IF(12=$R56,$S56,12)/12,6)+$B$4),BD56-$I56)))))</f>
        <v/>
      </c>
      <c r="BF56" s="68">
        <f>IF($U56=0,0,IF($F56=4,0,IF($F56=3,0,IF(OR(13&gt;$R56,BE56&lt;=$I56),BE56,BE56-MIN(INT(ROUND(IF($F56=1,$C56*$J56,IF(FD56&gt;0,FD56*$K56,BE56*$J56))*IF(13=$R56,$S56,12)/12,6)+$B$4),BE56-$I56)))))</f>
        <v/>
      </c>
      <c r="BG56" s="68">
        <f>IF($U56=0,0,IF($F56=4,0,IF($F56=3,0,IF(OR(14&gt;$R56,BF56&lt;=$I56),BF56,BF56-MIN(INT(ROUND(IF($F56=1,$C56*$J56,IF(FE56&gt;0,FE56*$K56,BF56*$J56))*IF(14=$R56,$S56,12)/12,6)+$B$4),BF56-$I56)))))</f>
        <v/>
      </c>
      <c r="BH56" s="68">
        <f>IF($U56=0,0,IF($F56=4,0,IF($F56=3,0,IF(OR(15&gt;$R56,BG56&lt;=$I56),BG56,BG56-MIN(INT(ROUND(IF($F56=1,$C56*$J56,IF(FF56&gt;0,FF56*$K56,BG56*$J56))*IF(15=$R56,$S56,12)/12,6)+$B$4),BG56-$I56)))))</f>
        <v/>
      </c>
      <c r="BI56" s="68">
        <f>IF($U56=0,0,IF($F56=4,0,IF($F56=3,0,IF(OR(16&gt;$R56,BH56&lt;=$I56),BH56,BH56-MIN(INT(ROUND(IF($F56=1,$C56*$J56,IF(FG56&gt;0,FG56*$K56,BH56*$J56))*IF(16=$R56,$S56,12)/12,6)+$B$4),BH56-$I56)))))</f>
        <v/>
      </c>
      <c r="BJ56" s="68">
        <f>IF($U56=0,0,IF($F56=4,0,IF($F56=3,0,IF(OR(17&gt;$R56,BI56&lt;=$I56),BI56,BI56-MIN(INT(ROUND(IF($F56=1,$C56*$J56,IF(FH56&gt;0,FH56*$K56,BI56*$J56))*IF(17=$R56,$S56,12)/12,6)+$B$4),BI56-$I56)))))</f>
        <v/>
      </c>
      <c r="BK56" s="68">
        <f>IF($U56=0,0,IF($F56=4,0,IF($F56=3,0,IF(OR(18&gt;$R56,BJ56&lt;=$I56),BJ56,BJ56-MIN(INT(ROUND(IF($F56=1,$C56*$J56,IF(FI56&gt;0,FI56*$K56,BJ56*$J56))*IF(18=$R56,$S56,12)/12,6)+$B$4),BJ56-$I56)))))</f>
        <v/>
      </c>
      <c r="BL56" s="68">
        <f>IF($U56=0,0,IF($F56=4,0,IF($F56=3,0,IF(OR(19&gt;$R56,BK56&lt;=$I56),BK56,BK56-MIN(INT(ROUND(IF($F56=1,$C56*$J56,IF(FJ56&gt;0,FJ56*$K56,BK56*$J56))*IF(19=$R56,$S56,12)/12,6)+$B$4),BK56-$I56)))))</f>
        <v/>
      </c>
      <c r="BM56" s="68">
        <f>IF($U56=0,0,IF($F56=4,0,IF($F56=3,0,IF(OR(20&gt;$R56,BL56&lt;=$I56),BL56,BL56-MIN(INT(ROUND(IF($F56=1,$C56*$J56,IF(FK56&gt;0,FK56*$K56,BL56*$J56))*IF(20=$R56,$S56,12)/12,6)+$B$4),BL56-$I56)))))</f>
        <v/>
      </c>
      <c r="BN56" s="68">
        <f>IF($U56=0,0,IF($F56=4,0,IF($F56=3,0,IF(OR(21&gt;$R56,BM56&lt;=$I56),BM56,BM56-MIN(INT(ROUND(IF($F56=1,$C56*$J56,IF(FL56&gt;0,FL56*$K56,BM56*$J56))*IF(21=$R56,$S56,12)/12,6)+$B$4),BM56-$I56)))))</f>
        <v/>
      </c>
      <c r="BO56" s="68">
        <f>IF($U56=0,0,IF($F56=4,0,IF($F56=3,0,IF(OR(22&gt;$R56,BN56&lt;=$I56),BN56,BN56-MIN(INT(ROUND(IF($F56=1,$C56*$J56,IF(FM56&gt;0,FM56*$K56,BN56*$J56))*IF(22=$R56,$S56,12)/12,6)+$B$4),BN56-$I56)))))</f>
        <v/>
      </c>
      <c r="BP56" s="68">
        <f>IF($U56=0,0,IF($F56=4,0,IF($F56=3,0,IF(OR(23&gt;$R56,BO56&lt;=$I56),BO56,BO56-MIN(INT(ROUND(IF($F56=1,$C56*$J56,IF(FN56&gt;0,FN56*$K56,BO56*$J56))*IF(23=$R56,$S56,12)/12,6)+$B$4),BO56-$I56)))))</f>
        <v/>
      </c>
      <c r="BQ56" s="68">
        <f>IF($U56=0,0,IF($F56=4,0,IF($F56=3,0,IF(OR(24&gt;$R56,BP56&lt;=$I56),BP56,BP56-MIN(INT(ROUND(IF($F56=1,$C56*$J56,IF(FO56&gt;0,FO56*$K56,BP56*$J56))*IF(24=$R56,$S56,12)/12,6)+$B$4),BP56-$I56)))))</f>
        <v/>
      </c>
      <c r="BR56" s="68">
        <f>IF($U56=0,0,IF($F56=4,0,IF($F56=3,0,IF(OR(25&gt;$R56,BQ56&lt;=$I56),BQ56,BQ56-MIN(INT(ROUND(IF($F56=1,$C56*$J56,IF(FP56&gt;0,FP56*$K56,BQ56*$J56))*IF(25=$R56,$S56,12)/12,6)+$B$4),BQ56-$I56)))))</f>
        <v/>
      </c>
      <c r="BS56" s="68">
        <f>IF($U56=0,0,IF($F56=4,0,IF($F56=3,0,IF(OR(26&gt;$R56,BR56&lt;=$I56),BR56,BR56-MIN(INT(ROUND(IF($F56=1,$C56*$J56,IF(FQ56&gt;0,FQ56*$K56,BR56*$J56))*IF(26=$R56,$S56,12)/12,6)+$B$4),BR56-$I56)))))</f>
        <v/>
      </c>
      <c r="BT56" s="68">
        <f>IF($U56=0,0,IF($F56=4,0,IF($F56=3,0,IF(OR(27&gt;$R56,BS56&lt;=$I56),BS56,BS56-MIN(INT(ROUND(IF($F56=1,$C56*$J56,IF(FR56&gt;0,FR56*$K56,BS56*$J56))*IF(27=$R56,$S56,12)/12,6)+$B$4),BS56-$I56)))))</f>
        <v/>
      </c>
      <c r="BU56" s="68">
        <f>IF($U56=0,0,IF($F56=4,0,IF($F56=3,0,IF(OR(28&gt;$R56,BT56&lt;=$I56),BT56,BT56-MIN(INT(ROUND(IF($F56=1,$C56*$J56,IF(FS56&gt;0,FS56*$K56,BT56*$J56))*IF(28=$R56,$S56,12)/12,6)+$B$4),BT56-$I56)))))</f>
        <v/>
      </c>
      <c r="BV56" s="68">
        <f>IF($U56=0,0,IF($F56=4,0,IF($F56=3,0,IF(OR(29&gt;$R56,BU56&lt;=$I56),BU56,BU56-MIN(INT(ROUND(IF($F56=1,$C56*$J56,IF(FT56&gt;0,FT56*$K56,BU56*$J56))*IF(29=$R56,$S56,12)/12,6)+$B$4),BU56-$I56)))))</f>
        <v/>
      </c>
      <c r="BW56" s="68">
        <f>IF($U56=0,0,IF($F56=4,0,IF($F56=3,0,IF(OR(30&gt;$R56,BV56&lt;=$I56),BV56,BV56-MIN(INT(ROUND(IF($F56=1,$C56*$J56,IF(FU56&gt;0,FU56*$K56,BV56*$J56))*IF(30=$R56,$S56,12)/12,6)+$B$4),BV56-$I56)))))</f>
        <v/>
      </c>
      <c r="BX56" s="68">
        <f>IF($U56=0,0,IF($F56=4,0,IF($F56=3,0,IF(OR(31&gt;$R56,BW56&lt;=$I56),BW56,BW56-MIN(INT(ROUND(IF($F56=1,$C56*$J56,IF(FV56&gt;0,FV56*$K56,BW56*$J56))*IF(31=$R56,$S56,12)/12,6)+$B$4),BW56-$I56)))))</f>
        <v/>
      </c>
      <c r="BY56" s="68">
        <f>IF($U56=0,0,IF($F56=4,0,IF($F56=3,0,IF(OR(32&gt;$R56,BX56&lt;=$I56),BX56,BX56-MIN(INT(ROUND(IF($F56=1,$C56*$J56,IF(FW56&gt;0,FW56*$K56,BX56*$J56))*IF(32=$R56,$S56,12)/12,6)+$B$4),BX56-$I56)))))</f>
        <v/>
      </c>
      <c r="BZ56" s="68">
        <f>IF($U56=0,0,IF($F56=4,0,IF($F56=3,0,IF(OR(33&gt;$R56,BY56&lt;=$I56),BY56,BY56-MIN(INT(ROUND(IF($F56=1,$C56*$J56,IF(FX56&gt;0,FX56*$K56,BY56*$J56))*IF(33=$R56,$S56,12)/12,6)+$B$4),BY56-$I56)))))</f>
        <v/>
      </c>
      <c r="CA56" s="68">
        <f>IF($U56=0,0,IF($F56=4,0,IF($F56=3,0,IF(OR(34&gt;$R56,BZ56&lt;=$I56),BZ56,BZ56-MIN(INT(ROUND(IF($F56=1,$C56*$J56,IF(FY56&gt;0,FY56*$K56,BZ56*$J56))*IF(34=$R56,$S56,12)/12,6)+$B$4),BZ56-$I56)))))</f>
        <v/>
      </c>
      <c r="CB56" s="68">
        <f>IF($U56=0,0,IF($F56=4,0,IF($F56=3,0,IF(OR(35&gt;$R56,CA56&lt;=$I56),CA56,CA56-MIN(INT(ROUND(IF($F56=1,$C56*$J56,IF(FZ56&gt;0,FZ56*$K56,CA56*$J56))*IF(35=$R56,$S56,12)/12,6)+$B$4),CA56-$I56)))))</f>
        <v/>
      </c>
      <c r="CC56" s="68">
        <f>IF($U56=0,0,IF($F56=4,0,IF($F56=3,0,IF(OR(36&gt;$R56,CB56&lt;=$I56),CB56,CB56-MIN(INT(ROUND(IF($F56=1,$C56*$J56,IF(GA56&gt;0,GA56*$K56,CB56*$J56))*IF(36=$R56,$S56,12)/12,6)+$B$4),CB56-$I56)))))</f>
        <v/>
      </c>
      <c r="CD56" s="68">
        <f>IF($U56=0,0,IF($F56=4,0,IF($F56=3,0,IF(OR(37&gt;$R56,CC56&lt;=$I56),CC56,CC56-MIN(INT(ROUND(IF($F56=1,$C56*$J56,IF(GB56&gt;0,GB56*$K56,CC56*$J56))*IF(37=$R56,$S56,12)/12,6)+$B$4),CC56-$I56)))))</f>
        <v/>
      </c>
      <c r="CE56" s="68">
        <f>IF($U56=0,0,IF($F56=4,0,IF($F56=3,0,IF(OR(38&gt;$R56,CD56&lt;=$I56),CD56,CD56-MIN(INT(ROUND(IF($F56=1,$C56*$J56,IF(GC56&gt;0,GC56*$K56,CD56*$J56))*IF(38=$R56,$S56,12)/12,6)+$B$4),CD56-$I56)))))</f>
        <v/>
      </c>
      <c r="CF56" s="68">
        <f>IF($U56=0,0,IF($F56=4,0,IF($F56=3,0,IF(OR(39&gt;$R56,CE56&lt;=$I56),CE56,CE56-MIN(INT(ROUND(IF($F56=1,$C56*$J56,IF(GD56&gt;0,GD56*$K56,CE56*$J56))*IF(39=$R56,$S56,12)/12,6)+$B$4),CE56-$I56)))))</f>
        <v/>
      </c>
      <c r="CG56" s="68">
        <f>IF($U56=0,0,IF($F56=4,0,IF($F56=3,0,IF(OR(40&gt;$R56,CF56&lt;=$I56),CF56,CF56-MIN(INT(ROUND(IF($F56=1,$C56*$J56,IF(GE56&gt;0,GE56*$K56,CF56*$J56))*IF(40=$R56,$S56,12)/12,6)+$B$4),CF56-$I56)))))</f>
        <v/>
      </c>
      <c r="CH56" s="68">
        <f>IF($U56=0,0,IF($F56=4,0,IF($F56=3,0,IF(OR(41&gt;$R56,CG56&lt;=$I56),CG56,CG56-MIN(INT(ROUND(IF($F56=1,$C56*$J56,IF(GF56&gt;0,GF56*$K56,CG56*$J56))*IF(41=$R56,$S56,12)/12,6)+$B$4),CG56-$I56)))))</f>
        <v/>
      </c>
      <c r="CI56" s="68">
        <f>IF($U56=0,0,IF($F56=4,0,IF($F56=3,0,IF(OR(42&gt;$R56,CH56&lt;=$I56),CH56,CH56-MIN(INT(ROUND(IF($F56=1,$C56*$J56,IF(GG56&gt;0,GG56*$K56,CH56*$J56))*IF(42=$R56,$S56,12)/12,6)+$B$4),CH56-$I56)))))</f>
        <v/>
      </c>
      <c r="CJ56" s="68">
        <f>IF($U56=0,0,IF($F56=4,0,IF($F56=3,0,IF(OR(43&gt;$R56,CI56&lt;=$I56),CI56,CI56-MIN(INT(ROUND(IF($F56=1,$C56*$J56,IF(GH56&gt;0,GH56*$K56,CI56*$J56))*IF(43=$R56,$S56,12)/12,6)+$B$4),CI56-$I56)))))</f>
        <v/>
      </c>
      <c r="CK56" s="68">
        <f>IF($U56=0,0,IF($F56=4,0,IF($F56=3,0,IF(OR(44&gt;$R56,CJ56&lt;=$I56),CJ56,CJ56-MIN(INT(ROUND(IF($F56=1,$C56*$J56,IF(GI56&gt;0,GI56*$K56,CJ56*$J56))*IF(44=$R56,$S56,12)/12,6)+$B$4),CJ56-$I56)))))</f>
        <v/>
      </c>
      <c r="CL56" s="68">
        <f>IF($U56=0,0,IF($F56=4,0,IF($F56=3,0,IF(OR(45&gt;$R56,CK56&lt;=$I56),CK56,CK56-MIN(INT(ROUND(IF($F56=1,$C56*$J56,IF(GJ56&gt;0,GJ56*$K56,CK56*$J56))*IF(45=$R56,$S56,12)/12,6)+$B$4),CK56-$I56)))))</f>
        <v/>
      </c>
      <c r="CM56" s="68">
        <f>IF($U56=0,0,IF($F56=4,0,IF($F56=3,0,IF(OR(46&gt;$R56,CL56&lt;=$I56),CL56,CL56-MIN(INT(ROUND(IF($F56=1,$C56*$J56,IF(GK56&gt;0,GK56*$K56,CL56*$J56))*IF(46=$R56,$S56,12)/12,6)+$B$4),CL56-$I56)))))</f>
        <v/>
      </c>
      <c r="CN56" s="68">
        <f>IF($U56=0,0,IF($F56=4,0,IF($F56=3,0,IF(OR(47&gt;$R56,CM56&lt;=$I56),CM56,CM56-MIN(INT(ROUND(IF($F56=1,$C56*$J56,IF(GL56&gt;0,GL56*$K56,CM56*$J56))*IF(47=$R56,$S56,12)/12,6)+$B$4),CM56-$I56)))))</f>
        <v/>
      </c>
      <c r="CO56" s="68">
        <f>IF($U56=0,0,IF($F56=4,0,IF($F56=3,0,IF(OR(48&gt;$R56,CN56&lt;=$I56),CN56,CN56-MIN(INT(ROUND(IF($F56=1,$C56*$J56,IF(GM56&gt;0,GM56*$K56,CN56*$J56))*IF(48=$R56,$S56,12)/12,6)+$B$4),CN56-$I56)))))</f>
        <v/>
      </c>
      <c r="CP56" s="68">
        <f>IF($U56=0,0,IF($F56=4,0,IF($F56=3,0,IF(OR(49&gt;$R56,CO56&lt;=$I56),CO56,CO56-MIN(INT(ROUND(IF($F56=1,$C56*$J56,IF(GN56&gt;0,GN56*$K56,CO56*$J56))*IF(49=$R56,$S56,12)/12,6)+$B$4),CO56-$I56)))))</f>
        <v/>
      </c>
      <c r="CQ56" s="68">
        <f>IF($U56=0,0,IF($F56=4,0,IF($F56=3,0,IF(OR(50&gt;$R56,CP56&lt;=$I56),CP56,CP56-MIN(INT(ROUND(IF($F56=1,$C56*$J56,IF(GO56&gt;0,GO56*$K56,CP56*$J56))*IF(50=$R56,$S56,12)/12,6)+$B$4),CP56-$I56)))))</f>
        <v/>
      </c>
      <c r="CR56" s="68">
        <f>IF($U56=0,0,IF($F56=4,0,IF($F56=3,0,IF(OR(51&gt;$R56,CQ56&lt;=$I56),CQ56,CQ56-MIN(INT(ROUND(IF($F56=1,$C56*$J56,IF(GP56&gt;0,GP56*$K56,CQ56*$J56))*IF(51=$R56,$S56,12)/12,6)+$B$4),CQ56-$I56)))))</f>
        <v/>
      </c>
      <c r="CS56" s="68">
        <f>IF($U56=0,0,IF($F56=4,0,IF($F56=3,0,IF(OR(52&gt;$R56,CR56&lt;=$I56),CR56,CR56-MIN(INT(ROUND(IF($F56=1,$C56*$J56,IF(GQ56&gt;0,GQ56*$K56,CR56*$J56))*IF(52=$R56,$S56,12)/12,6)+$B$4),CR56-$I56)))))</f>
        <v/>
      </c>
      <c r="CT56" s="68">
        <f>IF($U56=0,0,IF($F56=4,0,IF($F56=3,0,IF(OR(53&gt;$R56,CS56&lt;=$I56),CS56,CS56-MIN(INT(ROUND(IF($F56=1,$C56*$J56,IF(GR56&gt;0,GR56*$K56,CS56*$J56))*IF(53=$R56,$S56,12)/12,6)+$B$4),CS56-$I56)))))</f>
        <v/>
      </c>
      <c r="CU56" s="68">
        <f>IF($U56=0,0,IF($F56=4,0,IF($F56=3,0,IF(OR(54&gt;$R56,CT56&lt;=$I56),CT56,CT56-MIN(INT(ROUND(IF($F56=1,$C56*$J56,IF(GS56&gt;0,GS56*$K56,CT56*$J56))*IF(54=$R56,$S56,12)/12,6)+$B$4),CT56-$I56)))))</f>
        <v/>
      </c>
      <c r="CV56" s="68">
        <f>IF($U56=0,0,IF($F56=4,0,IF($F56=3,0,IF(OR(55&gt;$R56,CU56&lt;=$I56),CU56,CU56-MIN(INT(ROUND(IF($F56=1,$C56*$J56,IF(GT56&gt;0,GT56*$K56,CU56*$J56))*IF(55=$R56,$S56,12)/12,6)+$B$4),CU56-$I56)))))</f>
        <v/>
      </c>
      <c r="CW56" s="68">
        <f>IF($U56=0,0,IF($F56=4,0,IF($F56=3,0,IF(OR(56&gt;$R56,CV56&lt;=$I56),CV56,CV56-MIN(INT(ROUND(IF($F56=1,$C56*$J56,IF(GU56&gt;0,GU56*$K56,CV56*$J56))*IF(56=$R56,$S56,12)/12,6)+$B$4),CV56-$I56)))))</f>
        <v/>
      </c>
      <c r="CX56" s="68">
        <f>IF($U56=0,0,IF($F56=4,0,IF($F56=3,0,IF(OR(57&gt;$R56,CW56&lt;=$I56),CW56,CW56-MIN(INT(ROUND(IF($F56=1,$C56*$J56,IF(GV56&gt;0,GV56*$K56,CW56*$J56))*IF(57=$R56,$S56,12)/12,6)+$B$4),CW56-$I56)))))</f>
        <v/>
      </c>
      <c r="CY56" s="68">
        <f>IF($U56=0,0,IF($F56=4,0,IF($F56=3,0,IF(OR(58&gt;$R56,CX56&lt;=$I56),CX56,CX56-MIN(INT(ROUND(IF($F56=1,$C56*$J56,IF(GW56&gt;0,GW56*$K56,CX56*$J56))*IF(58=$R56,$S56,12)/12,6)+$B$4),CX56-$I56)))))</f>
        <v/>
      </c>
      <c r="CZ56" s="68">
        <f>IF($U56=0,0,IF($F56=4,0,IF($F56=3,0,IF(OR(59&gt;$R56,CY56&lt;=$I56),CY56,CY56-MIN(INT(ROUND(IF($F56=1,$C56*$J56,IF(GX56&gt;0,GX56*$K56,CY56*$J56))*IF(59=$R56,$S56,12)/12,6)+$B$4),CY56-$I56)))))</f>
        <v/>
      </c>
      <c r="DA56" s="68">
        <f>IF($U56=0,0,IF($F56=4,0,IF($F56=3,0,IF(OR(60&gt;$R56,CZ56&lt;=$I56),CZ56,CZ56-MIN(INT(ROUND(IF($F56=1,$C56*$J56,IF(GY56&gt;0,GY56*$K56,CZ56*$J56))*IF(60=$R56,$S56,12)/12,6)+$B$4),CZ56-$I56)))))</f>
        <v/>
      </c>
      <c r="DB56" s="68">
        <f>IF($U56=0,0,IF($F56=4,0,IF($F56=3,0,IF(OR(61&gt;$R56,DA56&lt;=$I56),DA56,DA56-MIN(INT(ROUND(IF($F56=1,$C56*$J56,IF(GZ56&gt;0,GZ56*$K56,DA56*$J56))*IF(61=$R56,$S56,12)/12,6)+$B$4),DA56-$I56)))))</f>
        <v/>
      </c>
      <c r="DC56" s="68">
        <f>IF($U56=0,0,IF($F56=4,0,IF($F56=3,0,IF(OR(62&gt;$R56,DB56&lt;=$I56),DB56,DB56-MIN(INT(ROUND(IF($F56=1,$C56*$J56,IF(HA56&gt;0,HA56*$K56,DB56*$J56))*IF(62=$R56,$S56,12)/12,6)+$B$4),DB56-$I56)))))</f>
        <v/>
      </c>
      <c r="DD56" s="68">
        <f>IF($U56=0,0,IF($F56=4,0,IF($F56=3,0,IF(OR(63&gt;$R56,DC56&lt;=$I56),DC56,DC56-MIN(INT(ROUND(IF($F56=1,$C56*$J56,IF(HB56&gt;0,HB56*$K56,DC56*$J56))*IF(63=$R56,$S56,12)/12,6)+$B$4),DC56-$I56)))))</f>
        <v/>
      </c>
      <c r="DE56" s="68">
        <f>IF($U56=0,0,IF($F56=4,0,IF($F56=3,0,IF(OR(64&gt;$R56,DD56&lt;=$I56),DD56,DD56-MIN(INT(ROUND(IF($F56=1,$C56*$J56,IF(HC56&gt;0,HC56*$K56,DD56*$J56))*IF(64=$R56,$S56,12)/12,6)+$B$4),DD56-$I56)))))</f>
        <v/>
      </c>
      <c r="DF56" s="68">
        <f>IF($U56=0,0,IF($F56=4,0,IF($F56=3,0,IF(OR(65&gt;$R56,DE56&lt;=$I56),DE56,DE56-MIN(INT(ROUND(IF($F56=1,$C56*$J56,IF(HD56&gt;0,HD56*$K56,DE56*$J56))*IF(65=$R56,$S56,12)/12,6)+$B$4),DE56-$I56)))))</f>
        <v/>
      </c>
      <c r="DG56" s="68">
        <f>IF($U56=0,0,IF($F56=4,0,IF($F56=3,0,IF(OR(66&gt;$R56,DF56&lt;=$I56),DF56,DF56-MIN(INT(ROUND(IF($F56=1,$C56*$J56,IF(HE56&gt;0,HE56*$K56,DF56*$J56))*IF(66=$R56,$S56,12)/12,6)+$B$4),DF56-$I56)))))</f>
        <v/>
      </c>
      <c r="DH56" s="68">
        <f>IF($U56=0,0,IF($F56=4,0,IF($F56=3,0,IF(OR(67&gt;$R56,DG56&lt;=$I56),DG56,DG56-MIN(INT(ROUND(IF($F56=1,$C56*$J56,IF(HF56&gt;0,HF56*$K56,DG56*$J56))*IF(67=$R56,$S56,12)/12,6)+$B$4),DG56-$I56)))))</f>
        <v/>
      </c>
      <c r="DI56" s="68">
        <f>IF($U56=0,0,IF($F56=4,0,IF($F56=3,0,IF(OR(68&gt;$R56,DH56&lt;=$I56),DH56,DH56-MIN(INT(ROUND(IF($F56=1,$C56*$J56,IF(HG56&gt;0,HG56*$K56,DH56*$J56))*IF(68=$R56,$S56,12)/12,6)+$B$4),DH56-$I56)))))</f>
        <v/>
      </c>
      <c r="DJ56" s="68">
        <f>IF($U56=0,0,IF($F56=4,0,IF($F56=3,0,IF(OR(69&gt;$R56,DI56&lt;=$I56),DI56,DI56-MIN(INT(ROUND(IF($F56=1,$C56*$J56,IF(HH56&gt;0,HH56*$K56,DI56*$J56))*IF(69=$R56,$S56,12)/12,6)+$B$4),DI56-$I56)))))</f>
        <v/>
      </c>
      <c r="DK56" s="68">
        <f>IF($U56=0,0,IF($F56=4,0,IF($F56=3,0,IF(OR(70&gt;$R56,DJ56&lt;=$I56),DJ56,DJ56-MIN(INT(ROUND(IF($F56=1,$C56*$J56,IF(HI56&gt;0,HI56*$K56,DJ56*$J56))*IF(70=$R56,$S56,12)/12,6)+$B$4),DJ56-$I56)))))</f>
        <v/>
      </c>
      <c r="DL56" s="68">
        <f>IF($U56=0,0,IF($F56=4,0,IF($F56=3,0,IF(OR(71&gt;$R56,DK56&lt;=$I56),DK56,DK56-MIN(INT(ROUND(IF($F56=1,$C56*$J56,IF(HJ56&gt;0,HJ56*$K56,DK56*$J56))*IF(71=$R56,$S56,12)/12,6)+$B$4),DK56-$I56)))))</f>
        <v/>
      </c>
      <c r="DM56" s="68">
        <f>IF($U56=0,0,IF($F56=4,0,IF($F56=3,0,IF(OR(72&gt;$R56,DL56&lt;=$I56),DL56,DL56-MIN(INT(ROUND(IF($F56=1,$C56*$J56,IF(HK56&gt;0,HK56*$K56,DL56*$J56))*IF(72=$R56,$S56,12)/12,6)+$B$4),DL56-$I56)))))</f>
        <v/>
      </c>
      <c r="DN56" s="68">
        <f>IF($U56=0,0,IF($F56=4,0,IF($F56=3,0,IF(OR(73&gt;$R56,DM56&lt;=$I56),DM56,DM56-MIN(INT(ROUND(IF($F56=1,$C56*$J56,IF(HL56&gt;0,HL56*$K56,DM56*$J56))*IF(73=$R56,$S56,12)/12,6)+$B$4),DM56-$I56)))))</f>
        <v/>
      </c>
      <c r="DO56" s="68">
        <f>IF($U56=0,0,IF($F56=4,0,IF($F56=3,0,IF(OR(74&gt;$R56,DN56&lt;=$I56),DN56,DN56-MIN(INT(ROUND(IF($F56=1,$C56*$J56,IF(HM56&gt;0,HM56*$K56,DN56*$J56))*IF(74=$R56,$S56,12)/12,6)+$B$4),DN56-$I56)))))</f>
        <v/>
      </c>
      <c r="DP56" s="68">
        <f>IF($U56=0,0,IF($F56=4,0,IF($F56=3,0,IF(OR(75&gt;$R56,DO56&lt;=$I56),DO56,DO56-MIN(INT(ROUND(IF($F56=1,$C56*$J56,IF(HN56&gt;0,HN56*$K56,DO56*$J56))*IF(75=$R56,$S56,12)/12,6)+$B$4),DO56-$I56)))))</f>
        <v/>
      </c>
      <c r="DQ56" s="68">
        <f>IF($U56=0,0,IF($F56=4,0,IF($F56=3,0,IF(OR(76&gt;$R56,DP56&lt;=$I56),DP56,DP56-MIN(INT(ROUND(IF($F56=1,$C56*$J56,IF(HO56&gt;0,HO56*$K56,DP56*$J56))*IF(76=$R56,$S56,12)/12,6)+$B$4),DP56-$I56)))))</f>
        <v/>
      </c>
      <c r="DR56" s="68">
        <f>IF($U56=0,0,IF($F56=4,0,IF($F56=3,0,IF(OR(77&gt;$R56,DQ56&lt;=$I56),DQ56,DQ56-MIN(INT(ROUND(IF($F56=1,$C56*$J56,IF(HP56&gt;0,HP56*$K56,DQ56*$J56))*IF(77=$R56,$S56,12)/12,6)+$B$4),DQ56-$I56)))))</f>
        <v/>
      </c>
      <c r="DS56" s="68">
        <f>IF($U56=0,0,IF($F56=4,0,IF($F56=3,0,IF(OR(78&gt;$R56,DR56&lt;=$I56),DR56,DR56-MIN(INT(ROUND(IF($F56=1,$C56*$J56,IF(HQ56&gt;0,HQ56*$K56,DR56*$J56))*IF(78=$R56,$S56,12)/12,6)+$B$4),DR56-$I56)))))</f>
        <v/>
      </c>
      <c r="DT56" s="68">
        <f>IF($U56=0,0,IF($F56=4,0,IF($F56=3,0,IF(OR(79&gt;$R56,DS56&lt;=$I56),DS56,DS56-MIN(INT(ROUND(IF($F56=1,$C56*$J56,IF(HR56&gt;0,HR56*$K56,DS56*$J56))*IF(79=$R56,$S56,12)/12,6)+$B$4),DS56-$I56)))))</f>
        <v/>
      </c>
      <c r="DU56" s="68">
        <f>IF($U56=0,0,IF($F56=4,0,IF($F56=3,0,IF(OR(80&gt;$R56,DT56&lt;=$I56),DT56,DT56-MIN(INT(ROUND(IF($F56=1,$C56*$J56,IF(HS56&gt;0,HS56*$K56,DT56*$J56))*IF(80=$R56,$S56,12)/12,6)+$B$4),DT56-$I56)))))</f>
        <v/>
      </c>
      <c r="DV56" s="68">
        <f>IF($U56=0,0,IF($F56=4,0,IF($F56=3,0,IF(OR(81&gt;$R56,DU56&lt;=$I56),DU56,DU56-MIN(INT(ROUND(IF($F56=1,$C56*$J56,IF(HT56&gt;0,HT56*$K56,DU56*$J56))*IF(81=$R56,$S56,12)/12,6)+$B$4),DU56-$I56)))))</f>
        <v/>
      </c>
      <c r="DW56" s="68">
        <f>IF($U56=0,0,IF($F56=4,0,IF($F56=3,0,IF(OR(82&gt;$R56,DV56&lt;=$I56),DV56,DV56-MIN(INT(ROUND(IF($F56=1,$C56*$J56,IF(HU56&gt;0,HU56*$K56,DV56*$J56))*IF(82=$R56,$S56,12)/12,6)+$B$4),DV56-$I56)))))</f>
        <v/>
      </c>
      <c r="DX56" s="68">
        <f>IF($U56=0,0,IF($F56=4,0,IF($F56=3,0,IF(OR(83&gt;$R56,DW56&lt;=$I56),DW56,DW56-MIN(INT(ROUND(IF($F56=1,$C56*$J56,IF(HV56&gt;0,HV56*$K56,DW56*$J56))*IF(83=$R56,$S56,12)/12,6)+$B$4),DW56-$I56)))))</f>
        <v/>
      </c>
      <c r="DY56" s="68">
        <f>IF($U56=0,0,IF($F56=4,0,IF($F56=3,0,IF(OR(84&gt;$R56,DX56&lt;=$I56),DX56,DX56-MIN(INT(ROUND(IF($F56=1,$C56*$J56,IF(HW56&gt;0,HW56*$K56,DX56*$J56))*IF(84=$R56,$S56,12)/12,6)+$B$4),DX56-$I56)))))</f>
        <v/>
      </c>
      <c r="DZ56" s="68">
        <f>IF($U56=0,0,IF($F56=4,0,IF($F56=3,0,IF(OR(85&gt;$R56,DY56&lt;=$I56),DY56,DY56-MIN(INT(ROUND(IF($F56=1,$C56*$J56,IF(HX56&gt;0,HX56*$K56,DY56*$J56))*IF(85=$R56,$S56,12)/12,6)+$B$4),DY56-$I56)))))</f>
        <v/>
      </c>
      <c r="EA56" s="68">
        <f>IF($U56=0,0,IF($F56=4,0,IF($F56=3,0,IF(OR(86&gt;$R56,DZ56&lt;=$I56),DZ56,DZ56-MIN(INT(ROUND(IF($F56=1,$C56*$J56,IF(HY56&gt;0,HY56*$K56,DZ56*$J56))*IF(86=$R56,$S56,12)/12,6)+$B$4),DZ56-$I56)))))</f>
        <v/>
      </c>
      <c r="EB56" s="68">
        <f>IF($U56=0,0,IF($F56=4,0,IF($F56=3,0,IF(OR(87&gt;$R56,EA56&lt;=$I56),EA56,EA56-MIN(INT(ROUND(IF($F56=1,$C56*$J56,IF(HZ56&gt;0,HZ56*$K56,EA56*$J56))*IF(87=$R56,$S56,12)/12,6)+$B$4),EA56-$I56)))))</f>
        <v/>
      </c>
      <c r="EC56" s="68">
        <f>IF($U56=0,0,IF($F56=4,0,IF($F56=3,0,IF(OR(88&gt;$R56,EB56&lt;=$I56),EB56,EB56-MIN(INT(ROUND(IF($F56=1,$C56*$J56,IF(IA56&gt;0,IA56*$K56,EB56*$J56))*IF(88=$R56,$S56,12)/12,6)+$B$4),EB56-$I56)))))</f>
        <v/>
      </c>
      <c r="ED56" s="68">
        <f>IF($U56=0,0,IF($F56=4,0,IF($F56=3,0,IF(OR(89&gt;$R56,EC56&lt;=$I56),EC56,EC56-MIN(INT(ROUND(IF($F56=1,$C56*$J56,IF(IB56&gt;0,IB56*$K56,EC56*$J56))*IF(89=$R56,$S56,12)/12,6)+$B$4),EC56-$I56)))))</f>
        <v/>
      </c>
      <c r="EE56" s="68">
        <f>IF($U56=0,0,IF($F56=4,0,IF($F56=3,0,IF(OR(90&gt;$R56,ED56&lt;=$I56),ED56,ED56-MIN(INT(ROUND(IF($F56=1,$C56*$J56,IF(IC56&gt;0,IC56*$K56,ED56*$J56))*IF(90=$R56,$S56,12)/12,6)+$B$4),ED56-$I56)))))</f>
        <v/>
      </c>
      <c r="EF56" s="68">
        <f>IF($U56=0,0,IF($F56=4,0,IF($F56=3,0,IF(OR(91&gt;$R56,EE56&lt;=$I56),EE56,EE56-MIN(INT(ROUND(IF($F56=1,$C56*$J56,IF(ID56&gt;0,ID56*$K56,EE56*$J56))*IF(91=$R56,$S56,12)/12,6)+$B$4),EE56-$I56)))))</f>
        <v/>
      </c>
      <c r="EG56" s="68">
        <f>IF($U56=0,0,IF($F56=4,0,IF($F56=3,0,IF(OR(92&gt;$R56,EF56&lt;=$I56),EF56,EF56-MIN(INT(ROUND(IF($F56=1,$C56*$J56,IF(IE56&gt;0,IE56*$K56,EF56*$J56))*IF(92=$R56,$S56,12)/12,6)+$B$4),EF56-$I56)))))</f>
        <v/>
      </c>
      <c r="EH56" s="68">
        <f>IF($U56=0,0,IF($F56=4,0,IF($F56=3,0,IF(OR(93&gt;$R56,EG56&lt;=$I56),EG56,EG56-MIN(INT(ROUND(IF($F56=1,$C56*$J56,IF(IF56&gt;0,IF56*$K56,EG56*$J56))*IF(93=$R56,$S56,12)/12,6)+$B$4),EG56-$I56)))))</f>
        <v/>
      </c>
      <c r="EI56" s="68">
        <f>IF($U56=0,0,IF($F56=4,0,IF($F56=3,0,IF(OR(94&gt;$R56,EH56&lt;=$I56),EH56,EH56-MIN(INT(ROUND(IF($F56=1,$C56*$J56,IF(IG56&gt;0,IG56*$K56,EH56*$J56))*IF(94=$R56,$S56,12)/12,6)+$B$4),EH56-$I56)))))</f>
        <v/>
      </c>
      <c r="EJ56" s="68">
        <f>IF($U56=0,0,IF($F56=4,0,IF($F56=3,0,IF(OR(95&gt;$R56,EI56&lt;=$I56),EI56,EI56-MIN(INT(ROUND(IF($F56=1,$C56*$J56,IF(IH56&gt;0,IH56*$K56,EI56*$J56))*IF(95=$R56,$S56,12)/12,6)+$B$4),EI56-$I56)))))</f>
        <v/>
      </c>
      <c r="EK56" s="68">
        <f>IF($U56=0,0,IF($F56=4,0,IF($F56=3,0,IF(OR(96&gt;$R56,EJ56&lt;=$I56),EJ56,EJ56-MIN(INT(ROUND(IF($F56=1,$C56*$J56,IF(II56&gt;0,II56*$K56,EJ56*$J56))*IF(96=$R56,$S56,12)/12,6)+$B$4),EJ56-$I56)))))</f>
        <v/>
      </c>
      <c r="EL56" s="68">
        <f>IF($U56=0,0,IF($F56=4,0,IF($F56=3,0,IF(OR(97&gt;$R56,EK56&lt;=$I56),EK56,EK56-MIN(INT(ROUND(IF($F56=1,$C56*$J56,IF(IJ56&gt;0,IJ56*$K56,EK56*$J56))*IF(97=$R56,$S56,12)/12,6)+$B$4),EK56-$I56)))))</f>
        <v/>
      </c>
      <c r="EM56" s="68">
        <f>IF($U56=0,0,IF($F56=4,0,IF($F56=3,0,IF(OR(98&gt;$R56,EL56&lt;=$I56),EL56,EL56-MIN(INT(ROUND(IF($F56=1,$C56*$J56,IF(IK56&gt;0,IK56*$K56,EL56*$J56))*IF(98=$R56,$S56,12)/12,6)+$B$4),EL56-$I56)))))</f>
        <v/>
      </c>
      <c r="EN56" s="68">
        <f>IF($U56=0,0,IF($F56=4,0,IF($F56=3,0,IF(OR(99&gt;$R56,EM56&lt;=$I56),EM56,EM56-MIN(INT(ROUND(IF($F56=1,$C56*$J56,IF(IL56&gt;0,IL56*$K56,EM56*$J56))*IF(99=$R56,$S56,12)/12,6)+$B$4),EM56-$I56)))))</f>
        <v/>
      </c>
      <c r="EO56" s="68">
        <f>IF($U56=0,0,IF($F56=4,0,IF($F56=3,0,IF(OR(100&gt;$R56,EN56&lt;=$I56),EN56,EN56-MIN(INT(ROUND(IF($F56=1,$C56*$J56,IF(IM56&gt;0,IM56*$K56,EN56*$J56))*IF(100=$R56,$S56,12)/12,6)+$B$4),EN56-$I56)))))</f>
        <v/>
      </c>
      <c r="EP56" s="68">
        <f>IF($U56=0,0,IF($F56=4,0,IF($F56=3,0,IF(OR(101&gt;$R56,EO56&lt;=$I56),EO56,EO56-MIN(INT(ROUND(IF($F56=1,$C56*$J56,IF(IN56&gt;0,IN56*$K56,EO56*$J56))*IF(101=$R56,$S56,12)/12,6)+$B$4),EO56-$I56)))))</f>
        <v/>
      </c>
      <c r="EQ56" s="68" t="n"/>
      <c r="ER56" s="68">
        <f>IF(OR($U56=0,$F56&lt;&gt;2),0,IF(ROUND(AS56*$J56,6)&lt;ROUND($M56,6),AS56,0))</f>
        <v/>
      </c>
      <c r="ES56" s="68">
        <f>IF(OR($U56=0,$F56&lt;&gt;2),0,IF(ER56&gt;0,ER56,IF(ROUND(AT56*$J56,6)&lt;ROUND($M56,6),AT56,0)))</f>
        <v/>
      </c>
      <c r="ET56" s="68">
        <f>IF(OR($U56=0,$F56&lt;&gt;2),0,IF(ES56&gt;0,ES56,IF(ROUND(AU56*$J56,6)&lt;ROUND($M56,6),AU56,0)))</f>
        <v/>
      </c>
      <c r="EU56" s="68">
        <f>IF(OR($U56=0,$F56&lt;&gt;2),0,IF(ET56&gt;0,ET56,IF(ROUND(AV56*$J56,6)&lt;ROUND($M56,6),AV56,0)))</f>
        <v/>
      </c>
      <c r="EV56" s="68">
        <f>IF(OR($U56=0,$F56&lt;&gt;2),0,IF(EU56&gt;0,EU56,IF(ROUND(AW56*$J56,6)&lt;ROUND($M56,6),AW56,0)))</f>
        <v/>
      </c>
      <c r="EW56" s="68">
        <f>IF(OR($U56=0,$F56&lt;&gt;2),0,IF(EV56&gt;0,EV56,IF(ROUND(AX56*$J56,6)&lt;ROUND($M56,6),AX56,0)))</f>
        <v/>
      </c>
      <c r="EX56" s="68">
        <f>IF(OR($U56=0,$F56&lt;&gt;2),0,IF(EW56&gt;0,EW56,IF(ROUND(AY56*$J56,6)&lt;ROUND($M56,6),AY56,0)))</f>
        <v/>
      </c>
      <c r="EY56" s="68">
        <f>IF(OR($U56=0,$F56&lt;&gt;2),0,IF(EX56&gt;0,EX56,IF(ROUND(AZ56*$J56,6)&lt;ROUND($M56,6),AZ56,0)))</f>
        <v/>
      </c>
      <c r="EZ56" s="68">
        <f>IF(OR($U56=0,$F56&lt;&gt;2),0,IF(EY56&gt;0,EY56,IF(ROUND(BA56*$J56,6)&lt;ROUND($M56,6),BA56,0)))</f>
        <v/>
      </c>
      <c r="FA56" s="68">
        <f>IF(OR($U56=0,$F56&lt;&gt;2),0,IF(EZ56&gt;0,EZ56,IF(ROUND(BB56*$J56,6)&lt;ROUND($M56,6),BB56,0)))</f>
        <v/>
      </c>
      <c r="FB56" s="68">
        <f>IF(OR($U56=0,$F56&lt;&gt;2),0,IF(FA56&gt;0,FA56,IF(ROUND(BC56*$J56,6)&lt;ROUND($M56,6),BC56,0)))</f>
        <v/>
      </c>
      <c r="FC56" s="68">
        <f>IF(OR($U56=0,$F56&lt;&gt;2),0,IF(FB56&gt;0,FB56,IF(ROUND(BD56*$J56,6)&lt;ROUND($M56,6),BD56,0)))</f>
        <v/>
      </c>
      <c r="FD56" s="68">
        <f>IF(OR($U56=0,$F56&lt;&gt;2),0,IF(FC56&gt;0,FC56,IF(ROUND(BE56*$J56,6)&lt;ROUND($M56,6),BE56,0)))</f>
        <v/>
      </c>
      <c r="FE56" s="68">
        <f>IF(OR($U56=0,$F56&lt;&gt;2),0,IF(FD56&gt;0,FD56,IF(ROUND(BF56*$J56,6)&lt;ROUND($M56,6),BF56,0)))</f>
        <v/>
      </c>
      <c r="FF56" s="68">
        <f>IF(OR($U56=0,$F56&lt;&gt;2),0,IF(FE56&gt;0,FE56,IF(ROUND(BG56*$J56,6)&lt;ROUND($M56,6),BG56,0)))</f>
        <v/>
      </c>
      <c r="FG56" s="68">
        <f>IF(OR($U56=0,$F56&lt;&gt;2),0,IF(FF56&gt;0,FF56,IF(ROUND(BH56*$J56,6)&lt;ROUND($M56,6),BH56,0)))</f>
        <v/>
      </c>
      <c r="FH56" s="68">
        <f>IF(OR($U56=0,$F56&lt;&gt;2),0,IF(FG56&gt;0,FG56,IF(ROUND(BI56*$J56,6)&lt;ROUND($M56,6),BI56,0)))</f>
        <v/>
      </c>
      <c r="FI56" s="68">
        <f>IF(OR($U56=0,$F56&lt;&gt;2),0,IF(FH56&gt;0,FH56,IF(ROUND(BJ56*$J56,6)&lt;ROUND($M56,6),BJ56,0)))</f>
        <v/>
      </c>
      <c r="FJ56" s="68">
        <f>IF(OR($U56=0,$F56&lt;&gt;2),0,IF(FI56&gt;0,FI56,IF(ROUND(BK56*$J56,6)&lt;ROUND($M56,6),BK56,0)))</f>
        <v/>
      </c>
      <c r="FK56" s="68">
        <f>IF(OR($U56=0,$F56&lt;&gt;2),0,IF(FJ56&gt;0,FJ56,IF(ROUND(BL56*$J56,6)&lt;ROUND($M56,6),BL56,0)))</f>
        <v/>
      </c>
      <c r="FL56" s="68">
        <f>IF(OR($U56=0,$F56&lt;&gt;2),0,IF(FK56&gt;0,FK56,IF(ROUND(BM56*$J56,6)&lt;ROUND($M56,6),BM56,0)))</f>
        <v/>
      </c>
      <c r="FM56" s="68">
        <f>IF(OR($U56=0,$F56&lt;&gt;2),0,IF(FL56&gt;0,FL56,IF(ROUND(BN56*$J56,6)&lt;ROUND($M56,6),BN56,0)))</f>
        <v/>
      </c>
      <c r="FN56" s="68">
        <f>IF(OR($U56=0,$F56&lt;&gt;2),0,IF(FM56&gt;0,FM56,IF(ROUND(BO56*$J56,6)&lt;ROUND($M56,6),BO56,0)))</f>
        <v/>
      </c>
      <c r="FO56" s="68">
        <f>IF(OR($U56=0,$F56&lt;&gt;2),0,IF(FN56&gt;0,FN56,IF(ROUND(BP56*$J56,6)&lt;ROUND($M56,6),BP56,0)))</f>
        <v/>
      </c>
      <c r="FP56" s="68">
        <f>IF(OR($U56=0,$F56&lt;&gt;2),0,IF(FO56&gt;0,FO56,IF(ROUND(BQ56*$J56,6)&lt;ROUND($M56,6),BQ56,0)))</f>
        <v/>
      </c>
      <c r="FQ56" s="68">
        <f>IF(OR($U56=0,$F56&lt;&gt;2),0,IF(FP56&gt;0,FP56,IF(ROUND(BR56*$J56,6)&lt;ROUND($M56,6),BR56,0)))</f>
        <v/>
      </c>
      <c r="FR56" s="68">
        <f>IF(OR($U56=0,$F56&lt;&gt;2),0,IF(FQ56&gt;0,FQ56,IF(ROUND(BS56*$J56,6)&lt;ROUND($M56,6),BS56,0)))</f>
        <v/>
      </c>
      <c r="FS56" s="68">
        <f>IF(OR($U56=0,$F56&lt;&gt;2),0,IF(FR56&gt;0,FR56,IF(ROUND(BT56*$J56,6)&lt;ROUND($M56,6),BT56,0)))</f>
        <v/>
      </c>
      <c r="FT56" s="68">
        <f>IF(OR($U56=0,$F56&lt;&gt;2),0,IF(FS56&gt;0,FS56,IF(ROUND(BU56*$J56,6)&lt;ROUND($M56,6),BU56,0)))</f>
        <v/>
      </c>
      <c r="FU56" s="68">
        <f>IF(OR($U56=0,$F56&lt;&gt;2),0,IF(FT56&gt;0,FT56,IF(ROUND(BV56*$J56,6)&lt;ROUND($M56,6),BV56,0)))</f>
        <v/>
      </c>
      <c r="FV56" s="68">
        <f>IF(OR($U56=0,$F56&lt;&gt;2),0,IF(FU56&gt;0,FU56,IF(ROUND(BW56*$J56,6)&lt;ROUND($M56,6),BW56,0)))</f>
        <v/>
      </c>
      <c r="FW56" s="68">
        <f>IF(OR($U56=0,$F56&lt;&gt;2),0,IF(FV56&gt;0,FV56,IF(ROUND(BX56*$J56,6)&lt;ROUND($M56,6),BX56,0)))</f>
        <v/>
      </c>
      <c r="FX56" s="68">
        <f>IF(OR($U56=0,$F56&lt;&gt;2),0,IF(FW56&gt;0,FW56,IF(ROUND(BY56*$J56,6)&lt;ROUND($M56,6),BY56,0)))</f>
        <v/>
      </c>
      <c r="FY56" s="68">
        <f>IF(OR($U56=0,$F56&lt;&gt;2),0,IF(FX56&gt;0,FX56,IF(ROUND(BZ56*$J56,6)&lt;ROUND($M56,6),BZ56,0)))</f>
        <v/>
      </c>
      <c r="FZ56" s="68">
        <f>IF(OR($U56=0,$F56&lt;&gt;2),0,IF(FY56&gt;0,FY56,IF(ROUND(CA56*$J56,6)&lt;ROUND($M56,6),CA56,0)))</f>
        <v/>
      </c>
      <c r="GA56" s="68">
        <f>IF(OR($U56=0,$F56&lt;&gt;2),0,IF(FZ56&gt;0,FZ56,IF(ROUND(CB56*$J56,6)&lt;ROUND($M56,6),CB56,0)))</f>
        <v/>
      </c>
      <c r="GB56" s="68">
        <f>IF(OR($U56=0,$F56&lt;&gt;2),0,IF(GA56&gt;0,GA56,IF(ROUND(CC56*$J56,6)&lt;ROUND($M56,6),CC56,0)))</f>
        <v/>
      </c>
      <c r="GC56" s="68">
        <f>IF(OR($U56=0,$F56&lt;&gt;2),0,IF(GB56&gt;0,GB56,IF(ROUND(CD56*$J56,6)&lt;ROUND($M56,6),CD56,0)))</f>
        <v/>
      </c>
      <c r="GD56" s="68">
        <f>IF(OR($U56=0,$F56&lt;&gt;2),0,IF(GC56&gt;0,GC56,IF(ROUND(CE56*$J56,6)&lt;ROUND($M56,6),CE56,0)))</f>
        <v/>
      </c>
      <c r="GE56" s="68">
        <f>IF(OR($U56=0,$F56&lt;&gt;2),0,IF(GD56&gt;0,GD56,IF(ROUND(CF56*$J56,6)&lt;ROUND($M56,6),CF56,0)))</f>
        <v/>
      </c>
      <c r="GF56" s="68">
        <f>IF(OR($U56=0,$F56&lt;&gt;2),0,IF(GE56&gt;0,GE56,IF(ROUND(CG56*$J56,6)&lt;ROUND($M56,6),CG56,0)))</f>
        <v/>
      </c>
      <c r="GG56" s="68">
        <f>IF(OR($U56=0,$F56&lt;&gt;2),0,IF(GF56&gt;0,GF56,IF(ROUND(CH56*$J56,6)&lt;ROUND($M56,6),CH56,0)))</f>
        <v/>
      </c>
      <c r="GH56" s="68">
        <f>IF(OR($U56=0,$F56&lt;&gt;2),0,IF(GG56&gt;0,GG56,IF(ROUND(CI56*$J56,6)&lt;ROUND($M56,6),CI56,0)))</f>
        <v/>
      </c>
      <c r="GI56" s="68">
        <f>IF(OR($U56=0,$F56&lt;&gt;2),0,IF(GH56&gt;0,GH56,IF(ROUND(CJ56*$J56,6)&lt;ROUND($M56,6),CJ56,0)))</f>
        <v/>
      </c>
      <c r="GJ56" s="68">
        <f>IF(OR($U56=0,$F56&lt;&gt;2),0,IF(GI56&gt;0,GI56,IF(ROUND(CK56*$J56,6)&lt;ROUND($M56,6),CK56,0)))</f>
        <v/>
      </c>
      <c r="GK56" s="68">
        <f>IF(OR($U56=0,$F56&lt;&gt;2),0,IF(GJ56&gt;0,GJ56,IF(ROUND(CL56*$J56,6)&lt;ROUND($M56,6),CL56,0)))</f>
        <v/>
      </c>
      <c r="GL56" s="68">
        <f>IF(OR($U56=0,$F56&lt;&gt;2),0,IF(GK56&gt;0,GK56,IF(ROUND(CM56*$J56,6)&lt;ROUND($M56,6),CM56,0)))</f>
        <v/>
      </c>
      <c r="GM56" s="68">
        <f>IF(OR($U56=0,$F56&lt;&gt;2),0,IF(GL56&gt;0,GL56,IF(ROUND(CN56*$J56,6)&lt;ROUND($M56,6),CN56,0)))</f>
        <v/>
      </c>
      <c r="GN56" s="68">
        <f>IF(OR($U56=0,$F56&lt;&gt;2),0,IF(GM56&gt;0,GM56,IF(ROUND(CO56*$J56,6)&lt;ROUND($M56,6),CO56,0)))</f>
        <v/>
      </c>
      <c r="GO56" s="68">
        <f>IF(OR($U56=0,$F56&lt;&gt;2),0,IF(GN56&gt;0,GN56,IF(ROUND(CP56*$J56,6)&lt;ROUND($M56,6),CP56,0)))</f>
        <v/>
      </c>
      <c r="GP56" s="68">
        <f>IF(OR($U56=0,$F56&lt;&gt;2),0,IF(GO56&gt;0,GO56,IF(ROUND(CQ56*$J56,6)&lt;ROUND($M56,6),CQ56,0)))</f>
        <v/>
      </c>
      <c r="GQ56" s="68">
        <f>IF(OR($U56=0,$F56&lt;&gt;2),0,IF(GP56&gt;0,GP56,IF(ROUND(CR56*$J56,6)&lt;ROUND($M56,6),CR56,0)))</f>
        <v/>
      </c>
      <c r="GR56" s="68">
        <f>IF(OR($U56=0,$F56&lt;&gt;2),0,IF(GQ56&gt;0,GQ56,IF(ROUND(CS56*$J56,6)&lt;ROUND($M56,6),CS56,0)))</f>
        <v/>
      </c>
      <c r="GS56" s="68">
        <f>IF(OR($U56=0,$F56&lt;&gt;2),0,IF(GR56&gt;0,GR56,IF(ROUND(CT56*$J56,6)&lt;ROUND($M56,6),CT56,0)))</f>
        <v/>
      </c>
      <c r="GT56" s="68">
        <f>IF(OR($U56=0,$F56&lt;&gt;2),0,IF(GS56&gt;0,GS56,IF(ROUND(CU56*$J56,6)&lt;ROUND($M56,6),CU56,0)))</f>
        <v/>
      </c>
      <c r="GU56" s="68">
        <f>IF(OR($U56=0,$F56&lt;&gt;2),0,IF(GT56&gt;0,GT56,IF(ROUND(CV56*$J56,6)&lt;ROUND($M56,6),CV56,0)))</f>
        <v/>
      </c>
      <c r="GV56" s="68">
        <f>IF(OR($U56=0,$F56&lt;&gt;2),0,IF(GU56&gt;0,GU56,IF(ROUND(CW56*$J56,6)&lt;ROUND($M56,6),CW56,0)))</f>
        <v/>
      </c>
      <c r="GW56" s="68">
        <f>IF(OR($U56=0,$F56&lt;&gt;2),0,IF(GV56&gt;0,GV56,IF(ROUND(CX56*$J56,6)&lt;ROUND($M56,6),CX56,0)))</f>
        <v/>
      </c>
      <c r="GX56" s="68">
        <f>IF(OR($U56=0,$F56&lt;&gt;2),0,IF(GW56&gt;0,GW56,IF(ROUND(CY56*$J56,6)&lt;ROUND($M56,6),CY56,0)))</f>
        <v/>
      </c>
      <c r="GY56" s="68">
        <f>IF(OR($U56=0,$F56&lt;&gt;2),0,IF(GX56&gt;0,GX56,IF(ROUND(CZ56*$J56,6)&lt;ROUND($M56,6),CZ56,0)))</f>
        <v/>
      </c>
      <c r="GZ56" s="68">
        <f>IF(OR($U56=0,$F56&lt;&gt;2),0,IF(GY56&gt;0,GY56,IF(ROUND(DA56*$J56,6)&lt;ROUND($M56,6),DA56,0)))</f>
        <v/>
      </c>
      <c r="HA56" s="68">
        <f>IF(OR($U56=0,$F56&lt;&gt;2),0,IF(GZ56&gt;0,GZ56,IF(ROUND(DB56*$J56,6)&lt;ROUND($M56,6),DB56,0)))</f>
        <v/>
      </c>
      <c r="HB56" s="68">
        <f>IF(OR($U56=0,$F56&lt;&gt;2),0,IF(HA56&gt;0,HA56,IF(ROUND(DC56*$J56,6)&lt;ROUND($M56,6),DC56,0)))</f>
        <v/>
      </c>
      <c r="HC56" s="68">
        <f>IF(OR($U56=0,$F56&lt;&gt;2),0,IF(HB56&gt;0,HB56,IF(ROUND(DD56*$J56,6)&lt;ROUND($M56,6),DD56,0)))</f>
        <v/>
      </c>
      <c r="HD56" s="68">
        <f>IF(OR($U56=0,$F56&lt;&gt;2),0,IF(HC56&gt;0,HC56,IF(ROUND(DE56*$J56,6)&lt;ROUND($M56,6),DE56,0)))</f>
        <v/>
      </c>
      <c r="HE56" s="68">
        <f>IF(OR($U56=0,$F56&lt;&gt;2),0,IF(HD56&gt;0,HD56,IF(ROUND(DF56*$J56,6)&lt;ROUND($M56,6),DF56,0)))</f>
        <v/>
      </c>
      <c r="HF56" s="68">
        <f>IF(OR($U56=0,$F56&lt;&gt;2),0,IF(HE56&gt;0,HE56,IF(ROUND(DG56*$J56,6)&lt;ROUND($M56,6),DG56,0)))</f>
        <v/>
      </c>
      <c r="HG56" s="68">
        <f>IF(OR($U56=0,$F56&lt;&gt;2),0,IF(HF56&gt;0,HF56,IF(ROUND(DH56*$J56,6)&lt;ROUND($M56,6),DH56,0)))</f>
        <v/>
      </c>
      <c r="HH56" s="68">
        <f>IF(OR($U56=0,$F56&lt;&gt;2),0,IF(HG56&gt;0,HG56,IF(ROUND(DI56*$J56,6)&lt;ROUND($M56,6),DI56,0)))</f>
        <v/>
      </c>
      <c r="HI56" s="68">
        <f>IF(OR($U56=0,$F56&lt;&gt;2),0,IF(HH56&gt;0,HH56,IF(ROUND(DJ56*$J56,6)&lt;ROUND($M56,6),DJ56,0)))</f>
        <v/>
      </c>
      <c r="HJ56" s="68">
        <f>IF(OR($U56=0,$F56&lt;&gt;2),0,IF(HI56&gt;0,HI56,IF(ROUND(DK56*$J56,6)&lt;ROUND($M56,6),DK56,0)))</f>
        <v/>
      </c>
      <c r="HK56" s="68">
        <f>IF(OR($U56=0,$F56&lt;&gt;2),0,IF(HJ56&gt;0,HJ56,IF(ROUND(DL56*$J56,6)&lt;ROUND($M56,6),DL56,0)))</f>
        <v/>
      </c>
      <c r="HL56" s="68">
        <f>IF(OR($U56=0,$F56&lt;&gt;2),0,IF(HK56&gt;0,HK56,IF(ROUND(DM56*$J56,6)&lt;ROUND($M56,6),DM56,0)))</f>
        <v/>
      </c>
      <c r="HM56" s="68">
        <f>IF(OR($U56=0,$F56&lt;&gt;2),0,IF(HL56&gt;0,HL56,IF(ROUND(DN56*$J56,6)&lt;ROUND($M56,6),DN56,0)))</f>
        <v/>
      </c>
      <c r="HN56" s="68">
        <f>IF(OR($U56=0,$F56&lt;&gt;2),0,IF(HM56&gt;0,HM56,IF(ROUND(DO56*$J56,6)&lt;ROUND($M56,6),DO56,0)))</f>
        <v/>
      </c>
      <c r="HO56" s="68">
        <f>IF(OR($U56=0,$F56&lt;&gt;2),0,IF(HN56&gt;0,HN56,IF(ROUND(DP56*$J56,6)&lt;ROUND($M56,6),DP56,0)))</f>
        <v/>
      </c>
      <c r="HP56" s="68">
        <f>IF(OR($U56=0,$F56&lt;&gt;2),0,IF(HO56&gt;0,HO56,IF(ROUND(DQ56*$J56,6)&lt;ROUND($M56,6),DQ56,0)))</f>
        <v/>
      </c>
      <c r="HQ56" s="68">
        <f>IF(OR($U56=0,$F56&lt;&gt;2),0,IF(HP56&gt;0,HP56,IF(ROUND(DR56*$J56,6)&lt;ROUND($M56,6),DR56,0)))</f>
        <v/>
      </c>
      <c r="HR56" s="68">
        <f>IF(OR($U56=0,$F56&lt;&gt;2),0,IF(HQ56&gt;0,HQ56,IF(ROUND(DS56*$J56,6)&lt;ROUND($M56,6),DS56,0)))</f>
        <v/>
      </c>
      <c r="HS56" s="68">
        <f>IF(OR($U56=0,$F56&lt;&gt;2),0,IF(HR56&gt;0,HR56,IF(ROUND(DT56*$J56,6)&lt;ROUND($M56,6),DT56,0)))</f>
        <v/>
      </c>
      <c r="HT56" s="68">
        <f>IF(OR($U56=0,$F56&lt;&gt;2),0,IF(HS56&gt;0,HS56,IF(ROUND(DU56*$J56,6)&lt;ROUND($M56,6),DU56,0)))</f>
        <v/>
      </c>
      <c r="HU56" s="68">
        <f>IF(OR($U56=0,$F56&lt;&gt;2),0,IF(HT56&gt;0,HT56,IF(ROUND(DV56*$J56,6)&lt;ROUND($M56,6),DV56,0)))</f>
        <v/>
      </c>
      <c r="HV56" s="68">
        <f>IF(OR($U56=0,$F56&lt;&gt;2),0,IF(HU56&gt;0,HU56,IF(ROUND(DW56*$J56,6)&lt;ROUND($M56,6),DW56,0)))</f>
        <v/>
      </c>
      <c r="HW56" s="68">
        <f>IF(OR($U56=0,$F56&lt;&gt;2),0,IF(HV56&gt;0,HV56,IF(ROUND(DX56*$J56,6)&lt;ROUND($M56,6),DX56,0)))</f>
        <v/>
      </c>
      <c r="HX56" s="68">
        <f>IF(OR($U56=0,$F56&lt;&gt;2),0,IF(HW56&gt;0,HW56,IF(ROUND(DY56*$J56,6)&lt;ROUND($M56,6),DY56,0)))</f>
        <v/>
      </c>
      <c r="HY56" s="68">
        <f>IF(OR($U56=0,$F56&lt;&gt;2),0,IF(HX56&gt;0,HX56,IF(ROUND(DZ56*$J56,6)&lt;ROUND($M56,6),DZ56,0)))</f>
        <v/>
      </c>
      <c r="HZ56" s="68">
        <f>IF(OR($U56=0,$F56&lt;&gt;2),0,IF(HY56&gt;0,HY56,IF(ROUND(EA56*$J56,6)&lt;ROUND($M56,6),EA56,0)))</f>
        <v/>
      </c>
      <c r="IA56" s="68">
        <f>IF(OR($U56=0,$F56&lt;&gt;2),0,IF(HZ56&gt;0,HZ56,IF(ROUND(EB56*$J56,6)&lt;ROUND($M56,6),EB56,0)))</f>
        <v/>
      </c>
      <c r="IB56" s="68">
        <f>IF(OR($U56=0,$F56&lt;&gt;2),0,IF(IA56&gt;0,IA56,IF(ROUND(EC56*$J56,6)&lt;ROUND($M56,6),EC56,0)))</f>
        <v/>
      </c>
      <c r="IC56" s="68">
        <f>IF(OR($U56=0,$F56&lt;&gt;2),0,IF(IB56&gt;0,IB56,IF(ROUND(ED56*$J56,6)&lt;ROUND($M56,6),ED56,0)))</f>
        <v/>
      </c>
      <c r="ID56" s="68">
        <f>IF(OR($U56=0,$F56&lt;&gt;2),0,IF(IC56&gt;0,IC56,IF(ROUND(EE56*$J56,6)&lt;ROUND($M56,6),EE56,0)))</f>
        <v/>
      </c>
      <c r="IE56" s="68">
        <f>IF(OR($U56=0,$F56&lt;&gt;2),0,IF(ID56&gt;0,ID56,IF(ROUND(EF56*$J56,6)&lt;ROUND($M56,6),EF56,0)))</f>
        <v/>
      </c>
      <c r="IF56" s="68">
        <f>IF(OR($U56=0,$F56&lt;&gt;2),0,IF(IE56&gt;0,IE56,IF(ROUND(EG56*$J56,6)&lt;ROUND($M56,6),EG56,0)))</f>
        <v/>
      </c>
      <c r="IG56" s="68">
        <f>IF(OR($U56=0,$F56&lt;&gt;2),0,IF(IF56&gt;0,IF56,IF(ROUND(EH56*$J56,6)&lt;ROUND($M56,6),EH56,0)))</f>
        <v/>
      </c>
      <c r="IH56" s="68">
        <f>IF(OR($U56=0,$F56&lt;&gt;2),0,IF(IG56&gt;0,IG56,IF(ROUND(EI56*$J56,6)&lt;ROUND($M56,6),EI56,0)))</f>
        <v/>
      </c>
      <c r="II56" s="68">
        <f>IF(OR($U56=0,$F56&lt;&gt;2),0,IF(IH56&gt;0,IH56,IF(ROUND(EJ56*$J56,6)&lt;ROUND($M56,6),EJ56,0)))</f>
        <v/>
      </c>
      <c r="IJ56" s="68">
        <f>IF(OR($U56=0,$F56&lt;&gt;2),0,IF(II56&gt;0,II56,IF(ROUND(EK56*$J56,6)&lt;ROUND($M56,6),EK56,0)))</f>
        <v/>
      </c>
      <c r="IK56" s="68">
        <f>IF(OR($U56=0,$F56&lt;&gt;2),0,IF(IJ56&gt;0,IJ56,IF(ROUND(EL56*$J56,6)&lt;ROUND($M56,6),EL56,0)))</f>
        <v/>
      </c>
      <c r="IL56" s="68">
        <f>IF(OR($U56=0,$F56&lt;&gt;2),0,IF(IK56&gt;0,IK56,IF(ROUND(EM56*$J56,6)&lt;ROUND($M56,6),EM56,0)))</f>
        <v/>
      </c>
      <c r="IM56" s="68">
        <f>IF(OR($U56=0,$F56&lt;&gt;2),0,IF(IL56&gt;0,IL56,IF(ROUND(EN56*$J56,6)&lt;ROUND($M56,6),EN56,0)))</f>
        <v/>
      </c>
      <c r="IN56" s="68">
        <f>IF(OR($U56=0,$F56&lt;&gt;2),0,IF(IM56&gt;0,IM56,IF(ROUND(EO56*$J56,6)&lt;ROUND($M56,6),EO56,0)))</f>
        <v/>
      </c>
    </row>
    <row r="57">
      <c r="A57" s="68" t="n">
        <v>52</v>
      </c>
      <c r="B57" s="68">
        <f>IF(OR(TRIM('固定資産台帳'!$B57)&lt;&gt;"",'固定資産台帳'!$E57&lt;&gt;"",'固定資産台帳'!$G57&lt;&gt;"",'固定資産台帳'!$H57&lt;&gt;""),1,0)</f>
        <v/>
      </c>
      <c r="C57" s="68">
        <f>IF(ISNUMBER('固定資産台帳'!$G57),MAX(ROUND('固定資産台帳'!$G57,0),0),0)</f>
        <v/>
      </c>
      <c r="D57" s="84">
        <f>IF(ISNUMBER('固定資産台帳'!$E57),INT('固定資産台帳'!$E57),0)</f>
        <v/>
      </c>
      <c r="E57" s="84">
        <f>IF(ISNUMBER('固定資産台帳'!$F57),INT('固定資産台帳'!$F57),$D57)</f>
        <v/>
      </c>
      <c r="F57" s="68">
        <f>IF('固定資産台帳'!$H57="定額法",1,IF(OR('固定資産台帳'!$H57="定率法",'固定資産台帳'!$H57="定率法（200%）",'固定資産台帳'!$H57="定率法（250%）"),2,IF('固定資産台帳'!$H57="一括償却（3年）",3,IF('固定資産台帳'!$H57="少額特例",4,0))))</f>
        <v/>
      </c>
      <c r="G57" s="68">
        <f>IF('固定資産台帳'!$H57="定率法（250%）",250,IF('固定資産台帳'!$H57="定率法（200%）",200,IF($D57&gt;=DATE(2012,4,1),200,250)))</f>
        <v/>
      </c>
      <c r="H57" s="68">
        <f>IF(ISNUMBER('固定資産台帳'!$I57),IF(AND('固定資産台帳'!$I57&gt;=2,'固定資産台帳'!$I57&lt;=100,'固定資産台帳'!$I57=INT('固定資産台帳'!$I57)),'固定資産台帳'!$I57,0),0)</f>
        <v/>
      </c>
      <c r="I57" s="68">
        <f>IF('固定資産台帳'!$C57="無形固定資産",0,1)</f>
        <v/>
      </c>
      <c r="J57" s="68">
        <f>IF(OR($H57=0,$F57=0,$F57&gt;2),0,IF($F57=1,INDEX('償却率表'!$B$6:$B$104,$H57-1),IF($G57=200,INDEX('償却率表'!$C$6:$C$104,$H57-1),INDEX('償却率表'!$F$6:$F$104,$H57-1))))</f>
        <v/>
      </c>
      <c r="K57" s="68">
        <f>IF(AND($F57=2,$H57&gt;0),IF($G57=200,INDEX('償却率表'!$D$6:$D$104,$H57-1),INDEX('償却率表'!$G$6:$G$104,$H57-1)),0)</f>
        <v/>
      </c>
      <c r="L57" s="68">
        <f>IF(AND($F57=2,$H57&gt;0),IF($G57=200,INDEX('償却率表'!$E$6:$E$104,$H57-1),INDEX('償却率表'!$H$6:$H$104,$H57-1)),0)</f>
        <v/>
      </c>
      <c r="M57" s="68">
        <f>$C57*$L57</f>
        <v/>
      </c>
      <c r="N57" s="68">
        <f>IF($B$1=1,1,IF('固定資産台帳'!$J57="",1,IF(ISNUMBER('固定資産台帳'!$J57),IF(AND('固定資産台帳'!$J57&gt;0,'固定資産台帳'!$J57&lt;=1),'固定資産台帳'!$J57,0),0)))</f>
        <v/>
      </c>
      <c r="O57" s="68">
        <f>IF($E57=0,0,YEAR($E57)-IF(MONTH($E57)&lt;$B$2,1,0))</f>
        <v/>
      </c>
      <c r="P57" s="68">
        <f>IF($E57=0,0,12-MOD(MONTH($E57)-$B$2,12))</f>
        <v/>
      </c>
      <c r="Q57" s="84">
        <f>IF(ISNUMBER('固定資産台帳'!$K57),INT('固定資産台帳'!$K57),0)</f>
        <v/>
      </c>
      <c r="R57" s="68">
        <f>IF(OR($Q57=0,$E57=0),999,YEAR($Q57)-IF(MONTH($Q57)&lt;$B$2,1,0)-$O57)</f>
        <v/>
      </c>
      <c r="S57" s="68">
        <f>IF($R57=999,0,MOD(MONTH($Q57)-$B$2,12)+1-IF($R57=0,12-$P57,0))</f>
        <v/>
      </c>
      <c r="T57" s="68">
        <f>IF($B57=0,0,IF($C57&lt;=0,1,IF($D57=0,2,IF($F57=0,3,IF(AND($F57&lt;=2,$H57=0),4,IF(AND($F57&lt;=2,$D57&lt;DATE(2007,4,1)),5,IF($E57&lt;$D57,6,IF(AND($Q57&gt;0,$Q57&lt;$E57),7,IF($N57=0,8,IF($B$3=0,9,0))))))))))</f>
        <v/>
      </c>
      <c r="U57" s="68">
        <f>IF(AND($B57=1,$T57=0),1,0)</f>
        <v/>
      </c>
      <c r="V57" s="68">
        <f>$B$3-$O57</f>
        <v/>
      </c>
      <c r="W57" s="68">
        <f>IF(AND($U57=1,$V57&gt;=0),1,0)</f>
        <v/>
      </c>
      <c r="X57" s="68">
        <f>IF($W57=0,0,IF($V57=0,$C57,INDEX($AS57:$EP57,MIN($V57,102))))</f>
        <v/>
      </c>
      <c r="Y57" s="68">
        <f>IF($W57=0,0,INDEX($AS57:$EP57,MIN($V57,101)+1))</f>
        <v/>
      </c>
      <c r="Z57" s="68">
        <f>$X57-$Y57</f>
        <v/>
      </c>
      <c r="AA57" s="68">
        <f>IF(AND($W57=1,$F57=2,$V57&gt;=1),INDEX($ER57:$IN57,MIN($V57,101)),0)</f>
        <v/>
      </c>
      <c r="AB57" s="68">
        <f>IF(OR($W57=0,$F57&gt;2,$Z57=0),0,IF($V57=0,IF($R57=0,$S57,$P57),IF($V57=$R57,$S57,12)))</f>
        <v/>
      </c>
      <c r="AC57" s="68">
        <f>IF($W57=0,0,INT(ROUND($Z57*$N57,6)+$B$4))</f>
        <v/>
      </c>
      <c r="AD57" s="68">
        <f>IF(AND($W57=1,$F57&lt;=2,$V57=$R57),1,0)</f>
        <v/>
      </c>
      <c r="AE57" s="68">
        <f>IF(AND($W57=1,$F57&lt;=2,$V57&gt;$R57),1,0)</f>
        <v/>
      </c>
      <c r="AF57" s="68">
        <f>IF(AND($W57=1,$AE57=0,OR($Z57&gt;0,$AD57=1)),1,0)</f>
        <v/>
      </c>
      <c r="AG57" s="68">
        <f>IF($AF57=1,SUM($AF$6:$AF57),0)</f>
        <v/>
      </c>
      <c r="AH57" s="68">
        <f>IF($T57=0,"",CHOOSE($T57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57" s="68">
        <f>IF(AND($F57=2,OR('固定資産台帳'!$C57="建物",'固定資産台帳'!$C57="無形固定資産",AND(OR('固定資産台帳'!$C57="建物附属設備",'固定資産台帳'!$C57="構築物"),$D57&gt;=DATE(2016,4,1)))),"この資産は定額法だけです（定率法は使えません）。","")&amp;IF(AND($F57=3,$C57&gt;=200000),"一括償却は20万円未満の資産だけです。","")&amp;IF(AND($F57=3,$B$1=0,$C57&lt;100000),"10万円未満は一括償却にせず、全額をその年の経費にします。","")&amp;IF(AND($F57=4,$C57&lt;100000),"10万円未満は少額特例ではなく、全額をその年の経費にします。","")&amp;IF(AND($F57=4,$D57&lt;DATE(2026,4,1),$C57&gt;=300000),"2026年3月31日までの取得で少額特例が使えるのは30万円未満です。","")&amp;IF(AND($F57=4,$D57&gt;=DATE(2026,4,1),$C57&gt;=400000),"少額特例は40万円未満の資産だけです。","")&amp;IF(AND($F57=4,OR($D57&lt;DATE(2006,4,1),$D57&gt;DATE(2029,3,31))),"少額特例は2006年4月1日〜2029年3月31日に取得した資産だけです。","")&amp;IF(AND($F57=2,$G57=250,$D57&gt;DATE(2012,12,31)),"250%定率法は2012年12月31日までの取得だけです。","")</f>
        <v/>
      </c>
      <c r="AJ57" s="68">
        <f>IF(AND($F57=2,'固定資産台帳'!$H57="定率法（200%）",$D57&lt;DATE(2012,4,1)),"2012年3月31日までの取得に200%を使うのは、経過措置の届出をした場合です。","")&amp;IF(AND($F57=2,'固定資産台帳'!$H57="定率法（250%）",$D57&gt;=DATE(2012,4,1),$D57&lt;=DATE(2012,12,31)),"2012年4〜12月の取得に250%を使うのは、経過措置を選んだ場合です。","")</f>
        <v/>
      </c>
      <c r="AK57" s="68">
        <f>IF($U57=0,"",IF($V57&lt;0,"表示している年より後に使い始める資産です。",IF($AE57=1,"売却・除却済みです。",IF($AD57=1,"この年に売却・除却。期末の帳簿価額 "&amp;TEXT($Y57,"#,##0")&amp;"円を帳簿から外します。",IF($F57=4,IF($V57=0,"少額特例：この年に全額を経費にします。","少額特例で経費にした資産です。"),IF($F57=3,IF($V57&gt;2,"一括償却は終わっています。","一括償却 "&amp;($V57+1)&amp;"年目（3年のうち）。"),IF($Z57=0,"償却済み（帳簿価額 "&amp;TEXT($Y57,"#,##0")&amp;"円）。",IF($AA57&gt;0,"改定償却率で計算（改定取得価額 "&amp;TEXT($AA57,"#,##0")&amp;"円）。",IF($V57=0,"この年に使い始め（"&amp;$AB57&amp;"か月分）。","")))))))))</f>
        <v/>
      </c>
      <c r="AL57" s="68">
        <f>IF(AND($U57=1,$F57=4,$V57=0),$C57,0)</f>
        <v/>
      </c>
      <c r="AM57" s="68">
        <f>IF($F57=2,INT(ROUND($M57,6)+$B$4),0)</f>
        <v/>
      </c>
      <c r="AN57" s="68">
        <f>IF($W57=0,0,IF($F57=2,IF($AA57&gt;0,$AA57,$X57),$C57))</f>
        <v/>
      </c>
      <c r="AO57" s="68">
        <f>IF($W57=0,"",IF($F57=3,"1/3",IF($F57=4,"―",IF($AA57&gt;0,$K57,$J57))))</f>
        <v/>
      </c>
      <c r="AP57" s="68" t="n"/>
      <c r="AQ57" s="68" t="n"/>
      <c r="AR57" s="68" t="n"/>
      <c r="AS57" s="68">
        <f>IF($U57=0,0,IF($F57=4,0,IF($F57=3,MAX($C57-INT(ROUND($C57/3,6)+$B$4),0),$C57-MIN(INT(ROUND($C57*$J57*IF($R57=0,$S57,$P57)/12,6)+$B$4),MAX($C57-$I57,0)))))</f>
        <v/>
      </c>
      <c r="AT57" s="68">
        <f>IF($U57=0,0,IF($F57=4,0,IF($F57=3,AS57-MIN(INT(ROUND($C57/3,6)+$B$4),AS57),IF(OR(1&gt;$R57,AS57&lt;=$I57),AS57,AS57-MIN(INT(ROUND(IF($F57=1,$C57*$J57,IF(ER57&gt;0,ER57*$K57,AS57*$J57))*IF(1=$R57,$S57,12)/12,6)+$B$4),AS57-$I57)))))</f>
        <v/>
      </c>
      <c r="AU57" s="68">
        <f>IF($U57=0,0,IF($F57=4,0,IF($F57=3,0,IF(OR(2&gt;$R57,AT57&lt;=$I57),AT57,AT57-MIN(INT(ROUND(IF($F57=1,$C57*$J57,IF(ES57&gt;0,ES57*$K57,AT57*$J57))*IF(2=$R57,$S57,12)/12,6)+$B$4),AT57-$I57)))))</f>
        <v/>
      </c>
      <c r="AV57" s="68">
        <f>IF($U57=0,0,IF($F57=4,0,IF($F57=3,0,IF(OR(3&gt;$R57,AU57&lt;=$I57),AU57,AU57-MIN(INT(ROUND(IF($F57=1,$C57*$J57,IF(ET57&gt;0,ET57*$K57,AU57*$J57))*IF(3=$R57,$S57,12)/12,6)+$B$4),AU57-$I57)))))</f>
        <v/>
      </c>
      <c r="AW57" s="68">
        <f>IF($U57=0,0,IF($F57=4,0,IF($F57=3,0,IF(OR(4&gt;$R57,AV57&lt;=$I57),AV57,AV57-MIN(INT(ROUND(IF($F57=1,$C57*$J57,IF(EU57&gt;0,EU57*$K57,AV57*$J57))*IF(4=$R57,$S57,12)/12,6)+$B$4),AV57-$I57)))))</f>
        <v/>
      </c>
      <c r="AX57" s="68">
        <f>IF($U57=0,0,IF($F57=4,0,IF($F57=3,0,IF(OR(5&gt;$R57,AW57&lt;=$I57),AW57,AW57-MIN(INT(ROUND(IF($F57=1,$C57*$J57,IF(EV57&gt;0,EV57*$K57,AW57*$J57))*IF(5=$R57,$S57,12)/12,6)+$B$4),AW57-$I57)))))</f>
        <v/>
      </c>
      <c r="AY57" s="68">
        <f>IF($U57=0,0,IF($F57=4,0,IF($F57=3,0,IF(OR(6&gt;$R57,AX57&lt;=$I57),AX57,AX57-MIN(INT(ROUND(IF($F57=1,$C57*$J57,IF(EW57&gt;0,EW57*$K57,AX57*$J57))*IF(6=$R57,$S57,12)/12,6)+$B$4),AX57-$I57)))))</f>
        <v/>
      </c>
      <c r="AZ57" s="68">
        <f>IF($U57=0,0,IF($F57=4,0,IF($F57=3,0,IF(OR(7&gt;$R57,AY57&lt;=$I57),AY57,AY57-MIN(INT(ROUND(IF($F57=1,$C57*$J57,IF(EX57&gt;0,EX57*$K57,AY57*$J57))*IF(7=$R57,$S57,12)/12,6)+$B$4),AY57-$I57)))))</f>
        <v/>
      </c>
      <c r="BA57" s="68">
        <f>IF($U57=0,0,IF($F57=4,0,IF($F57=3,0,IF(OR(8&gt;$R57,AZ57&lt;=$I57),AZ57,AZ57-MIN(INT(ROUND(IF($F57=1,$C57*$J57,IF(EY57&gt;0,EY57*$K57,AZ57*$J57))*IF(8=$R57,$S57,12)/12,6)+$B$4),AZ57-$I57)))))</f>
        <v/>
      </c>
      <c r="BB57" s="68">
        <f>IF($U57=0,0,IF($F57=4,0,IF($F57=3,0,IF(OR(9&gt;$R57,BA57&lt;=$I57),BA57,BA57-MIN(INT(ROUND(IF($F57=1,$C57*$J57,IF(EZ57&gt;0,EZ57*$K57,BA57*$J57))*IF(9=$R57,$S57,12)/12,6)+$B$4),BA57-$I57)))))</f>
        <v/>
      </c>
      <c r="BC57" s="68">
        <f>IF($U57=0,0,IF($F57=4,0,IF($F57=3,0,IF(OR(10&gt;$R57,BB57&lt;=$I57),BB57,BB57-MIN(INT(ROUND(IF($F57=1,$C57*$J57,IF(FA57&gt;0,FA57*$K57,BB57*$J57))*IF(10=$R57,$S57,12)/12,6)+$B$4),BB57-$I57)))))</f>
        <v/>
      </c>
      <c r="BD57" s="68">
        <f>IF($U57=0,0,IF($F57=4,0,IF($F57=3,0,IF(OR(11&gt;$R57,BC57&lt;=$I57),BC57,BC57-MIN(INT(ROUND(IF($F57=1,$C57*$J57,IF(FB57&gt;0,FB57*$K57,BC57*$J57))*IF(11=$R57,$S57,12)/12,6)+$B$4),BC57-$I57)))))</f>
        <v/>
      </c>
      <c r="BE57" s="68">
        <f>IF($U57=0,0,IF($F57=4,0,IF($F57=3,0,IF(OR(12&gt;$R57,BD57&lt;=$I57),BD57,BD57-MIN(INT(ROUND(IF($F57=1,$C57*$J57,IF(FC57&gt;0,FC57*$K57,BD57*$J57))*IF(12=$R57,$S57,12)/12,6)+$B$4),BD57-$I57)))))</f>
        <v/>
      </c>
      <c r="BF57" s="68">
        <f>IF($U57=0,0,IF($F57=4,0,IF($F57=3,0,IF(OR(13&gt;$R57,BE57&lt;=$I57),BE57,BE57-MIN(INT(ROUND(IF($F57=1,$C57*$J57,IF(FD57&gt;0,FD57*$K57,BE57*$J57))*IF(13=$R57,$S57,12)/12,6)+$B$4),BE57-$I57)))))</f>
        <v/>
      </c>
      <c r="BG57" s="68">
        <f>IF($U57=0,0,IF($F57=4,0,IF($F57=3,0,IF(OR(14&gt;$R57,BF57&lt;=$I57),BF57,BF57-MIN(INT(ROUND(IF($F57=1,$C57*$J57,IF(FE57&gt;0,FE57*$K57,BF57*$J57))*IF(14=$R57,$S57,12)/12,6)+$B$4),BF57-$I57)))))</f>
        <v/>
      </c>
      <c r="BH57" s="68">
        <f>IF($U57=0,0,IF($F57=4,0,IF($F57=3,0,IF(OR(15&gt;$R57,BG57&lt;=$I57),BG57,BG57-MIN(INT(ROUND(IF($F57=1,$C57*$J57,IF(FF57&gt;0,FF57*$K57,BG57*$J57))*IF(15=$R57,$S57,12)/12,6)+$B$4),BG57-$I57)))))</f>
        <v/>
      </c>
      <c r="BI57" s="68">
        <f>IF($U57=0,0,IF($F57=4,0,IF($F57=3,0,IF(OR(16&gt;$R57,BH57&lt;=$I57),BH57,BH57-MIN(INT(ROUND(IF($F57=1,$C57*$J57,IF(FG57&gt;0,FG57*$K57,BH57*$J57))*IF(16=$R57,$S57,12)/12,6)+$B$4),BH57-$I57)))))</f>
        <v/>
      </c>
      <c r="BJ57" s="68">
        <f>IF($U57=0,0,IF($F57=4,0,IF($F57=3,0,IF(OR(17&gt;$R57,BI57&lt;=$I57),BI57,BI57-MIN(INT(ROUND(IF($F57=1,$C57*$J57,IF(FH57&gt;0,FH57*$K57,BI57*$J57))*IF(17=$R57,$S57,12)/12,6)+$B$4),BI57-$I57)))))</f>
        <v/>
      </c>
      <c r="BK57" s="68">
        <f>IF($U57=0,0,IF($F57=4,0,IF($F57=3,0,IF(OR(18&gt;$R57,BJ57&lt;=$I57),BJ57,BJ57-MIN(INT(ROUND(IF($F57=1,$C57*$J57,IF(FI57&gt;0,FI57*$K57,BJ57*$J57))*IF(18=$R57,$S57,12)/12,6)+$B$4),BJ57-$I57)))))</f>
        <v/>
      </c>
      <c r="BL57" s="68">
        <f>IF($U57=0,0,IF($F57=4,0,IF($F57=3,0,IF(OR(19&gt;$R57,BK57&lt;=$I57),BK57,BK57-MIN(INT(ROUND(IF($F57=1,$C57*$J57,IF(FJ57&gt;0,FJ57*$K57,BK57*$J57))*IF(19=$R57,$S57,12)/12,6)+$B$4),BK57-$I57)))))</f>
        <v/>
      </c>
      <c r="BM57" s="68">
        <f>IF($U57=0,0,IF($F57=4,0,IF($F57=3,0,IF(OR(20&gt;$R57,BL57&lt;=$I57),BL57,BL57-MIN(INT(ROUND(IF($F57=1,$C57*$J57,IF(FK57&gt;0,FK57*$K57,BL57*$J57))*IF(20=$R57,$S57,12)/12,6)+$B$4),BL57-$I57)))))</f>
        <v/>
      </c>
      <c r="BN57" s="68">
        <f>IF($U57=0,0,IF($F57=4,0,IF($F57=3,0,IF(OR(21&gt;$R57,BM57&lt;=$I57),BM57,BM57-MIN(INT(ROUND(IF($F57=1,$C57*$J57,IF(FL57&gt;0,FL57*$K57,BM57*$J57))*IF(21=$R57,$S57,12)/12,6)+$B$4),BM57-$I57)))))</f>
        <v/>
      </c>
      <c r="BO57" s="68">
        <f>IF($U57=0,0,IF($F57=4,0,IF($F57=3,0,IF(OR(22&gt;$R57,BN57&lt;=$I57),BN57,BN57-MIN(INT(ROUND(IF($F57=1,$C57*$J57,IF(FM57&gt;0,FM57*$K57,BN57*$J57))*IF(22=$R57,$S57,12)/12,6)+$B$4),BN57-$I57)))))</f>
        <v/>
      </c>
      <c r="BP57" s="68">
        <f>IF($U57=0,0,IF($F57=4,0,IF($F57=3,0,IF(OR(23&gt;$R57,BO57&lt;=$I57),BO57,BO57-MIN(INT(ROUND(IF($F57=1,$C57*$J57,IF(FN57&gt;0,FN57*$K57,BO57*$J57))*IF(23=$R57,$S57,12)/12,6)+$B$4),BO57-$I57)))))</f>
        <v/>
      </c>
      <c r="BQ57" s="68">
        <f>IF($U57=0,0,IF($F57=4,0,IF($F57=3,0,IF(OR(24&gt;$R57,BP57&lt;=$I57),BP57,BP57-MIN(INT(ROUND(IF($F57=1,$C57*$J57,IF(FO57&gt;0,FO57*$K57,BP57*$J57))*IF(24=$R57,$S57,12)/12,6)+$B$4),BP57-$I57)))))</f>
        <v/>
      </c>
      <c r="BR57" s="68">
        <f>IF($U57=0,0,IF($F57=4,0,IF($F57=3,0,IF(OR(25&gt;$R57,BQ57&lt;=$I57),BQ57,BQ57-MIN(INT(ROUND(IF($F57=1,$C57*$J57,IF(FP57&gt;0,FP57*$K57,BQ57*$J57))*IF(25=$R57,$S57,12)/12,6)+$B$4),BQ57-$I57)))))</f>
        <v/>
      </c>
      <c r="BS57" s="68">
        <f>IF($U57=0,0,IF($F57=4,0,IF($F57=3,0,IF(OR(26&gt;$R57,BR57&lt;=$I57),BR57,BR57-MIN(INT(ROUND(IF($F57=1,$C57*$J57,IF(FQ57&gt;0,FQ57*$K57,BR57*$J57))*IF(26=$R57,$S57,12)/12,6)+$B$4),BR57-$I57)))))</f>
        <v/>
      </c>
      <c r="BT57" s="68">
        <f>IF($U57=0,0,IF($F57=4,0,IF($F57=3,0,IF(OR(27&gt;$R57,BS57&lt;=$I57),BS57,BS57-MIN(INT(ROUND(IF($F57=1,$C57*$J57,IF(FR57&gt;0,FR57*$K57,BS57*$J57))*IF(27=$R57,$S57,12)/12,6)+$B$4),BS57-$I57)))))</f>
        <v/>
      </c>
      <c r="BU57" s="68">
        <f>IF($U57=0,0,IF($F57=4,0,IF($F57=3,0,IF(OR(28&gt;$R57,BT57&lt;=$I57),BT57,BT57-MIN(INT(ROUND(IF($F57=1,$C57*$J57,IF(FS57&gt;0,FS57*$K57,BT57*$J57))*IF(28=$R57,$S57,12)/12,6)+$B$4),BT57-$I57)))))</f>
        <v/>
      </c>
      <c r="BV57" s="68">
        <f>IF($U57=0,0,IF($F57=4,0,IF($F57=3,0,IF(OR(29&gt;$R57,BU57&lt;=$I57),BU57,BU57-MIN(INT(ROUND(IF($F57=1,$C57*$J57,IF(FT57&gt;0,FT57*$K57,BU57*$J57))*IF(29=$R57,$S57,12)/12,6)+$B$4),BU57-$I57)))))</f>
        <v/>
      </c>
      <c r="BW57" s="68">
        <f>IF($U57=0,0,IF($F57=4,0,IF($F57=3,0,IF(OR(30&gt;$R57,BV57&lt;=$I57),BV57,BV57-MIN(INT(ROUND(IF($F57=1,$C57*$J57,IF(FU57&gt;0,FU57*$K57,BV57*$J57))*IF(30=$R57,$S57,12)/12,6)+$B$4),BV57-$I57)))))</f>
        <v/>
      </c>
      <c r="BX57" s="68">
        <f>IF($U57=0,0,IF($F57=4,0,IF($F57=3,0,IF(OR(31&gt;$R57,BW57&lt;=$I57),BW57,BW57-MIN(INT(ROUND(IF($F57=1,$C57*$J57,IF(FV57&gt;0,FV57*$K57,BW57*$J57))*IF(31=$R57,$S57,12)/12,6)+$B$4),BW57-$I57)))))</f>
        <v/>
      </c>
      <c r="BY57" s="68">
        <f>IF($U57=0,0,IF($F57=4,0,IF($F57=3,0,IF(OR(32&gt;$R57,BX57&lt;=$I57),BX57,BX57-MIN(INT(ROUND(IF($F57=1,$C57*$J57,IF(FW57&gt;0,FW57*$K57,BX57*$J57))*IF(32=$R57,$S57,12)/12,6)+$B$4),BX57-$I57)))))</f>
        <v/>
      </c>
      <c r="BZ57" s="68">
        <f>IF($U57=0,0,IF($F57=4,0,IF($F57=3,0,IF(OR(33&gt;$R57,BY57&lt;=$I57),BY57,BY57-MIN(INT(ROUND(IF($F57=1,$C57*$J57,IF(FX57&gt;0,FX57*$K57,BY57*$J57))*IF(33=$R57,$S57,12)/12,6)+$B$4),BY57-$I57)))))</f>
        <v/>
      </c>
      <c r="CA57" s="68">
        <f>IF($U57=0,0,IF($F57=4,0,IF($F57=3,0,IF(OR(34&gt;$R57,BZ57&lt;=$I57),BZ57,BZ57-MIN(INT(ROUND(IF($F57=1,$C57*$J57,IF(FY57&gt;0,FY57*$K57,BZ57*$J57))*IF(34=$R57,$S57,12)/12,6)+$B$4),BZ57-$I57)))))</f>
        <v/>
      </c>
      <c r="CB57" s="68">
        <f>IF($U57=0,0,IF($F57=4,0,IF($F57=3,0,IF(OR(35&gt;$R57,CA57&lt;=$I57),CA57,CA57-MIN(INT(ROUND(IF($F57=1,$C57*$J57,IF(FZ57&gt;0,FZ57*$K57,CA57*$J57))*IF(35=$R57,$S57,12)/12,6)+$B$4),CA57-$I57)))))</f>
        <v/>
      </c>
      <c r="CC57" s="68">
        <f>IF($U57=0,0,IF($F57=4,0,IF($F57=3,0,IF(OR(36&gt;$R57,CB57&lt;=$I57),CB57,CB57-MIN(INT(ROUND(IF($F57=1,$C57*$J57,IF(GA57&gt;0,GA57*$K57,CB57*$J57))*IF(36=$R57,$S57,12)/12,6)+$B$4),CB57-$I57)))))</f>
        <v/>
      </c>
      <c r="CD57" s="68">
        <f>IF($U57=0,0,IF($F57=4,0,IF($F57=3,0,IF(OR(37&gt;$R57,CC57&lt;=$I57),CC57,CC57-MIN(INT(ROUND(IF($F57=1,$C57*$J57,IF(GB57&gt;0,GB57*$K57,CC57*$J57))*IF(37=$R57,$S57,12)/12,6)+$B$4),CC57-$I57)))))</f>
        <v/>
      </c>
      <c r="CE57" s="68">
        <f>IF($U57=0,0,IF($F57=4,0,IF($F57=3,0,IF(OR(38&gt;$R57,CD57&lt;=$I57),CD57,CD57-MIN(INT(ROUND(IF($F57=1,$C57*$J57,IF(GC57&gt;0,GC57*$K57,CD57*$J57))*IF(38=$R57,$S57,12)/12,6)+$B$4),CD57-$I57)))))</f>
        <v/>
      </c>
      <c r="CF57" s="68">
        <f>IF($U57=0,0,IF($F57=4,0,IF($F57=3,0,IF(OR(39&gt;$R57,CE57&lt;=$I57),CE57,CE57-MIN(INT(ROUND(IF($F57=1,$C57*$J57,IF(GD57&gt;0,GD57*$K57,CE57*$J57))*IF(39=$R57,$S57,12)/12,6)+$B$4),CE57-$I57)))))</f>
        <v/>
      </c>
      <c r="CG57" s="68">
        <f>IF($U57=0,0,IF($F57=4,0,IF($F57=3,0,IF(OR(40&gt;$R57,CF57&lt;=$I57),CF57,CF57-MIN(INT(ROUND(IF($F57=1,$C57*$J57,IF(GE57&gt;0,GE57*$K57,CF57*$J57))*IF(40=$R57,$S57,12)/12,6)+$B$4),CF57-$I57)))))</f>
        <v/>
      </c>
      <c r="CH57" s="68">
        <f>IF($U57=0,0,IF($F57=4,0,IF($F57=3,0,IF(OR(41&gt;$R57,CG57&lt;=$I57),CG57,CG57-MIN(INT(ROUND(IF($F57=1,$C57*$J57,IF(GF57&gt;0,GF57*$K57,CG57*$J57))*IF(41=$R57,$S57,12)/12,6)+$B$4),CG57-$I57)))))</f>
        <v/>
      </c>
      <c r="CI57" s="68">
        <f>IF($U57=0,0,IF($F57=4,0,IF($F57=3,0,IF(OR(42&gt;$R57,CH57&lt;=$I57),CH57,CH57-MIN(INT(ROUND(IF($F57=1,$C57*$J57,IF(GG57&gt;0,GG57*$K57,CH57*$J57))*IF(42=$R57,$S57,12)/12,6)+$B$4),CH57-$I57)))))</f>
        <v/>
      </c>
      <c r="CJ57" s="68">
        <f>IF($U57=0,0,IF($F57=4,0,IF($F57=3,0,IF(OR(43&gt;$R57,CI57&lt;=$I57),CI57,CI57-MIN(INT(ROUND(IF($F57=1,$C57*$J57,IF(GH57&gt;0,GH57*$K57,CI57*$J57))*IF(43=$R57,$S57,12)/12,6)+$B$4),CI57-$I57)))))</f>
        <v/>
      </c>
      <c r="CK57" s="68">
        <f>IF($U57=0,0,IF($F57=4,0,IF($F57=3,0,IF(OR(44&gt;$R57,CJ57&lt;=$I57),CJ57,CJ57-MIN(INT(ROUND(IF($F57=1,$C57*$J57,IF(GI57&gt;0,GI57*$K57,CJ57*$J57))*IF(44=$R57,$S57,12)/12,6)+$B$4),CJ57-$I57)))))</f>
        <v/>
      </c>
      <c r="CL57" s="68">
        <f>IF($U57=0,0,IF($F57=4,0,IF($F57=3,0,IF(OR(45&gt;$R57,CK57&lt;=$I57),CK57,CK57-MIN(INT(ROUND(IF($F57=1,$C57*$J57,IF(GJ57&gt;0,GJ57*$K57,CK57*$J57))*IF(45=$R57,$S57,12)/12,6)+$B$4),CK57-$I57)))))</f>
        <v/>
      </c>
      <c r="CM57" s="68">
        <f>IF($U57=0,0,IF($F57=4,0,IF($F57=3,0,IF(OR(46&gt;$R57,CL57&lt;=$I57),CL57,CL57-MIN(INT(ROUND(IF($F57=1,$C57*$J57,IF(GK57&gt;0,GK57*$K57,CL57*$J57))*IF(46=$R57,$S57,12)/12,6)+$B$4),CL57-$I57)))))</f>
        <v/>
      </c>
      <c r="CN57" s="68">
        <f>IF($U57=0,0,IF($F57=4,0,IF($F57=3,0,IF(OR(47&gt;$R57,CM57&lt;=$I57),CM57,CM57-MIN(INT(ROUND(IF($F57=1,$C57*$J57,IF(GL57&gt;0,GL57*$K57,CM57*$J57))*IF(47=$R57,$S57,12)/12,6)+$B$4),CM57-$I57)))))</f>
        <v/>
      </c>
      <c r="CO57" s="68">
        <f>IF($U57=0,0,IF($F57=4,0,IF($F57=3,0,IF(OR(48&gt;$R57,CN57&lt;=$I57),CN57,CN57-MIN(INT(ROUND(IF($F57=1,$C57*$J57,IF(GM57&gt;0,GM57*$K57,CN57*$J57))*IF(48=$R57,$S57,12)/12,6)+$B$4),CN57-$I57)))))</f>
        <v/>
      </c>
      <c r="CP57" s="68">
        <f>IF($U57=0,0,IF($F57=4,0,IF($F57=3,0,IF(OR(49&gt;$R57,CO57&lt;=$I57),CO57,CO57-MIN(INT(ROUND(IF($F57=1,$C57*$J57,IF(GN57&gt;0,GN57*$K57,CO57*$J57))*IF(49=$R57,$S57,12)/12,6)+$B$4),CO57-$I57)))))</f>
        <v/>
      </c>
      <c r="CQ57" s="68">
        <f>IF($U57=0,0,IF($F57=4,0,IF($F57=3,0,IF(OR(50&gt;$R57,CP57&lt;=$I57),CP57,CP57-MIN(INT(ROUND(IF($F57=1,$C57*$J57,IF(GO57&gt;0,GO57*$K57,CP57*$J57))*IF(50=$R57,$S57,12)/12,6)+$B$4),CP57-$I57)))))</f>
        <v/>
      </c>
      <c r="CR57" s="68">
        <f>IF($U57=0,0,IF($F57=4,0,IF($F57=3,0,IF(OR(51&gt;$R57,CQ57&lt;=$I57),CQ57,CQ57-MIN(INT(ROUND(IF($F57=1,$C57*$J57,IF(GP57&gt;0,GP57*$K57,CQ57*$J57))*IF(51=$R57,$S57,12)/12,6)+$B$4),CQ57-$I57)))))</f>
        <v/>
      </c>
      <c r="CS57" s="68">
        <f>IF($U57=0,0,IF($F57=4,0,IF($F57=3,0,IF(OR(52&gt;$R57,CR57&lt;=$I57),CR57,CR57-MIN(INT(ROUND(IF($F57=1,$C57*$J57,IF(GQ57&gt;0,GQ57*$K57,CR57*$J57))*IF(52=$R57,$S57,12)/12,6)+$B$4),CR57-$I57)))))</f>
        <v/>
      </c>
      <c r="CT57" s="68">
        <f>IF($U57=0,0,IF($F57=4,0,IF($F57=3,0,IF(OR(53&gt;$R57,CS57&lt;=$I57),CS57,CS57-MIN(INT(ROUND(IF($F57=1,$C57*$J57,IF(GR57&gt;0,GR57*$K57,CS57*$J57))*IF(53=$R57,$S57,12)/12,6)+$B$4),CS57-$I57)))))</f>
        <v/>
      </c>
      <c r="CU57" s="68">
        <f>IF($U57=0,0,IF($F57=4,0,IF($F57=3,0,IF(OR(54&gt;$R57,CT57&lt;=$I57),CT57,CT57-MIN(INT(ROUND(IF($F57=1,$C57*$J57,IF(GS57&gt;0,GS57*$K57,CT57*$J57))*IF(54=$R57,$S57,12)/12,6)+$B$4),CT57-$I57)))))</f>
        <v/>
      </c>
      <c r="CV57" s="68">
        <f>IF($U57=0,0,IF($F57=4,0,IF($F57=3,0,IF(OR(55&gt;$R57,CU57&lt;=$I57),CU57,CU57-MIN(INT(ROUND(IF($F57=1,$C57*$J57,IF(GT57&gt;0,GT57*$K57,CU57*$J57))*IF(55=$R57,$S57,12)/12,6)+$B$4),CU57-$I57)))))</f>
        <v/>
      </c>
      <c r="CW57" s="68">
        <f>IF($U57=0,0,IF($F57=4,0,IF($F57=3,0,IF(OR(56&gt;$R57,CV57&lt;=$I57),CV57,CV57-MIN(INT(ROUND(IF($F57=1,$C57*$J57,IF(GU57&gt;0,GU57*$K57,CV57*$J57))*IF(56=$R57,$S57,12)/12,6)+$B$4),CV57-$I57)))))</f>
        <v/>
      </c>
      <c r="CX57" s="68">
        <f>IF($U57=0,0,IF($F57=4,0,IF($F57=3,0,IF(OR(57&gt;$R57,CW57&lt;=$I57),CW57,CW57-MIN(INT(ROUND(IF($F57=1,$C57*$J57,IF(GV57&gt;0,GV57*$K57,CW57*$J57))*IF(57=$R57,$S57,12)/12,6)+$B$4),CW57-$I57)))))</f>
        <v/>
      </c>
      <c r="CY57" s="68">
        <f>IF($U57=0,0,IF($F57=4,0,IF($F57=3,0,IF(OR(58&gt;$R57,CX57&lt;=$I57),CX57,CX57-MIN(INT(ROUND(IF($F57=1,$C57*$J57,IF(GW57&gt;0,GW57*$K57,CX57*$J57))*IF(58=$R57,$S57,12)/12,6)+$B$4),CX57-$I57)))))</f>
        <v/>
      </c>
      <c r="CZ57" s="68">
        <f>IF($U57=0,0,IF($F57=4,0,IF($F57=3,0,IF(OR(59&gt;$R57,CY57&lt;=$I57),CY57,CY57-MIN(INT(ROUND(IF($F57=1,$C57*$J57,IF(GX57&gt;0,GX57*$K57,CY57*$J57))*IF(59=$R57,$S57,12)/12,6)+$B$4),CY57-$I57)))))</f>
        <v/>
      </c>
      <c r="DA57" s="68">
        <f>IF($U57=0,0,IF($F57=4,0,IF($F57=3,0,IF(OR(60&gt;$R57,CZ57&lt;=$I57),CZ57,CZ57-MIN(INT(ROUND(IF($F57=1,$C57*$J57,IF(GY57&gt;0,GY57*$K57,CZ57*$J57))*IF(60=$R57,$S57,12)/12,6)+$B$4),CZ57-$I57)))))</f>
        <v/>
      </c>
      <c r="DB57" s="68">
        <f>IF($U57=0,0,IF($F57=4,0,IF($F57=3,0,IF(OR(61&gt;$R57,DA57&lt;=$I57),DA57,DA57-MIN(INT(ROUND(IF($F57=1,$C57*$J57,IF(GZ57&gt;0,GZ57*$K57,DA57*$J57))*IF(61=$R57,$S57,12)/12,6)+$B$4),DA57-$I57)))))</f>
        <v/>
      </c>
      <c r="DC57" s="68">
        <f>IF($U57=0,0,IF($F57=4,0,IF($F57=3,0,IF(OR(62&gt;$R57,DB57&lt;=$I57),DB57,DB57-MIN(INT(ROUND(IF($F57=1,$C57*$J57,IF(HA57&gt;0,HA57*$K57,DB57*$J57))*IF(62=$R57,$S57,12)/12,6)+$B$4),DB57-$I57)))))</f>
        <v/>
      </c>
      <c r="DD57" s="68">
        <f>IF($U57=0,0,IF($F57=4,0,IF($F57=3,0,IF(OR(63&gt;$R57,DC57&lt;=$I57),DC57,DC57-MIN(INT(ROUND(IF($F57=1,$C57*$J57,IF(HB57&gt;0,HB57*$K57,DC57*$J57))*IF(63=$R57,$S57,12)/12,6)+$B$4),DC57-$I57)))))</f>
        <v/>
      </c>
      <c r="DE57" s="68">
        <f>IF($U57=0,0,IF($F57=4,0,IF($F57=3,0,IF(OR(64&gt;$R57,DD57&lt;=$I57),DD57,DD57-MIN(INT(ROUND(IF($F57=1,$C57*$J57,IF(HC57&gt;0,HC57*$K57,DD57*$J57))*IF(64=$R57,$S57,12)/12,6)+$B$4),DD57-$I57)))))</f>
        <v/>
      </c>
      <c r="DF57" s="68">
        <f>IF($U57=0,0,IF($F57=4,0,IF($F57=3,0,IF(OR(65&gt;$R57,DE57&lt;=$I57),DE57,DE57-MIN(INT(ROUND(IF($F57=1,$C57*$J57,IF(HD57&gt;0,HD57*$K57,DE57*$J57))*IF(65=$R57,$S57,12)/12,6)+$B$4),DE57-$I57)))))</f>
        <v/>
      </c>
      <c r="DG57" s="68">
        <f>IF($U57=0,0,IF($F57=4,0,IF($F57=3,0,IF(OR(66&gt;$R57,DF57&lt;=$I57),DF57,DF57-MIN(INT(ROUND(IF($F57=1,$C57*$J57,IF(HE57&gt;0,HE57*$K57,DF57*$J57))*IF(66=$R57,$S57,12)/12,6)+$B$4),DF57-$I57)))))</f>
        <v/>
      </c>
      <c r="DH57" s="68">
        <f>IF($U57=0,0,IF($F57=4,0,IF($F57=3,0,IF(OR(67&gt;$R57,DG57&lt;=$I57),DG57,DG57-MIN(INT(ROUND(IF($F57=1,$C57*$J57,IF(HF57&gt;0,HF57*$K57,DG57*$J57))*IF(67=$R57,$S57,12)/12,6)+$B$4),DG57-$I57)))))</f>
        <v/>
      </c>
      <c r="DI57" s="68">
        <f>IF($U57=0,0,IF($F57=4,0,IF($F57=3,0,IF(OR(68&gt;$R57,DH57&lt;=$I57),DH57,DH57-MIN(INT(ROUND(IF($F57=1,$C57*$J57,IF(HG57&gt;0,HG57*$K57,DH57*$J57))*IF(68=$R57,$S57,12)/12,6)+$B$4),DH57-$I57)))))</f>
        <v/>
      </c>
      <c r="DJ57" s="68">
        <f>IF($U57=0,0,IF($F57=4,0,IF($F57=3,0,IF(OR(69&gt;$R57,DI57&lt;=$I57),DI57,DI57-MIN(INT(ROUND(IF($F57=1,$C57*$J57,IF(HH57&gt;0,HH57*$K57,DI57*$J57))*IF(69=$R57,$S57,12)/12,6)+$B$4),DI57-$I57)))))</f>
        <v/>
      </c>
      <c r="DK57" s="68">
        <f>IF($U57=0,0,IF($F57=4,0,IF($F57=3,0,IF(OR(70&gt;$R57,DJ57&lt;=$I57),DJ57,DJ57-MIN(INT(ROUND(IF($F57=1,$C57*$J57,IF(HI57&gt;0,HI57*$K57,DJ57*$J57))*IF(70=$R57,$S57,12)/12,6)+$B$4),DJ57-$I57)))))</f>
        <v/>
      </c>
      <c r="DL57" s="68">
        <f>IF($U57=0,0,IF($F57=4,0,IF($F57=3,0,IF(OR(71&gt;$R57,DK57&lt;=$I57),DK57,DK57-MIN(INT(ROUND(IF($F57=1,$C57*$J57,IF(HJ57&gt;0,HJ57*$K57,DK57*$J57))*IF(71=$R57,$S57,12)/12,6)+$B$4),DK57-$I57)))))</f>
        <v/>
      </c>
      <c r="DM57" s="68">
        <f>IF($U57=0,0,IF($F57=4,0,IF($F57=3,0,IF(OR(72&gt;$R57,DL57&lt;=$I57),DL57,DL57-MIN(INT(ROUND(IF($F57=1,$C57*$J57,IF(HK57&gt;0,HK57*$K57,DL57*$J57))*IF(72=$R57,$S57,12)/12,6)+$B$4),DL57-$I57)))))</f>
        <v/>
      </c>
      <c r="DN57" s="68">
        <f>IF($U57=0,0,IF($F57=4,0,IF($F57=3,0,IF(OR(73&gt;$R57,DM57&lt;=$I57),DM57,DM57-MIN(INT(ROUND(IF($F57=1,$C57*$J57,IF(HL57&gt;0,HL57*$K57,DM57*$J57))*IF(73=$R57,$S57,12)/12,6)+$B$4),DM57-$I57)))))</f>
        <v/>
      </c>
      <c r="DO57" s="68">
        <f>IF($U57=0,0,IF($F57=4,0,IF($F57=3,0,IF(OR(74&gt;$R57,DN57&lt;=$I57),DN57,DN57-MIN(INT(ROUND(IF($F57=1,$C57*$J57,IF(HM57&gt;0,HM57*$K57,DN57*$J57))*IF(74=$R57,$S57,12)/12,6)+$B$4),DN57-$I57)))))</f>
        <v/>
      </c>
      <c r="DP57" s="68">
        <f>IF($U57=0,0,IF($F57=4,0,IF($F57=3,0,IF(OR(75&gt;$R57,DO57&lt;=$I57),DO57,DO57-MIN(INT(ROUND(IF($F57=1,$C57*$J57,IF(HN57&gt;0,HN57*$K57,DO57*$J57))*IF(75=$R57,$S57,12)/12,6)+$B$4),DO57-$I57)))))</f>
        <v/>
      </c>
      <c r="DQ57" s="68">
        <f>IF($U57=0,0,IF($F57=4,0,IF($F57=3,0,IF(OR(76&gt;$R57,DP57&lt;=$I57),DP57,DP57-MIN(INT(ROUND(IF($F57=1,$C57*$J57,IF(HO57&gt;0,HO57*$K57,DP57*$J57))*IF(76=$R57,$S57,12)/12,6)+$B$4),DP57-$I57)))))</f>
        <v/>
      </c>
      <c r="DR57" s="68">
        <f>IF($U57=0,0,IF($F57=4,0,IF($F57=3,0,IF(OR(77&gt;$R57,DQ57&lt;=$I57),DQ57,DQ57-MIN(INT(ROUND(IF($F57=1,$C57*$J57,IF(HP57&gt;0,HP57*$K57,DQ57*$J57))*IF(77=$R57,$S57,12)/12,6)+$B$4),DQ57-$I57)))))</f>
        <v/>
      </c>
      <c r="DS57" s="68">
        <f>IF($U57=0,0,IF($F57=4,0,IF($F57=3,0,IF(OR(78&gt;$R57,DR57&lt;=$I57),DR57,DR57-MIN(INT(ROUND(IF($F57=1,$C57*$J57,IF(HQ57&gt;0,HQ57*$K57,DR57*$J57))*IF(78=$R57,$S57,12)/12,6)+$B$4),DR57-$I57)))))</f>
        <v/>
      </c>
      <c r="DT57" s="68">
        <f>IF($U57=0,0,IF($F57=4,0,IF($F57=3,0,IF(OR(79&gt;$R57,DS57&lt;=$I57),DS57,DS57-MIN(INT(ROUND(IF($F57=1,$C57*$J57,IF(HR57&gt;0,HR57*$K57,DS57*$J57))*IF(79=$R57,$S57,12)/12,6)+$B$4),DS57-$I57)))))</f>
        <v/>
      </c>
      <c r="DU57" s="68">
        <f>IF($U57=0,0,IF($F57=4,0,IF($F57=3,0,IF(OR(80&gt;$R57,DT57&lt;=$I57),DT57,DT57-MIN(INT(ROUND(IF($F57=1,$C57*$J57,IF(HS57&gt;0,HS57*$K57,DT57*$J57))*IF(80=$R57,$S57,12)/12,6)+$B$4),DT57-$I57)))))</f>
        <v/>
      </c>
      <c r="DV57" s="68">
        <f>IF($U57=0,0,IF($F57=4,0,IF($F57=3,0,IF(OR(81&gt;$R57,DU57&lt;=$I57),DU57,DU57-MIN(INT(ROUND(IF($F57=1,$C57*$J57,IF(HT57&gt;0,HT57*$K57,DU57*$J57))*IF(81=$R57,$S57,12)/12,6)+$B$4),DU57-$I57)))))</f>
        <v/>
      </c>
      <c r="DW57" s="68">
        <f>IF($U57=0,0,IF($F57=4,0,IF($F57=3,0,IF(OR(82&gt;$R57,DV57&lt;=$I57),DV57,DV57-MIN(INT(ROUND(IF($F57=1,$C57*$J57,IF(HU57&gt;0,HU57*$K57,DV57*$J57))*IF(82=$R57,$S57,12)/12,6)+$B$4),DV57-$I57)))))</f>
        <v/>
      </c>
      <c r="DX57" s="68">
        <f>IF($U57=0,0,IF($F57=4,0,IF($F57=3,0,IF(OR(83&gt;$R57,DW57&lt;=$I57),DW57,DW57-MIN(INT(ROUND(IF($F57=1,$C57*$J57,IF(HV57&gt;0,HV57*$K57,DW57*$J57))*IF(83=$R57,$S57,12)/12,6)+$B$4),DW57-$I57)))))</f>
        <v/>
      </c>
      <c r="DY57" s="68">
        <f>IF($U57=0,0,IF($F57=4,0,IF($F57=3,0,IF(OR(84&gt;$R57,DX57&lt;=$I57),DX57,DX57-MIN(INT(ROUND(IF($F57=1,$C57*$J57,IF(HW57&gt;0,HW57*$K57,DX57*$J57))*IF(84=$R57,$S57,12)/12,6)+$B$4),DX57-$I57)))))</f>
        <v/>
      </c>
      <c r="DZ57" s="68">
        <f>IF($U57=0,0,IF($F57=4,0,IF($F57=3,0,IF(OR(85&gt;$R57,DY57&lt;=$I57),DY57,DY57-MIN(INT(ROUND(IF($F57=1,$C57*$J57,IF(HX57&gt;0,HX57*$K57,DY57*$J57))*IF(85=$R57,$S57,12)/12,6)+$B$4),DY57-$I57)))))</f>
        <v/>
      </c>
      <c r="EA57" s="68">
        <f>IF($U57=0,0,IF($F57=4,0,IF($F57=3,0,IF(OR(86&gt;$R57,DZ57&lt;=$I57),DZ57,DZ57-MIN(INT(ROUND(IF($F57=1,$C57*$J57,IF(HY57&gt;0,HY57*$K57,DZ57*$J57))*IF(86=$R57,$S57,12)/12,6)+$B$4),DZ57-$I57)))))</f>
        <v/>
      </c>
      <c r="EB57" s="68">
        <f>IF($U57=0,0,IF($F57=4,0,IF($F57=3,0,IF(OR(87&gt;$R57,EA57&lt;=$I57),EA57,EA57-MIN(INT(ROUND(IF($F57=1,$C57*$J57,IF(HZ57&gt;0,HZ57*$K57,EA57*$J57))*IF(87=$R57,$S57,12)/12,6)+$B$4),EA57-$I57)))))</f>
        <v/>
      </c>
      <c r="EC57" s="68">
        <f>IF($U57=0,0,IF($F57=4,0,IF($F57=3,0,IF(OR(88&gt;$R57,EB57&lt;=$I57),EB57,EB57-MIN(INT(ROUND(IF($F57=1,$C57*$J57,IF(IA57&gt;0,IA57*$K57,EB57*$J57))*IF(88=$R57,$S57,12)/12,6)+$B$4),EB57-$I57)))))</f>
        <v/>
      </c>
      <c r="ED57" s="68">
        <f>IF($U57=0,0,IF($F57=4,0,IF($F57=3,0,IF(OR(89&gt;$R57,EC57&lt;=$I57),EC57,EC57-MIN(INT(ROUND(IF($F57=1,$C57*$J57,IF(IB57&gt;0,IB57*$K57,EC57*$J57))*IF(89=$R57,$S57,12)/12,6)+$B$4),EC57-$I57)))))</f>
        <v/>
      </c>
      <c r="EE57" s="68">
        <f>IF($U57=0,0,IF($F57=4,0,IF($F57=3,0,IF(OR(90&gt;$R57,ED57&lt;=$I57),ED57,ED57-MIN(INT(ROUND(IF($F57=1,$C57*$J57,IF(IC57&gt;0,IC57*$K57,ED57*$J57))*IF(90=$R57,$S57,12)/12,6)+$B$4),ED57-$I57)))))</f>
        <v/>
      </c>
      <c r="EF57" s="68">
        <f>IF($U57=0,0,IF($F57=4,0,IF($F57=3,0,IF(OR(91&gt;$R57,EE57&lt;=$I57),EE57,EE57-MIN(INT(ROUND(IF($F57=1,$C57*$J57,IF(ID57&gt;0,ID57*$K57,EE57*$J57))*IF(91=$R57,$S57,12)/12,6)+$B$4),EE57-$I57)))))</f>
        <v/>
      </c>
      <c r="EG57" s="68">
        <f>IF($U57=0,0,IF($F57=4,0,IF($F57=3,0,IF(OR(92&gt;$R57,EF57&lt;=$I57),EF57,EF57-MIN(INT(ROUND(IF($F57=1,$C57*$J57,IF(IE57&gt;0,IE57*$K57,EF57*$J57))*IF(92=$R57,$S57,12)/12,6)+$B$4),EF57-$I57)))))</f>
        <v/>
      </c>
      <c r="EH57" s="68">
        <f>IF($U57=0,0,IF($F57=4,0,IF($F57=3,0,IF(OR(93&gt;$R57,EG57&lt;=$I57),EG57,EG57-MIN(INT(ROUND(IF($F57=1,$C57*$J57,IF(IF57&gt;0,IF57*$K57,EG57*$J57))*IF(93=$R57,$S57,12)/12,6)+$B$4),EG57-$I57)))))</f>
        <v/>
      </c>
      <c r="EI57" s="68">
        <f>IF($U57=0,0,IF($F57=4,0,IF($F57=3,0,IF(OR(94&gt;$R57,EH57&lt;=$I57),EH57,EH57-MIN(INT(ROUND(IF($F57=1,$C57*$J57,IF(IG57&gt;0,IG57*$K57,EH57*$J57))*IF(94=$R57,$S57,12)/12,6)+$B$4),EH57-$I57)))))</f>
        <v/>
      </c>
      <c r="EJ57" s="68">
        <f>IF($U57=0,0,IF($F57=4,0,IF($F57=3,0,IF(OR(95&gt;$R57,EI57&lt;=$I57),EI57,EI57-MIN(INT(ROUND(IF($F57=1,$C57*$J57,IF(IH57&gt;0,IH57*$K57,EI57*$J57))*IF(95=$R57,$S57,12)/12,6)+$B$4),EI57-$I57)))))</f>
        <v/>
      </c>
      <c r="EK57" s="68">
        <f>IF($U57=0,0,IF($F57=4,0,IF($F57=3,0,IF(OR(96&gt;$R57,EJ57&lt;=$I57),EJ57,EJ57-MIN(INT(ROUND(IF($F57=1,$C57*$J57,IF(II57&gt;0,II57*$K57,EJ57*$J57))*IF(96=$R57,$S57,12)/12,6)+$B$4),EJ57-$I57)))))</f>
        <v/>
      </c>
      <c r="EL57" s="68">
        <f>IF($U57=0,0,IF($F57=4,0,IF($F57=3,0,IF(OR(97&gt;$R57,EK57&lt;=$I57),EK57,EK57-MIN(INT(ROUND(IF($F57=1,$C57*$J57,IF(IJ57&gt;0,IJ57*$K57,EK57*$J57))*IF(97=$R57,$S57,12)/12,6)+$B$4),EK57-$I57)))))</f>
        <v/>
      </c>
      <c r="EM57" s="68">
        <f>IF($U57=0,0,IF($F57=4,0,IF($F57=3,0,IF(OR(98&gt;$R57,EL57&lt;=$I57),EL57,EL57-MIN(INT(ROUND(IF($F57=1,$C57*$J57,IF(IK57&gt;0,IK57*$K57,EL57*$J57))*IF(98=$R57,$S57,12)/12,6)+$B$4),EL57-$I57)))))</f>
        <v/>
      </c>
      <c r="EN57" s="68">
        <f>IF($U57=0,0,IF($F57=4,0,IF($F57=3,0,IF(OR(99&gt;$R57,EM57&lt;=$I57),EM57,EM57-MIN(INT(ROUND(IF($F57=1,$C57*$J57,IF(IL57&gt;0,IL57*$K57,EM57*$J57))*IF(99=$R57,$S57,12)/12,6)+$B$4),EM57-$I57)))))</f>
        <v/>
      </c>
      <c r="EO57" s="68">
        <f>IF($U57=0,0,IF($F57=4,0,IF($F57=3,0,IF(OR(100&gt;$R57,EN57&lt;=$I57),EN57,EN57-MIN(INT(ROUND(IF($F57=1,$C57*$J57,IF(IM57&gt;0,IM57*$K57,EN57*$J57))*IF(100=$R57,$S57,12)/12,6)+$B$4),EN57-$I57)))))</f>
        <v/>
      </c>
      <c r="EP57" s="68">
        <f>IF($U57=0,0,IF($F57=4,0,IF($F57=3,0,IF(OR(101&gt;$R57,EO57&lt;=$I57),EO57,EO57-MIN(INT(ROUND(IF($F57=1,$C57*$J57,IF(IN57&gt;0,IN57*$K57,EO57*$J57))*IF(101=$R57,$S57,12)/12,6)+$B$4),EO57-$I57)))))</f>
        <v/>
      </c>
      <c r="EQ57" s="68" t="n"/>
      <c r="ER57" s="68">
        <f>IF(OR($U57=0,$F57&lt;&gt;2),0,IF(ROUND(AS57*$J57,6)&lt;ROUND($M57,6),AS57,0))</f>
        <v/>
      </c>
      <c r="ES57" s="68">
        <f>IF(OR($U57=0,$F57&lt;&gt;2),0,IF(ER57&gt;0,ER57,IF(ROUND(AT57*$J57,6)&lt;ROUND($M57,6),AT57,0)))</f>
        <v/>
      </c>
      <c r="ET57" s="68">
        <f>IF(OR($U57=0,$F57&lt;&gt;2),0,IF(ES57&gt;0,ES57,IF(ROUND(AU57*$J57,6)&lt;ROUND($M57,6),AU57,0)))</f>
        <v/>
      </c>
      <c r="EU57" s="68">
        <f>IF(OR($U57=0,$F57&lt;&gt;2),0,IF(ET57&gt;0,ET57,IF(ROUND(AV57*$J57,6)&lt;ROUND($M57,6),AV57,0)))</f>
        <v/>
      </c>
      <c r="EV57" s="68">
        <f>IF(OR($U57=0,$F57&lt;&gt;2),0,IF(EU57&gt;0,EU57,IF(ROUND(AW57*$J57,6)&lt;ROUND($M57,6),AW57,0)))</f>
        <v/>
      </c>
      <c r="EW57" s="68">
        <f>IF(OR($U57=0,$F57&lt;&gt;2),0,IF(EV57&gt;0,EV57,IF(ROUND(AX57*$J57,6)&lt;ROUND($M57,6),AX57,0)))</f>
        <v/>
      </c>
      <c r="EX57" s="68">
        <f>IF(OR($U57=0,$F57&lt;&gt;2),0,IF(EW57&gt;0,EW57,IF(ROUND(AY57*$J57,6)&lt;ROUND($M57,6),AY57,0)))</f>
        <v/>
      </c>
      <c r="EY57" s="68">
        <f>IF(OR($U57=0,$F57&lt;&gt;2),0,IF(EX57&gt;0,EX57,IF(ROUND(AZ57*$J57,6)&lt;ROUND($M57,6),AZ57,0)))</f>
        <v/>
      </c>
      <c r="EZ57" s="68">
        <f>IF(OR($U57=0,$F57&lt;&gt;2),0,IF(EY57&gt;0,EY57,IF(ROUND(BA57*$J57,6)&lt;ROUND($M57,6),BA57,0)))</f>
        <v/>
      </c>
      <c r="FA57" s="68">
        <f>IF(OR($U57=0,$F57&lt;&gt;2),0,IF(EZ57&gt;0,EZ57,IF(ROUND(BB57*$J57,6)&lt;ROUND($M57,6),BB57,0)))</f>
        <v/>
      </c>
      <c r="FB57" s="68">
        <f>IF(OR($U57=0,$F57&lt;&gt;2),0,IF(FA57&gt;0,FA57,IF(ROUND(BC57*$J57,6)&lt;ROUND($M57,6),BC57,0)))</f>
        <v/>
      </c>
      <c r="FC57" s="68">
        <f>IF(OR($U57=0,$F57&lt;&gt;2),0,IF(FB57&gt;0,FB57,IF(ROUND(BD57*$J57,6)&lt;ROUND($M57,6),BD57,0)))</f>
        <v/>
      </c>
      <c r="FD57" s="68">
        <f>IF(OR($U57=0,$F57&lt;&gt;2),0,IF(FC57&gt;0,FC57,IF(ROUND(BE57*$J57,6)&lt;ROUND($M57,6),BE57,0)))</f>
        <v/>
      </c>
      <c r="FE57" s="68">
        <f>IF(OR($U57=0,$F57&lt;&gt;2),0,IF(FD57&gt;0,FD57,IF(ROUND(BF57*$J57,6)&lt;ROUND($M57,6),BF57,0)))</f>
        <v/>
      </c>
      <c r="FF57" s="68">
        <f>IF(OR($U57=0,$F57&lt;&gt;2),0,IF(FE57&gt;0,FE57,IF(ROUND(BG57*$J57,6)&lt;ROUND($M57,6),BG57,0)))</f>
        <v/>
      </c>
      <c r="FG57" s="68">
        <f>IF(OR($U57=0,$F57&lt;&gt;2),0,IF(FF57&gt;0,FF57,IF(ROUND(BH57*$J57,6)&lt;ROUND($M57,6),BH57,0)))</f>
        <v/>
      </c>
      <c r="FH57" s="68">
        <f>IF(OR($U57=0,$F57&lt;&gt;2),0,IF(FG57&gt;0,FG57,IF(ROUND(BI57*$J57,6)&lt;ROUND($M57,6),BI57,0)))</f>
        <v/>
      </c>
      <c r="FI57" s="68">
        <f>IF(OR($U57=0,$F57&lt;&gt;2),0,IF(FH57&gt;0,FH57,IF(ROUND(BJ57*$J57,6)&lt;ROUND($M57,6),BJ57,0)))</f>
        <v/>
      </c>
      <c r="FJ57" s="68">
        <f>IF(OR($U57=0,$F57&lt;&gt;2),0,IF(FI57&gt;0,FI57,IF(ROUND(BK57*$J57,6)&lt;ROUND($M57,6),BK57,0)))</f>
        <v/>
      </c>
      <c r="FK57" s="68">
        <f>IF(OR($U57=0,$F57&lt;&gt;2),0,IF(FJ57&gt;0,FJ57,IF(ROUND(BL57*$J57,6)&lt;ROUND($M57,6),BL57,0)))</f>
        <v/>
      </c>
      <c r="FL57" s="68">
        <f>IF(OR($U57=0,$F57&lt;&gt;2),0,IF(FK57&gt;0,FK57,IF(ROUND(BM57*$J57,6)&lt;ROUND($M57,6),BM57,0)))</f>
        <v/>
      </c>
      <c r="FM57" s="68">
        <f>IF(OR($U57=0,$F57&lt;&gt;2),0,IF(FL57&gt;0,FL57,IF(ROUND(BN57*$J57,6)&lt;ROUND($M57,6),BN57,0)))</f>
        <v/>
      </c>
      <c r="FN57" s="68">
        <f>IF(OR($U57=0,$F57&lt;&gt;2),0,IF(FM57&gt;0,FM57,IF(ROUND(BO57*$J57,6)&lt;ROUND($M57,6),BO57,0)))</f>
        <v/>
      </c>
      <c r="FO57" s="68">
        <f>IF(OR($U57=0,$F57&lt;&gt;2),0,IF(FN57&gt;0,FN57,IF(ROUND(BP57*$J57,6)&lt;ROUND($M57,6),BP57,0)))</f>
        <v/>
      </c>
      <c r="FP57" s="68">
        <f>IF(OR($U57=0,$F57&lt;&gt;2),0,IF(FO57&gt;0,FO57,IF(ROUND(BQ57*$J57,6)&lt;ROUND($M57,6),BQ57,0)))</f>
        <v/>
      </c>
      <c r="FQ57" s="68">
        <f>IF(OR($U57=0,$F57&lt;&gt;2),0,IF(FP57&gt;0,FP57,IF(ROUND(BR57*$J57,6)&lt;ROUND($M57,6),BR57,0)))</f>
        <v/>
      </c>
      <c r="FR57" s="68">
        <f>IF(OR($U57=0,$F57&lt;&gt;2),0,IF(FQ57&gt;0,FQ57,IF(ROUND(BS57*$J57,6)&lt;ROUND($M57,6),BS57,0)))</f>
        <v/>
      </c>
      <c r="FS57" s="68">
        <f>IF(OR($U57=0,$F57&lt;&gt;2),0,IF(FR57&gt;0,FR57,IF(ROUND(BT57*$J57,6)&lt;ROUND($M57,6),BT57,0)))</f>
        <v/>
      </c>
      <c r="FT57" s="68">
        <f>IF(OR($U57=0,$F57&lt;&gt;2),0,IF(FS57&gt;0,FS57,IF(ROUND(BU57*$J57,6)&lt;ROUND($M57,6),BU57,0)))</f>
        <v/>
      </c>
      <c r="FU57" s="68">
        <f>IF(OR($U57=0,$F57&lt;&gt;2),0,IF(FT57&gt;0,FT57,IF(ROUND(BV57*$J57,6)&lt;ROUND($M57,6),BV57,0)))</f>
        <v/>
      </c>
      <c r="FV57" s="68">
        <f>IF(OR($U57=0,$F57&lt;&gt;2),0,IF(FU57&gt;0,FU57,IF(ROUND(BW57*$J57,6)&lt;ROUND($M57,6),BW57,0)))</f>
        <v/>
      </c>
      <c r="FW57" s="68">
        <f>IF(OR($U57=0,$F57&lt;&gt;2),0,IF(FV57&gt;0,FV57,IF(ROUND(BX57*$J57,6)&lt;ROUND($M57,6),BX57,0)))</f>
        <v/>
      </c>
      <c r="FX57" s="68">
        <f>IF(OR($U57=0,$F57&lt;&gt;2),0,IF(FW57&gt;0,FW57,IF(ROUND(BY57*$J57,6)&lt;ROUND($M57,6),BY57,0)))</f>
        <v/>
      </c>
      <c r="FY57" s="68">
        <f>IF(OR($U57=0,$F57&lt;&gt;2),0,IF(FX57&gt;0,FX57,IF(ROUND(BZ57*$J57,6)&lt;ROUND($M57,6),BZ57,0)))</f>
        <v/>
      </c>
      <c r="FZ57" s="68">
        <f>IF(OR($U57=0,$F57&lt;&gt;2),0,IF(FY57&gt;0,FY57,IF(ROUND(CA57*$J57,6)&lt;ROUND($M57,6),CA57,0)))</f>
        <v/>
      </c>
      <c r="GA57" s="68">
        <f>IF(OR($U57=0,$F57&lt;&gt;2),0,IF(FZ57&gt;0,FZ57,IF(ROUND(CB57*$J57,6)&lt;ROUND($M57,6),CB57,0)))</f>
        <v/>
      </c>
      <c r="GB57" s="68">
        <f>IF(OR($U57=0,$F57&lt;&gt;2),0,IF(GA57&gt;0,GA57,IF(ROUND(CC57*$J57,6)&lt;ROUND($M57,6),CC57,0)))</f>
        <v/>
      </c>
      <c r="GC57" s="68">
        <f>IF(OR($U57=0,$F57&lt;&gt;2),0,IF(GB57&gt;0,GB57,IF(ROUND(CD57*$J57,6)&lt;ROUND($M57,6),CD57,0)))</f>
        <v/>
      </c>
      <c r="GD57" s="68">
        <f>IF(OR($U57=0,$F57&lt;&gt;2),0,IF(GC57&gt;0,GC57,IF(ROUND(CE57*$J57,6)&lt;ROUND($M57,6),CE57,0)))</f>
        <v/>
      </c>
      <c r="GE57" s="68">
        <f>IF(OR($U57=0,$F57&lt;&gt;2),0,IF(GD57&gt;0,GD57,IF(ROUND(CF57*$J57,6)&lt;ROUND($M57,6),CF57,0)))</f>
        <v/>
      </c>
      <c r="GF57" s="68">
        <f>IF(OR($U57=0,$F57&lt;&gt;2),0,IF(GE57&gt;0,GE57,IF(ROUND(CG57*$J57,6)&lt;ROUND($M57,6),CG57,0)))</f>
        <v/>
      </c>
      <c r="GG57" s="68">
        <f>IF(OR($U57=0,$F57&lt;&gt;2),0,IF(GF57&gt;0,GF57,IF(ROUND(CH57*$J57,6)&lt;ROUND($M57,6),CH57,0)))</f>
        <v/>
      </c>
      <c r="GH57" s="68">
        <f>IF(OR($U57=0,$F57&lt;&gt;2),0,IF(GG57&gt;0,GG57,IF(ROUND(CI57*$J57,6)&lt;ROUND($M57,6),CI57,0)))</f>
        <v/>
      </c>
      <c r="GI57" s="68">
        <f>IF(OR($U57=0,$F57&lt;&gt;2),0,IF(GH57&gt;0,GH57,IF(ROUND(CJ57*$J57,6)&lt;ROUND($M57,6),CJ57,0)))</f>
        <v/>
      </c>
      <c r="GJ57" s="68">
        <f>IF(OR($U57=0,$F57&lt;&gt;2),0,IF(GI57&gt;0,GI57,IF(ROUND(CK57*$J57,6)&lt;ROUND($M57,6),CK57,0)))</f>
        <v/>
      </c>
      <c r="GK57" s="68">
        <f>IF(OR($U57=0,$F57&lt;&gt;2),0,IF(GJ57&gt;0,GJ57,IF(ROUND(CL57*$J57,6)&lt;ROUND($M57,6),CL57,0)))</f>
        <v/>
      </c>
      <c r="GL57" s="68">
        <f>IF(OR($U57=0,$F57&lt;&gt;2),0,IF(GK57&gt;0,GK57,IF(ROUND(CM57*$J57,6)&lt;ROUND($M57,6),CM57,0)))</f>
        <v/>
      </c>
      <c r="GM57" s="68">
        <f>IF(OR($U57=0,$F57&lt;&gt;2),0,IF(GL57&gt;0,GL57,IF(ROUND(CN57*$J57,6)&lt;ROUND($M57,6),CN57,0)))</f>
        <v/>
      </c>
      <c r="GN57" s="68">
        <f>IF(OR($U57=0,$F57&lt;&gt;2),0,IF(GM57&gt;0,GM57,IF(ROUND(CO57*$J57,6)&lt;ROUND($M57,6),CO57,0)))</f>
        <v/>
      </c>
      <c r="GO57" s="68">
        <f>IF(OR($U57=0,$F57&lt;&gt;2),0,IF(GN57&gt;0,GN57,IF(ROUND(CP57*$J57,6)&lt;ROUND($M57,6),CP57,0)))</f>
        <v/>
      </c>
      <c r="GP57" s="68">
        <f>IF(OR($U57=0,$F57&lt;&gt;2),0,IF(GO57&gt;0,GO57,IF(ROUND(CQ57*$J57,6)&lt;ROUND($M57,6),CQ57,0)))</f>
        <v/>
      </c>
      <c r="GQ57" s="68">
        <f>IF(OR($U57=0,$F57&lt;&gt;2),0,IF(GP57&gt;0,GP57,IF(ROUND(CR57*$J57,6)&lt;ROUND($M57,6),CR57,0)))</f>
        <v/>
      </c>
      <c r="GR57" s="68">
        <f>IF(OR($U57=0,$F57&lt;&gt;2),0,IF(GQ57&gt;0,GQ57,IF(ROUND(CS57*$J57,6)&lt;ROUND($M57,6),CS57,0)))</f>
        <v/>
      </c>
      <c r="GS57" s="68">
        <f>IF(OR($U57=0,$F57&lt;&gt;2),0,IF(GR57&gt;0,GR57,IF(ROUND(CT57*$J57,6)&lt;ROUND($M57,6),CT57,0)))</f>
        <v/>
      </c>
      <c r="GT57" s="68">
        <f>IF(OR($U57=0,$F57&lt;&gt;2),0,IF(GS57&gt;0,GS57,IF(ROUND(CU57*$J57,6)&lt;ROUND($M57,6),CU57,0)))</f>
        <v/>
      </c>
      <c r="GU57" s="68">
        <f>IF(OR($U57=0,$F57&lt;&gt;2),0,IF(GT57&gt;0,GT57,IF(ROUND(CV57*$J57,6)&lt;ROUND($M57,6),CV57,0)))</f>
        <v/>
      </c>
      <c r="GV57" s="68">
        <f>IF(OR($U57=0,$F57&lt;&gt;2),0,IF(GU57&gt;0,GU57,IF(ROUND(CW57*$J57,6)&lt;ROUND($M57,6),CW57,0)))</f>
        <v/>
      </c>
      <c r="GW57" s="68">
        <f>IF(OR($U57=0,$F57&lt;&gt;2),0,IF(GV57&gt;0,GV57,IF(ROUND(CX57*$J57,6)&lt;ROUND($M57,6),CX57,0)))</f>
        <v/>
      </c>
      <c r="GX57" s="68">
        <f>IF(OR($U57=0,$F57&lt;&gt;2),0,IF(GW57&gt;0,GW57,IF(ROUND(CY57*$J57,6)&lt;ROUND($M57,6),CY57,0)))</f>
        <v/>
      </c>
      <c r="GY57" s="68">
        <f>IF(OR($U57=0,$F57&lt;&gt;2),0,IF(GX57&gt;0,GX57,IF(ROUND(CZ57*$J57,6)&lt;ROUND($M57,6),CZ57,0)))</f>
        <v/>
      </c>
      <c r="GZ57" s="68">
        <f>IF(OR($U57=0,$F57&lt;&gt;2),0,IF(GY57&gt;0,GY57,IF(ROUND(DA57*$J57,6)&lt;ROUND($M57,6),DA57,0)))</f>
        <v/>
      </c>
      <c r="HA57" s="68">
        <f>IF(OR($U57=0,$F57&lt;&gt;2),0,IF(GZ57&gt;0,GZ57,IF(ROUND(DB57*$J57,6)&lt;ROUND($M57,6),DB57,0)))</f>
        <v/>
      </c>
      <c r="HB57" s="68">
        <f>IF(OR($U57=0,$F57&lt;&gt;2),0,IF(HA57&gt;0,HA57,IF(ROUND(DC57*$J57,6)&lt;ROUND($M57,6),DC57,0)))</f>
        <v/>
      </c>
      <c r="HC57" s="68">
        <f>IF(OR($U57=0,$F57&lt;&gt;2),0,IF(HB57&gt;0,HB57,IF(ROUND(DD57*$J57,6)&lt;ROUND($M57,6),DD57,0)))</f>
        <v/>
      </c>
      <c r="HD57" s="68">
        <f>IF(OR($U57=0,$F57&lt;&gt;2),0,IF(HC57&gt;0,HC57,IF(ROUND(DE57*$J57,6)&lt;ROUND($M57,6),DE57,0)))</f>
        <v/>
      </c>
      <c r="HE57" s="68">
        <f>IF(OR($U57=0,$F57&lt;&gt;2),0,IF(HD57&gt;0,HD57,IF(ROUND(DF57*$J57,6)&lt;ROUND($M57,6),DF57,0)))</f>
        <v/>
      </c>
      <c r="HF57" s="68">
        <f>IF(OR($U57=0,$F57&lt;&gt;2),0,IF(HE57&gt;0,HE57,IF(ROUND(DG57*$J57,6)&lt;ROUND($M57,6),DG57,0)))</f>
        <v/>
      </c>
      <c r="HG57" s="68">
        <f>IF(OR($U57=0,$F57&lt;&gt;2),0,IF(HF57&gt;0,HF57,IF(ROUND(DH57*$J57,6)&lt;ROUND($M57,6),DH57,0)))</f>
        <v/>
      </c>
      <c r="HH57" s="68">
        <f>IF(OR($U57=0,$F57&lt;&gt;2),0,IF(HG57&gt;0,HG57,IF(ROUND(DI57*$J57,6)&lt;ROUND($M57,6),DI57,0)))</f>
        <v/>
      </c>
      <c r="HI57" s="68">
        <f>IF(OR($U57=0,$F57&lt;&gt;2),0,IF(HH57&gt;0,HH57,IF(ROUND(DJ57*$J57,6)&lt;ROUND($M57,6),DJ57,0)))</f>
        <v/>
      </c>
      <c r="HJ57" s="68">
        <f>IF(OR($U57=0,$F57&lt;&gt;2),0,IF(HI57&gt;0,HI57,IF(ROUND(DK57*$J57,6)&lt;ROUND($M57,6),DK57,0)))</f>
        <v/>
      </c>
      <c r="HK57" s="68">
        <f>IF(OR($U57=0,$F57&lt;&gt;2),0,IF(HJ57&gt;0,HJ57,IF(ROUND(DL57*$J57,6)&lt;ROUND($M57,6),DL57,0)))</f>
        <v/>
      </c>
      <c r="HL57" s="68">
        <f>IF(OR($U57=0,$F57&lt;&gt;2),0,IF(HK57&gt;0,HK57,IF(ROUND(DM57*$J57,6)&lt;ROUND($M57,6),DM57,0)))</f>
        <v/>
      </c>
      <c r="HM57" s="68">
        <f>IF(OR($U57=0,$F57&lt;&gt;2),0,IF(HL57&gt;0,HL57,IF(ROUND(DN57*$J57,6)&lt;ROUND($M57,6),DN57,0)))</f>
        <v/>
      </c>
      <c r="HN57" s="68">
        <f>IF(OR($U57=0,$F57&lt;&gt;2),0,IF(HM57&gt;0,HM57,IF(ROUND(DO57*$J57,6)&lt;ROUND($M57,6),DO57,0)))</f>
        <v/>
      </c>
      <c r="HO57" s="68">
        <f>IF(OR($U57=0,$F57&lt;&gt;2),0,IF(HN57&gt;0,HN57,IF(ROUND(DP57*$J57,6)&lt;ROUND($M57,6),DP57,0)))</f>
        <v/>
      </c>
      <c r="HP57" s="68">
        <f>IF(OR($U57=0,$F57&lt;&gt;2),0,IF(HO57&gt;0,HO57,IF(ROUND(DQ57*$J57,6)&lt;ROUND($M57,6),DQ57,0)))</f>
        <v/>
      </c>
      <c r="HQ57" s="68">
        <f>IF(OR($U57=0,$F57&lt;&gt;2),0,IF(HP57&gt;0,HP57,IF(ROUND(DR57*$J57,6)&lt;ROUND($M57,6),DR57,0)))</f>
        <v/>
      </c>
      <c r="HR57" s="68">
        <f>IF(OR($U57=0,$F57&lt;&gt;2),0,IF(HQ57&gt;0,HQ57,IF(ROUND(DS57*$J57,6)&lt;ROUND($M57,6),DS57,0)))</f>
        <v/>
      </c>
      <c r="HS57" s="68">
        <f>IF(OR($U57=0,$F57&lt;&gt;2),0,IF(HR57&gt;0,HR57,IF(ROUND(DT57*$J57,6)&lt;ROUND($M57,6),DT57,0)))</f>
        <v/>
      </c>
      <c r="HT57" s="68">
        <f>IF(OR($U57=0,$F57&lt;&gt;2),0,IF(HS57&gt;0,HS57,IF(ROUND(DU57*$J57,6)&lt;ROUND($M57,6),DU57,0)))</f>
        <v/>
      </c>
      <c r="HU57" s="68">
        <f>IF(OR($U57=0,$F57&lt;&gt;2),0,IF(HT57&gt;0,HT57,IF(ROUND(DV57*$J57,6)&lt;ROUND($M57,6),DV57,0)))</f>
        <v/>
      </c>
      <c r="HV57" s="68">
        <f>IF(OR($U57=0,$F57&lt;&gt;2),0,IF(HU57&gt;0,HU57,IF(ROUND(DW57*$J57,6)&lt;ROUND($M57,6),DW57,0)))</f>
        <v/>
      </c>
      <c r="HW57" s="68">
        <f>IF(OR($U57=0,$F57&lt;&gt;2),0,IF(HV57&gt;0,HV57,IF(ROUND(DX57*$J57,6)&lt;ROUND($M57,6),DX57,0)))</f>
        <v/>
      </c>
      <c r="HX57" s="68">
        <f>IF(OR($U57=0,$F57&lt;&gt;2),0,IF(HW57&gt;0,HW57,IF(ROUND(DY57*$J57,6)&lt;ROUND($M57,6),DY57,0)))</f>
        <v/>
      </c>
      <c r="HY57" s="68">
        <f>IF(OR($U57=0,$F57&lt;&gt;2),0,IF(HX57&gt;0,HX57,IF(ROUND(DZ57*$J57,6)&lt;ROUND($M57,6),DZ57,0)))</f>
        <v/>
      </c>
      <c r="HZ57" s="68">
        <f>IF(OR($U57=0,$F57&lt;&gt;2),0,IF(HY57&gt;0,HY57,IF(ROUND(EA57*$J57,6)&lt;ROUND($M57,6),EA57,0)))</f>
        <v/>
      </c>
      <c r="IA57" s="68">
        <f>IF(OR($U57=0,$F57&lt;&gt;2),0,IF(HZ57&gt;0,HZ57,IF(ROUND(EB57*$J57,6)&lt;ROUND($M57,6),EB57,0)))</f>
        <v/>
      </c>
      <c r="IB57" s="68">
        <f>IF(OR($U57=0,$F57&lt;&gt;2),0,IF(IA57&gt;0,IA57,IF(ROUND(EC57*$J57,6)&lt;ROUND($M57,6),EC57,0)))</f>
        <v/>
      </c>
      <c r="IC57" s="68">
        <f>IF(OR($U57=0,$F57&lt;&gt;2),0,IF(IB57&gt;0,IB57,IF(ROUND(ED57*$J57,6)&lt;ROUND($M57,6),ED57,0)))</f>
        <v/>
      </c>
      <c r="ID57" s="68">
        <f>IF(OR($U57=0,$F57&lt;&gt;2),0,IF(IC57&gt;0,IC57,IF(ROUND(EE57*$J57,6)&lt;ROUND($M57,6),EE57,0)))</f>
        <v/>
      </c>
      <c r="IE57" s="68">
        <f>IF(OR($U57=0,$F57&lt;&gt;2),0,IF(ID57&gt;0,ID57,IF(ROUND(EF57*$J57,6)&lt;ROUND($M57,6),EF57,0)))</f>
        <v/>
      </c>
      <c r="IF57" s="68">
        <f>IF(OR($U57=0,$F57&lt;&gt;2),0,IF(IE57&gt;0,IE57,IF(ROUND(EG57*$J57,6)&lt;ROUND($M57,6),EG57,0)))</f>
        <v/>
      </c>
      <c r="IG57" s="68">
        <f>IF(OR($U57=0,$F57&lt;&gt;2),0,IF(IF57&gt;0,IF57,IF(ROUND(EH57*$J57,6)&lt;ROUND($M57,6),EH57,0)))</f>
        <v/>
      </c>
      <c r="IH57" s="68">
        <f>IF(OR($U57=0,$F57&lt;&gt;2),0,IF(IG57&gt;0,IG57,IF(ROUND(EI57*$J57,6)&lt;ROUND($M57,6),EI57,0)))</f>
        <v/>
      </c>
      <c r="II57" s="68">
        <f>IF(OR($U57=0,$F57&lt;&gt;2),0,IF(IH57&gt;0,IH57,IF(ROUND(EJ57*$J57,6)&lt;ROUND($M57,6),EJ57,0)))</f>
        <v/>
      </c>
      <c r="IJ57" s="68">
        <f>IF(OR($U57=0,$F57&lt;&gt;2),0,IF(II57&gt;0,II57,IF(ROUND(EK57*$J57,6)&lt;ROUND($M57,6),EK57,0)))</f>
        <v/>
      </c>
      <c r="IK57" s="68">
        <f>IF(OR($U57=0,$F57&lt;&gt;2),0,IF(IJ57&gt;0,IJ57,IF(ROUND(EL57*$J57,6)&lt;ROUND($M57,6),EL57,0)))</f>
        <v/>
      </c>
      <c r="IL57" s="68">
        <f>IF(OR($U57=0,$F57&lt;&gt;2),0,IF(IK57&gt;0,IK57,IF(ROUND(EM57*$J57,6)&lt;ROUND($M57,6),EM57,0)))</f>
        <v/>
      </c>
      <c r="IM57" s="68">
        <f>IF(OR($U57=0,$F57&lt;&gt;2),0,IF(IL57&gt;0,IL57,IF(ROUND(EN57*$J57,6)&lt;ROUND($M57,6),EN57,0)))</f>
        <v/>
      </c>
      <c r="IN57" s="68">
        <f>IF(OR($U57=0,$F57&lt;&gt;2),0,IF(IM57&gt;0,IM57,IF(ROUND(EO57*$J57,6)&lt;ROUND($M57,6),EO57,0)))</f>
        <v/>
      </c>
    </row>
    <row r="58">
      <c r="A58" s="68" t="n">
        <v>53</v>
      </c>
      <c r="B58" s="68">
        <f>IF(OR(TRIM('固定資産台帳'!$B58)&lt;&gt;"",'固定資産台帳'!$E58&lt;&gt;"",'固定資産台帳'!$G58&lt;&gt;"",'固定資産台帳'!$H58&lt;&gt;""),1,0)</f>
        <v/>
      </c>
      <c r="C58" s="68">
        <f>IF(ISNUMBER('固定資産台帳'!$G58),MAX(ROUND('固定資産台帳'!$G58,0),0),0)</f>
        <v/>
      </c>
      <c r="D58" s="84">
        <f>IF(ISNUMBER('固定資産台帳'!$E58),INT('固定資産台帳'!$E58),0)</f>
        <v/>
      </c>
      <c r="E58" s="84">
        <f>IF(ISNUMBER('固定資産台帳'!$F58),INT('固定資産台帳'!$F58),$D58)</f>
        <v/>
      </c>
      <c r="F58" s="68">
        <f>IF('固定資産台帳'!$H58="定額法",1,IF(OR('固定資産台帳'!$H58="定率法",'固定資産台帳'!$H58="定率法（200%）",'固定資産台帳'!$H58="定率法（250%）"),2,IF('固定資産台帳'!$H58="一括償却（3年）",3,IF('固定資産台帳'!$H58="少額特例",4,0))))</f>
        <v/>
      </c>
      <c r="G58" s="68">
        <f>IF('固定資産台帳'!$H58="定率法（250%）",250,IF('固定資産台帳'!$H58="定率法（200%）",200,IF($D58&gt;=DATE(2012,4,1),200,250)))</f>
        <v/>
      </c>
      <c r="H58" s="68">
        <f>IF(ISNUMBER('固定資産台帳'!$I58),IF(AND('固定資産台帳'!$I58&gt;=2,'固定資産台帳'!$I58&lt;=100,'固定資産台帳'!$I58=INT('固定資産台帳'!$I58)),'固定資産台帳'!$I58,0),0)</f>
        <v/>
      </c>
      <c r="I58" s="68">
        <f>IF('固定資産台帳'!$C58="無形固定資産",0,1)</f>
        <v/>
      </c>
      <c r="J58" s="68">
        <f>IF(OR($H58=0,$F58=0,$F58&gt;2),0,IF($F58=1,INDEX('償却率表'!$B$6:$B$104,$H58-1),IF($G58=200,INDEX('償却率表'!$C$6:$C$104,$H58-1),INDEX('償却率表'!$F$6:$F$104,$H58-1))))</f>
        <v/>
      </c>
      <c r="K58" s="68">
        <f>IF(AND($F58=2,$H58&gt;0),IF($G58=200,INDEX('償却率表'!$D$6:$D$104,$H58-1),INDEX('償却率表'!$G$6:$G$104,$H58-1)),0)</f>
        <v/>
      </c>
      <c r="L58" s="68">
        <f>IF(AND($F58=2,$H58&gt;0),IF($G58=200,INDEX('償却率表'!$E$6:$E$104,$H58-1),INDEX('償却率表'!$H$6:$H$104,$H58-1)),0)</f>
        <v/>
      </c>
      <c r="M58" s="68">
        <f>$C58*$L58</f>
        <v/>
      </c>
      <c r="N58" s="68">
        <f>IF($B$1=1,1,IF('固定資産台帳'!$J58="",1,IF(ISNUMBER('固定資産台帳'!$J58),IF(AND('固定資産台帳'!$J58&gt;0,'固定資産台帳'!$J58&lt;=1),'固定資産台帳'!$J58,0),0)))</f>
        <v/>
      </c>
      <c r="O58" s="68">
        <f>IF($E58=0,0,YEAR($E58)-IF(MONTH($E58)&lt;$B$2,1,0))</f>
        <v/>
      </c>
      <c r="P58" s="68">
        <f>IF($E58=0,0,12-MOD(MONTH($E58)-$B$2,12))</f>
        <v/>
      </c>
      <c r="Q58" s="84">
        <f>IF(ISNUMBER('固定資産台帳'!$K58),INT('固定資産台帳'!$K58),0)</f>
        <v/>
      </c>
      <c r="R58" s="68">
        <f>IF(OR($Q58=0,$E58=0),999,YEAR($Q58)-IF(MONTH($Q58)&lt;$B$2,1,0)-$O58)</f>
        <v/>
      </c>
      <c r="S58" s="68">
        <f>IF($R58=999,0,MOD(MONTH($Q58)-$B$2,12)+1-IF($R58=0,12-$P58,0))</f>
        <v/>
      </c>
      <c r="T58" s="68">
        <f>IF($B58=0,0,IF($C58&lt;=0,1,IF($D58=0,2,IF($F58=0,3,IF(AND($F58&lt;=2,$H58=0),4,IF(AND($F58&lt;=2,$D58&lt;DATE(2007,4,1)),5,IF($E58&lt;$D58,6,IF(AND($Q58&gt;0,$Q58&lt;$E58),7,IF($N58=0,8,IF($B$3=0,9,0))))))))))</f>
        <v/>
      </c>
      <c r="U58" s="68">
        <f>IF(AND($B58=1,$T58=0),1,0)</f>
        <v/>
      </c>
      <c r="V58" s="68">
        <f>$B$3-$O58</f>
        <v/>
      </c>
      <c r="W58" s="68">
        <f>IF(AND($U58=1,$V58&gt;=0),1,0)</f>
        <v/>
      </c>
      <c r="X58" s="68">
        <f>IF($W58=0,0,IF($V58=0,$C58,INDEX($AS58:$EP58,MIN($V58,102))))</f>
        <v/>
      </c>
      <c r="Y58" s="68">
        <f>IF($W58=0,0,INDEX($AS58:$EP58,MIN($V58,101)+1))</f>
        <v/>
      </c>
      <c r="Z58" s="68">
        <f>$X58-$Y58</f>
        <v/>
      </c>
      <c r="AA58" s="68">
        <f>IF(AND($W58=1,$F58=2,$V58&gt;=1),INDEX($ER58:$IN58,MIN($V58,101)),0)</f>
        <v/>
      </c>
      <c r="AB58" s="68">
        <f>IF(OR($W58=0,$F58&gt;2,$Z58=0),0,IF($V58=0,IF($R58=0,$S58,$P58),IF($V58=$R58,$S58,12)))</f>
        <v/>
      </c>
      <c r="AC58" s="68">
        <f>IF($W58=0,0,INT(ROUND($Z58*$N58,6)+$B$4))</f>
        <v/>
      </c>
      <c r="AD58" s="68">
        <f>IF(AND($W58=1,$F58&lt;=2,$V58=$R58),1,0)</f>
        <v/>
      </c>
      <c r="AE58" s="68">
        <f>IF(AND($W58=1,$F58&lt;=2,$V58&gt;$R58),1,0)</f>
        <v/>
      </c>
      <c r="AF58" s="68">
        <f>IF(AND($W58=1,$AE58=0,OR($Z58&gt;0,$AD58=1)),1,0)</f>
        <v/>
      </c>
      <c r="AG58" s="68">
        <f>IF($AF58=1,SUM($AF$6:$AF58),0)</f>
        <v/>
      </c>
      <c r="AH58" s="68">
        <f>IF($T58=0,"",CHOOSE($T58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58" s="68">
        <f>IF(AND($F58=2,OR('固定資産台帳'!$C58="建物",'固定資産台帳'!$C58="無形固定資産",AND(OR('固定資産台帳'!$C58="建物附属設備",'固定資産台帳'!$C58="構築物"),$D58&gt;=DATE(2016,4,1)))),"この資産は定額法だけです（定率法は使えません）。","")&amp;IF(AND($F58=3,$C58&gt;=200000),"一括償却は20万円未満の資産だけです。","")&amp;IF(AND($F58=3,$B$1=0,$C58&lt;100000),"10万円未満は一括償却にせず、全額をその年の経費にします。","")&amp;IF(AND($F58=4,$C58&lt;100000),"10万円未満は少額特例ではなく、全額をその年の経費にします。","")&amp;IF(AND($F58=4,$D58&lt;DATE(2026,4,1),$C58&gt;=300000),"2026年3月31日までの取得で少額特例が使えるのは30万円未満です。","")&amp;IF(AND($F58=4,$D58&gt;=DATE(2026,4,1),$C58&gt;=400000),"少額特例は40万円未満の資産だけです。","")&amp;IF(AND($F58=4,OR($D58&lt;DATE(2006,4,1),$D58&gt;DATE(2029,3,31))),"少額特例は2006年4月1日〜2029年3月31日に取得した資産だけです。","")&amp;IF(AND($F58=2,$G58=250,$D58&gt;DATE(2012,12,31)),"250%定率法は2012年12月31日までの取得だけです。","")</f>
        <v/>
      </c>
      <c r="AJ58" s="68">
        <f>IF(AND($F58=2,'固定資産台帳'!$H58="定率法（200%）",$D58&lt;DATE(2012,4,1)),"2012年3月31日までの取得に200%を使うのは、経過措置の届出をした場合です。","")&amp;IF(AND($F58=2,'固定資産台帳'!$H58="定率法（250%）",$D58&gt;=DATE(2012,4,1),$D58&lt;=DATE(2012,12,31)),"2012年4〜12月の取得に250%を使うのは、経過措置を選んだ場合です。","")</f>
        <v/>
      </c>
      <c r="AK58" s="68">
        <f>IF($U58=0,"",IF($V58&lt;0,"表示している年より後に使い始める資産です。",IF($AE58=1,"売却・除却済みです。",IF($AD58=1,"この年に売却・除却。期末の帳簿価額 "&amp;TEXT($Y58,"#,##0")&amp;"円を帳簿から外します。",IF($F58=4,IF($V58=0,"少額特例：この年に全額を経費にします。","少額特例で経費にした資産です。"),IF($F58=3,IF($V58&gt;2,"一括償却は終わっています。","一括償却 "&amp;($V58+1)&amp;"年目（3年のうち）。"),IF($Z58=0,"償却済み（帳簿価額 "&amp;TEXT($Y58,"#,##0")&amp;"円）。",IF($AA58&gt;0,"改定償却率で計算（改定取得価額 "&amp;TEXT($AA58,"#,##0")&amp;"円）。",IF($V58=0,"この年に使い始め（"&amp;$AB58&amp;"か月分）。","")))))))))</f>
        <v/>
      </c>
      <c r="AL58" s="68">
        <f>IF(AND($U58=1,$F58=4,$V58=0),$C58,0)</f>
        <v/>
      </c>
      <c r="AM58" s="68">
        <f>IF($F58=2,INT(ROUND($M58,6)+$B$4),0)</f>
        <v/>
      </c>
      <c r="AN58" s="68">
        <f>IF($W58=0,0,IF($F58=2,IF($AA58&gt;0,$AA58,$X58),$C58))</f>
        <v/>
      </c>
      <c r="AO58" s="68">
        <f>IF($W58=0,"",IF($F58=3,"1/3",IF($F58=4,"―",IF($AA58&gt;0,$K58,$J58))))</f>
        <v/>
      </c>
      <c r="AP58" s="68" t="n"/>
      <c r="AQ58" s="68" t="n"/>
      <c r="AR58" s="68" t="n"/>
      <c r="AS58" s="68">
        <f>IF($U58=0,0,IF($F58=4,0,IF($F58=3,MAX($C58-INT(ROUND($C58/3,6)+$B$4),0),$C58-MIN(INT(ROUND($C58*$J58*IF($R58=0,$S58,$P58)/12,6)+$B$4),MAX($C58-$I58,0)))))</f>
        <v/>
      </c>
      <c r="AT58" s="68">
        <f>IF($U58=0,0,IF($F58=4,0,IF($F58=3,AS58-MIN(INT(ROUND($C58/3,6)+$B$4),AS58),IF(OR(1&gt;$R58,AS58&lt;=$I58),AS58,AS58-MIN(INT(ROUND(IF($F58=1,$C58*$J58,IF(ER58&gt;0,ER58*$K58,AS58*$J58))*IF(1=$R58,$S58,12)/12,6)+$B$4),AS58-$I58)))))</f>
        <v/>
      </c>
      <c r="AU58" s="68">
        <f>IF($U58=0,0,IF($F58=4,0,IF($F58=3,0,IF(OR(2&gt;$R58,AT58&lt;=$I58),AT58,AT58-MIN(INT(ROUND(IF($F58=1,$C58*$J58,IF(ES58&gt;0,ES58*$K58,AT58*$J58))*IF(2=$R58,$S58,12)/12,6)+$B$4),AT58-$I58)))))</f>
        <v/>
      </c>
      <c r="AV58" s="68">
        <f>IF($U58=0,0,IF($F58=4,0,IF($F58=3,0,IF(OR(3&gt;$R58,AU58&lt;=$I58),AU58,AU58-MIN(INT(ROUND(IF($F58=1,$C58*$J58,IF(ET58&gt;0,ET58*$K58,AU58*$J58))*IF(3=$R58,$S58,12)/12,6)+$B$4),AU58-$I58)))))</f>
        <v/>
      </c>
      <c r="AW58" s="68">
        <f>IF($U58=0,0,IF($F58=4,0,IF($F58=3,0,IF(OR(4&gt;$R58,AV58&lt;=$I58),AV58,AV58-MIN(INT(ROUND(IF($F58=1,$C58*$J58,IF(EU58&gt;0,EU58*$K58,AV58*$J58))*IF(4=$R58,$S58,12)/12,6)+$B$4),AV58-$I58)))))</f>
        <v/>
      </c>
      <c r="AX58" s="68">
        <f>IF($U58=0,0,IF($F58=4,0,IF($F58=3,0,IF(OR(5&gt;$R58,AW58&lt;=$I58),AW58,AW58-MIN(INT(ROUND(IF($F58=1,$C58*$J58,IF(EV58&gt;0,EV58*$K58,AW58*$J58))*IF(5=$R58,$S58,12)/12,6)+$B$4),AW58-$I58)))))</f>
        <v/>
      </c>
      <c r="AY58" s="68">
        <f>IF($U58=0,0,IF($F58=4,0,IF($F58=3,0,IF(OR(6&gt;$R58,AX58&lt;=$I58),AX58,AX58-MIN(INT(ROUND(IF($F58=1,$C58*$J58,IF(EW58&gt;0,EW58*$K58,AX58*$J58))*IF(6=$R58,$S58,12)/12,6)+$B$4),AX58-$I58)))))</f>
        <v/>
      </c>
      <c r="AZ58" s="68">
        <f>IF($U58=0,0,IF($F58=4,0,IF($F58=3,0,IF(OR(7&gt;$R58,AY58&lt;=$I58),AY58,AY58-MIN(INT(ROUND(IF($F58=1,$C58*$J58,IF(EX58&gt;0,EX58*$K58,AY58*$J58))*IF(7=$R58,$S58,12)/12,6)+$B$4),AY58-$I58)))))</f>
        <v/>
      </c>
      <c r="BA58" s="68">
        <f>IF($U58=0,0,IF($F58=4,0,IF($F58=3,0,IF(OR(8&gt;$R58,AZ58&lt;=$I58),AZ58,AZ58-MIN(INT(ROUND(IF($F58=1,$C58*$J58,IF(EY58&gt;0,EY58*$K58,AZ58*$J58))*IF(8=$R58,$S58,12)/12,6)+$B$4),AZ58-$I58)))))</f>
        <v/>
      </c>
      <c r="BB58" s="68">
        <f>IF($U58=0,0,IF($F58=4,0,IF($F58=3,0,IF(OR(9&gt;$R58,BA58&lt;=$I58),BA58,BA58-MIN(INT(ROUND(IF($F58=1,$C58*$J58,IF(EZ58&gt;0,EZ58*$K58,BA58*$J58))*IF(9=$R58,$S58,12)/12,6)+$B$4),BA58-$I58)))))</f>
        <v/>
      </c>
      <c r="BC58" s="68">
        <f>IF($U58=0,0,IF($F58=4,0,IF($F58=3,0,IF(OR(10&gt;$R58,BB58&lt;=$I58),BB58,BB58-MIN(INT(ROUND(IF($F58=1,$C58*$J58,IF(FA58&gt;0,FA58*$K58,BB58*$J58))*IF(10=$R58,$S58,12)/12,6)+$B$4),BB58-$I58)))))</f>
        <v/>
      </c>
      <c r="BD58" s="68">
        <f>IF($U58=0,0,IF($F58=4,0,IF($F58=3,0,IF(OR(11&gt;$R58,BC58&lt;=$I58),BC58,BC58-MIN(INT(ROUND(IF($F58=1,$C58*$J58,IF(FB58&gt;0,FB58*$K58,BC58*$J58))*IF(11=$R58,$S58,12)/12,6)+$B$4),BC58-$I58)))))</f>
        <v/>
      </c>
      <c r="BE58" s="68">
        <f>IF($U58=0,0,IF($F58=4,0,IF($F58=3,0,IF(OR(12&gt;$R58,BD58&lt;=$I58),BD58,BD58-MIN(INT(ROUND(IF($F58=1,$C58*$J58,IF(FC58&gt;0,FC58*$K58,BD58*$J58))*IF(12=$R58,$S58,12)/12,6)+$B$4),BD58-$I58)))))</f>
        <v/>
      </c>
      <c r="BF58" s="68">
        <f>IF($U58=0,0,IF($F58=4,0,IF($F58=3,0,IF(OR(13&gt;$R58,BE58&lt;=$I58),BE58,BE58-MIN(INT(ROUND(IF($F58=1,$C58*$J58,IF(FD58&gt;0,FD58*$K58,BE58*$J58))*IF(13=$R58,$S58,12)/12,6)+$B$4),BE58-$I58)))))</f>
        <v/>
      </c>
      <c r="BG58" s="68">
        <f>IF($U58=0,0,IF($F58=4,0,IF($F58=3,0,IF(OR(14&gt;$R58,BF58&lt;=$I58),BF58,BF58-MIN(INT(ROUND(IF($F58=1,$C58*$J58,IF(FE58&gt;0,FE58*$K58,BF58*$J58))*IF(14=$R58,$S58,12)/12,6)+$B$4),BF58-$I58)))))</f>
        <v/>
      </c>
      <c r="BH58" s="68">
        <f>IF($U58=0,0,IF($F58=4,0,IF($F58=3,0,IF(OR(15&gt;$R58,BG58&lt;=$I58),BG58,BG58-MIN(INT(ROUND(IF($F58=1,$C58*$J58,IF(FF58&gt;0,FF58*$K58,BG58*$J58))*IF(15=$R58,$S58,12)/12,6)+$B$4),BG58-$I58)))))</f>
        <v/>
      </c>
      <c r="BI58" s="68">
        <f>IF($U58=0,0,IF($F58=4,0,IF($F58=3,0,IF(OR(16&gt;$R58,BH58&lt;=$I58),BH58,BH58-MIN(INT(ROUND(IF($F58=1,$C58*$J58,IF(FG58&gt;0,FG58*$K58,BH58*$J58))*IF(16=$R58,$S58,12)/12,6)+$B$4),BH58-$I58)))))</f>
        <v/>
      </c>
      <c r="BJ58" s="68">
        <f>IF($U58=0,0,IF($F58=4,0,IF($F58=3,0,IF(OR(17&gt;$R58,BI58&lt;=$I58),BI58,BI58-MIN(INT(ROUND(IF($F58=1,$C58*$J58,IF(FH58&gt;0,FH58*$K58,BI58*$J58))*IF(17=$R58,$S58,12)/12,6)+$B$4),BI58-$I58)))))</f>
        <v/>
      </c>
      <c r="BK58" s="68">
        <f>IF($U58=0,0,IF($F58=4,0,IF($F58=3,0,IF(OR(18&gt;$R58,BJ58&lt;=$I58),BJ58,BJ58-MIN(INT(ROUND(IF($F58=1,$C58*$J58,IF(FI58&gt;0,FI58*$K58,BJ58*$J58))*IF(18=$R58,$S58,12)/12,6)+$B$4),BJ58-$I58)))))</f>
        <v/>
      </c>
      <c r="BL58" s="68">
        <f>IF($U58=0,0,IF($F58=4,0,IF($F58=3,0,IF(OR(19&gt;$R58,BK58&lt;=$I58),BK58,BK58-MIN(INT(ROUND(IF($F58=1,$C58*$J58,IF(FJ58&gt;0,FJ58*$K58,BK58*$J58))*IF(19=$R58,$S58,12)/12,6)+$B$4),BK58-$I58)))))</f>
        <v/>
      </c>
      <c r="BM58" s="68">
        <f>IF($U58=0,0,IF($F58=4,0,IF($F58=3,0,IF(OR(20&gt;$R58,BL58&lt;=$I58),BL58,BL58-MIN(INT(ROUND(IF($F58=1,$C58*$J58,IF(FK58&gt;0,FK58*$K58,BL58*$J58))*IF(20=$R58,$S58,12)/12,6)+$B$4),BL58-$I58)))))</f>
        <v/>
      </c>
      <c r="BN58" s="68">
        <f>IF($U58=0,0,IF($F58=4,0,IF($F58=3,0,IF(OR(21&gt;$R58,BM58&lt;=$I58),BM58,BM58-MIN(INT(ROUND(IF($F58=1,$C58*$J58,IF(FL58&gt;0,FL58*$K58,BM58*$J58))*IF(21=$R58,$S58,12)/12,6)+$B$4),BM58-$I58)))))</f>
        <v/>
      </c>
      <c r="BO58" s="68">
        <f>IF($U58=0,0,IF($F58=4,0,IF($F58=3,0,IF(OR(22&gt;$R58,BN58&lt;=$I58),BN58,BN58-MIN(INT(ROUND(IF($F58=1,$C58*$J58,IF(FM58&gt;0,FM58*$K58,BN58*$J58))*IF(22=$R58,$S58,12)/12,6)+$B$4),BN58-$I58)))))</f>
        <v/>
      </c>
      <c r="BP58" s="68">
        <f>IF($U58=0,0,IF($F58=4,0,IF($F58=3,0,IF(OR(23&gt;$R58,BO58&lt;=$I58),BO58,BO58-MIN(INT(ROUND(IF($F58=1,$C58*$J58,IF(FN58&gt;0,FN58*$K58,BO58*$J58))*IF(23=$R58,$S58,12)/12,6)+$B$4),BO58-$I58)))))</f>
        <v/>
      </c>
      <c r="BQ58" s="68">
        <f>IF($U58=0,0,IF($F58=4,0,IF($F58=3,0,IF(OR(24&gt;$R58,BP58&lt;=$I58),BP58,BP58-MIN(INT(ROUND(IF($F58=1,$C58*$J58,IF(FO58&gt;0,FO58*$K58,BP58*$J58))*IF(24=$R58,$S58,12)/12,6)+$B$4),BP58-$I58)))))</f>
        <v/>
      </c>
      <c r="BR58" s="68">
        <f>IF($U58=0,0,IF($F58=4,0,IF($F58=3,0,IF(OR(25&gt;$R58,BQ58&lt;=$I58),BQ58,BQ58-MIN(INT(ROUND(IF($F58=1,$C58*$J58,IF(FP58&gt;0,FP58*$K58,BQ58*$J58))*IF(25=$R58,$S58,12)/12,6)+$B$4),BQ58-$I58)))))</f>
        <v/>
      </c>
      <c r="BS58" s="68">
        <f>IF($U58=0,0,IF($F58=4,0,IF($F58=3,0,IF(OR(26&gt;$R58,BR58&lt;=$I58),BR58,BR58-MIN(INT(ROUND(IF($F58=1,$C58*$J58,IF(FQ58&gt;0,FQ58*$K58,BR58*$J58))*IF(26=$R58,$S58,12)/12,6)+$B$4),BR58-$I58)))))</f>
        <v/>
      </c>
      <c r="BT58" s="68">
        <f>IF($U58=0,0,IF($F58=4,0,IF($F58=3,0,IF(OR(27&gt;$R58,BS58&lt;=$I58),BS58,BS58-MIN(INT(ROUND(IF($F58=1,$C58*$J58,IF(FR58&gt;0,FR58*$K58,BS58*$J58))*IF(27=$R58,$S58,12)/12,6)+$B$4),BS58-$I58)))))</f>
        <v/>
      </c>
      <c r="BU58" s="68">
        <f>IF($U58=0,0,IF($F58=4,0,IF($F58=3,0,IF(OR(28&gt;$R58,BT58&lt;=$I58),BT58,BT58-MIN(INT(ROUND(IF($F58=1,$C58*$J58,IF(FS58&gt;0,FS58*$K58,BT58*$J58))*IF(28=$R58,$S58,12)/12,6)+$B$4),BT58-$I58)))))</f>
        <v/>
      </c>
      <c r="BV58" s="68">
        <f>IF($U58=0,0,IF($F58=4,0,IF($F58=3,0,IF(OR(29&gt;$R58,BU58&lt;=$I58),BU58,BU58-MIN(INT(ROUND(IF($F58=1,$C58*$J58,IF(FT58&gt;0,FT58*$K58,BU58*$J58))*IF(29=$R58,$S58,12)/12,6)+$B$4),BU58-$I58)))))</f>
        <v/>
      </c>
      <c r="BW58" s="68">
        <f>IF($U58=0,0,IF($F58=4,0,IF($F58=3,0,IF(OR(30&gt;$R58,BV58&lt;=$I58),BV58,BV58-MIN(INT(ROUND(IF($F58=1,$C58*$J58,IF(FU58&gt;0,FU58*$K58,BV58*$J58))*IF(30=$R58,$S58,12)/12,6)+$B$4),BV58-$I58)))))</f>
        <v/>
      </c>
      <c r="BX58" s="68">
        <f>IF($U58=0,0,IF($F58=4,0,IF($F58=3,0,IF(OR(31&gt;$R58,BW58&lt;=$I58),BW58,BW58-MIN(INT(ROUND(IF($F58=1,$C58*$J58,IF(FV58&gt;0,FV58*$K58,BW58*$J58))*IF(31=$R58,$S58,12)/12,6)+$B$4),BW58-$I58)))))</f>
        <v/>
      </c>
      <c r="BY58" s="68">
        <f>IF($U58=0,0,IF($F58=4,0,IF($F58=3,0,IF(OR(32&gt;$R58,BX58&lt;=$I58),BX58,BX58-MIN(INT(ROUND(IF($F58=1,$C58*$J58,IF(FW58&gt;0,FW58*$K58,BX58*$J58))*IF(32=$R58,$S58,12)/12,6)+$B$4),BX58-$I58)))))</f>
        <v/>
      </c>
      <c r="BZ58" s="68">
        <f>IF($U58=0,0,IF($F58=4,0,IF($F58=3,0,IF(OR(33&gt;$R58,BY58&lt;=$I58),BY58,BY58-MIN(INT(ROUND(IF($F58=1,$C58*$J58,IF(FX58&gt;0,FX58*$K58,BY58*$J58))*IF(33=$R58,$S58,12)/12,6)+$B$4),BY58-$I58)))))</f>
        <v/>
      </c>
      <c r="CA58" s="68">
        <f>IF($U58=0,0,IF($F58=4,0,IF($F58=3,0,IF(OR(34&gt;$R58,BZ58&lt;=$I58),BZ58,BZ58-MIN(INT(ROUND(IF($F58=1,$C58*$J58,IF(FY58&gt;0,FY58*$K58,BZ58*$J58))*IF(34=$R58,$S58,12)/12,6)+$B$4),BZ58-$I58)))))</f>
        <v/>
      </c>
      <c r="CB58" s="68">
        <f>IF($U58=0,0,IF($F58=4,0,IF($F58=3,0,IF(OR(35&gt;$R58,CA58&lt;=$I58),CA58,CA58-MIN(INT(ROUND(IF($F58=1,$C58*$J58,IF(FZ58&gt;0,FZ58*$K58,CA58*$J58))*IF(35=$R58,$S58,12)/12,6)+$B$4),CA58-$I58)))))</f>
        <v/>
      </c>
      <c r="CC58" s="68">
        <f>IF($U58=0,0,IF($F58=4,0,IF($F58=3,0,IF(OR(36&gt;$R58,CB58&lt;=$I58),CB58,CB58-MIN(INT(ROUND(IF($F58=1,$C58*$J58,IF(GA58&gt;0,GA58*$K58,CB58*$J58))*IF(36=$R58,$S58,12)/12,6)+$B$4),CB58-$I58)))))</f>
        <v/>
      </c>
      <c r="CD58" s="68">
        <f>IF($U58=0,0,IF($F58=4,0,IF($F58=3,0,IF(OR(37&gt;$R58,CC58&lt;=$I58),CC58,CC58-MIN(INT(ROUND(IF($F58=1,$C58*$J58,IF(GB58&gt;0,GB58*$K58,CC58*$J58))*IF(37=$R58,$S58,12)/12,6)+$B$4),CC58-$I58)))))</f>
        <v/>
      </c>
      <c r="CE58" s="68">
        <f>IF($U58=0,0,IF($F58=4,0,IF($F58=3,0,IF(OR(38&gt;$R58,CD58&lt;=$I58),CD58,CD58-MIN(INT(ROUND(IF($F58=1,$C58*$J58,IF(GC58&gt;0,GC58*$K58,CD58*$J58))*IF(38=$R58,$S58,12)/12,6)+$B$4),CD58-$I58)))))</f>
        <v/>
      </c>
      <c r="CF58" s="68">
        <f>IF($U58=0,0,IF($F58=4,0,IF($F58=3,0,IF(OR(39&gt;$R58,CE58&lt;=$I58),CE58,CE58-MIN(INT(ROUND(IF($F58=1,$C58*$J58,IF(GD58&gt;0,GD58*$K58,CE58*$J58))*IF(39=$R58,$S58,12)/12,6)+$B$4),CE58-$I58)))))</f>
        <v/>
      </c>
      <c r="CG58" s="68">
        <f>IF($U58=0,0,IF($F58=4,0,IF($F58=3,0,IF(OR(40&gt;$R58,CF58&lt;=$I58),CF58,CF58-MIN(INT(ROUND(IF($F58=1,$C58*$J58,IF(GE58&gt;0,GE58*$K58,CF58*$J58))*IF(40=$R58,$S58,12)/12,6)+$B$4),CF58-$I58)))))</f>
        <v/>
      </c>
      <c r="CH58" s="68">
        <f>IF($U58=0,0,IF($F58=4,0,IF($F58=3,0,IF(OR(41&gt;$R58,CG58&lt;=$I58),CG58,CG58-MIN(INT(ROUND(IF($F58=1,$C58*$J58,IF(GF58&gt;0,GF58*$K58,CG58*$J58))*IF(41=$R58,$S58,12)/12,6)+$B$4),CG58-$I58)))))</f>
        <v/>
      </c>
      <c r="CI58" s="68">
        <f>IF($U58=0,0,IF($F58=4,0,IF($F58=3,0,IF(OR(42&gt;$R58,CH58&lt;=$I58),CH58,CH58-MIN(INT(ROUND(IF($F58=1,$C58*$J58,IF(GG58&gt;0,GG58*$K58,CH58*$J58))*IF(42=$R58,$S58,12)/12,6)+$B$4),CH58-$I58)))))</f>
        <v/>
      </c>
      <c r="CJ58" s="68">
        <f>IF($U58=0,0,IF($F58=4,0,IF($F58=3,0,IF(OR(43&gt;$R58,CI58&lt;=$I58),CI58,CI58-MIN(INT(ROUND(IF($F58=1,$C58*$J58,IF(GH58&gt;0,GH58*$K58,CI58*$J58))*IF(43=$R58,$S58,12)/12,6)+$B$4),CI58-$I58)))))</f>
        <v/>
      </c>
      <c r="CK58" s="68">
        <f>IF($U58=0,0,IF($F58=4,0,IF($F58=3,0,IF(OR(44&gt;$R58,CJ58&lt;=$I58),CJ58,CJ58-MIN(INT(ROUND(IF($F58=1,$C58*$J58,IF(GI58&gt;0,GI58*$K58,CJ58*$J58))*IF(44=$R58,$S58,12)/12,6)+$B$4),CJ58-$I58)))))</f>
        <v/>
      </c>
      <c r="CL58" s="68">
        <f>IF($U58=0,0,IF($F58=4,0,IF($F58=3,0,IF(OR(45&gt;$R58,CK58&lt;=$I58),CK58,CK58-MIN(INT(ROUND(IF($F58=1,$C58*$J58,IF(GJ58&gt;0,GJ58*$K58,CK58*$J58))*IF(45=$R58,$S58,12)/12,6)+$B$4),CK58-$I58)))))</f>
        <v/>
      </c>
      <c r="CM58" s="68">
        <f>IF($U58=0,0,IF($F58=4,0,IF($F58=3,0,IF(OR(46&gt;$R58,CL58&lt;=$I58),CL58,CL58-MIN(INT(ROUND(IF($F58=1,$C58*$J58,IF(GK58&gt;0,GK58*$K58,CL58*$J58))*IF(46=$R58,$S58,12)/12,6)+$B$4),CL58-$I58)))))</f>
        <v/>
      </c>
      <c r="CN58" s="68">
        <f>IF($U58=0,0,IF($F58=4,0,IF($F58=3,0,IF(OR(47&gt;$R58,CM58&lt;=$I58),CM58,CM58-MIN(INT(ROUND(IF($F58=1,$C58*$J58,IF(GL58&gt;0,GL58*$K58,CM58*$J58))*IF(47=$R58,$S58,12)/12,6)+$B$4),CM58-$I58)))))</f>
        <v/>
      </c>
      <c r="CO58" s="68">
        <f>IF($U58=0,0,IF($F58=4,0,IF($F58=3,0,IF(OR(48&gt;$R58,CN58&lt;=$I58),CN58,CN58-MIN(INT(ROUND(IF($F58=1,$C58*$J58,IF(GM58&gt;0,GM58*$K58,CN58*$J58))*IF(48=$R58,$S58,12)/12,6)+$B$4),CN58-$I58)))))</f>
        <v/>
      </c>
      <c r="CP58" s="68">
        <f>IF($U58=0,0,IF($F58=4,0,IF($F58=3,0,IF(OR(49&gt;$R58,CO58&lt;=$I58),CO58,CO58-MIN(INT(ROUND(IF($F58=1,$C58*$J58,IF(GN58&gt;0,GN58*$K58,CO58*$J58))*IF(49=$R58,$S58,12)/12,6)+$B$4),CO58-$I58)))))</f>
        <v/>
      </c>
      <c r="CQ58" s="68">
        <f>IF($U58=0,0,IF($F58=4,0,IF($F58=3,0,IF(OR(50&gt;$R58,CP58&lt;=$I58),CP58,CP58-MIN(INT(ROUND(IF($F58=1,$C58*$J58,IF(GO58&gt;0,GO58*$K58,CP58*$J58))*IF(50=$R58,$S58,12)/12,6)+$B$4),CP58-$I58)))))</f>
        <v/>
      </c>
      <c r="CR58" s="68">
        <f>IF($U58=0,0,IF($F58=4,0,IF($F58=3,0,IF(OR(51&gt;$R58,CQ58&lt;=$I58),CQ58,CQ58-MIN(INT(ROUND(IF($F58=1,$C58*$J58,IF(GP58&gt;0,GP58*$K58,CQ58*$J58))*IF(51=$R58,$S58,12)/12,6)+$B$4),CQ58-$I58)))))</f>
        <v/>
      </c>
      <c r="CS58" s="68">
        <f>IF($U58=0,0,IF($F58=4,0,IF($F58=3,0,IF(OR(52&gt;$R58,CR58&lt;=$I58),CR58,CR58-MIN(INT(ROUND(IF($F58=1,$C58*$J58,IF(GQ58&gt;0,GQ58*$K58,CR58*$J58))*IF(52=$R58,$S58,12)/12,6)+$B$4),CR58-$I58)))))</f>
        <v/>
      </c>
      <c r="CT58" s="68">
        <f>IF($U58=0,0,IF($F58=4,0,IF($F58=3,0,IF(OR(53&gt;$R58,CS58&lt;=$I58),CS58,CS58-MIN(INT(ROUND(IF($F58=1,$C58*$J58,IF(GR58&gt;0,GR58*$K58,CS58*$J58))*IF(53=$R58,$S58,12)/12,6)+$B$4),CS58-$I58)))))</f>
        <v/>
      </c>
      <c r="CU58" s="68">
        <f>IF($U58=0,0,IF($F58=4,0,IF($F58=3,0,IF(OR(54&gt;$R58,CT58&lt;=$I58),CT58,CT58-MIN(INT(ROUND(IF($F58=1,$C58*$J58,IF(GS58&gt;0,GS58*$K58,CT58*$J58))*IF(54=$R58,$S58,12)/12,6)+$B$4),CT58-$I58)))))</f>
        <v/>
      </c>
      <c r="CV58" s="68">
        <f>IF($U58=0,0,IF($F58=4,0,IF($F58=3,0,IF(OR(55&gt;$R58,CU58&lt;=$I58),CU58,CU58-MIN(INT(ROUND(IF($F58=1,$C58*$J58,IF(GT58&gt;0,GT58*$K58,CU58*$J58))*IF(55=$R58,$S58,12)/12,6)+$B$4),CU58-$I58)))))</f>
        <v/>
      </c>
      <c r="CW58" s="68">
        <f>IF($U58=0,0,IF($F58=4,0,IF($F58=3,0,IF(OR(56&gt;$R58,CV58&lt;=$I58),CV58,CV58-MIN(INT(ROUND(IF($F58=1,$C58*$J58,IF(GU58&gt;0,GU58*$K58,CV58*$J58))*IF(56=$R58,$S58,12)/12,6)+$B$4),CV58-$I58)))))</f>
        <v/>
      </c>
      <c r="CX58" s="68">
        <f>IF($U58=0,0,IF($F58=4,0,IF($F58=3,0,IF(OR(57&gt;$R58,CW58&lt;=$I58),CW58,CW58-MIN(INT(ROUND(IF($F58=1,$C58*$J58,IF(GV58&gt;0,GV58*$K58,CW58*$J58))*IF(57=$R58,$S58,12)/12,6)+$B$4),CW58-$I58)))))</f>
        <v/>
      </c>
      <c r="CY58" s="68">
        <f>IF($U58=0,0,IF($F58=4,0,IF($F58=3,0,IF(OR(58&gt;$R58,CX58&lt;=$I58),CX58,CX58-MIN(INT(ROUND(IF($F58=1,$C58*$J58,IF(GW58&gt;0,GW58*$K58,CX58*$J58))*IF(58=$R58,$S58,12)/12,6)+$B$4),CX58-$I58)))))</f>
        <v/>
      </c>
      <c r="CZ58" s="68">
        <f>IF($U58=0,0,IF($F58=4,0,IF($F58=3,0,IF(OR(59&gt;$R58,CY58&lt;=$I58),CY58,CY58-MIN(INT(ROUND(IF($F58=1,$C58*$J58,IF(GX58&gt;0,GX58*$K58,CY58*$J58))*IF(59=$R58,$S58,12)/12,6)+$B$4),CY58-$I58)))))</f>
        <v/>
      </c>
      <c r="DA58" s="68">
        <f>IF($U58=0,0,IF($F58=4,0,IF($F58=3,0,IF(OR(60&gt;$R58,CZ58&lt;=$I58),CZ58,CZ58-MIN(INT(ROUND(IF($F58=1,$C58*$J58,IF(GY58&gt;0,GY58*$K58,CZ58*$J58))*IF(60=$R58,$S58,12)/12,6)+$B$4),CZ58-$I58)))))</f>
        <v/>
      </c>
      <c r="DB58" s="68">
        <f>IF($U58=0,0,IF($F58=4,0,IF($F58=3,0,IF(OR(61&gt;$R58,DA58&lt;=$I58),DA58,DA58-MIN(INT(ROUND(IF($F58=1,$C58*$J58,IF(GZ58&gt;0,GZ58*$K58,DA58*$J58))*IF(61=$R58,$S58,12)/12,6)+$B$4),DA58-$I58)))))</f>
        <v/>
      </c>
      <c r="DC58" s="68">
        <f>IF($U58=0,0,IF($F58=4,0,IF($F58=3,0,IF(OR(62&gt;$R58,DB58&lt;=$I58),DB58,DB58-MIN(INT(ROUND(IF($F58=1,$C58*$J58,IF(HA58&gt;0,HA58*$K58,DB58*$J58))*IF(62=$R58,$S58,12)/12,6)+$B$4),DB58-$I58)))))</f>
        <v/>
      </c>
      <c r="DD58" s="68">
        <f>IF($U58=0,0,IF($F58=4,0,IF($F58=3,0,IF(OR(63&gt;$R58,DC58&lt;=$I58),DC58,DC58-MIN(INT(ROUND(IF($F58=1,$C58*$J58,IF(HB58&gt;0,HB58*$K58,DC58*$J58))*IF(63=$R58,$S58,12)/12,6)+$B$4),DC58-$I58)))))</f>
        <v/>
      </c>
      <c r="DE58" s="68">
        <f>IF($U58=0,0,IF($F58=4,0,IF($F58=3,0,IF(OR(64&gt;$R58,DD58&lt;=$I58),DD58,DD58-MIN(INT(ROUND(IF($F58=1,$C58*$J58,IF(HC58&gt;0,HC58*$K58,DD58*$J58))*IF(64=$R58,$S58,12)/12,6)+$B$4),DD58-$I58)))))</f>
        <v/>
      </c>
      <c r="DF58" s="68">
        <f>IF($U58=0,0,IF($F58=4,0,IF($F58=3,0,IF(OR(65&gt;$R58,DE58&lt;=$I58),DE58,DE58-MIN(INT(ROUND(IF($F58=1,$C58*$J58,IF(HD58&gt;0,HD58*$K58,DE58*$J58))*IF(65=$R58,$S58,12)/12,6)+$B$4),DE58-$I58)))))</f>
        <v/>
      </c>
      <c r="DG58" s="68">
        <f>IF($U58=0,0,IF($F58=4,0,IF($F58=3,0,IF(OR(66&gt;$R58,DF58&lt;=$I58),DF58,DF58-MIN(INT(ROUND(IF($F58=1,$C58*$J58,IF(HE58&gt;0,HE58*$K58,DF58*$J58))*IF(66=$R58,$S58,12)/12,6)+$B$4),DF58-$I58)))))</f>
        <v/>
      </c>
      <c r="DH58" s="68">
        <f>IF($U58=0,0,IF($F58=4,0,IF($F58=3,0,IF(OR(67&gt;$R58,DG58&lt;=$I58),DG58,DG58-MIN(INT(ROUND(IF($F58=1,$C58*$J58,IF(HF58&gt;0,HF58*$K58,DG58*$J58))*IF(67=$R58,$S58,12)/12,6)+$B$4),DG58-$I58)))))</f>
        <v/>
      </c>
      <c r="DI58" s="68">
        <f>IF($U58=0,0,IF($F58=4,0,IF($F58=3,0,IF(OR(68&gt;$R58,DH58&lt;=$I58),DH58,DH58-MIN(INT(ROUND(IF($F58=1,$C58*$J58,IF(HG58&gt;0,HG58*$K58,DH58*$J58))*IF(68=$R58,$S58,12)/12,6)+$B$4),DH58-$I58)))))</f>
        <v/>
      </c>
      <c r="DJ58" s="68">
        <f>IF($U58=0,0,IF($F58=4,0,IF($F58=3,0,IF(OR(69&gt;$R58,DI58&lt;=$I58),DI58,DI58-MIN(INT(ROUND(IF($F58=1,$C58*$J58,IF(HH58&gt;0,HH58*$K58,DI58*$J58))*IF(69=$R58,$S58,12)/12,6)+$B$4),DI58-$I58)))))</f>
        <v/>
      </c>
      <c r="DK58" s="68">
        <f>IF($U58=0,0,IF($F58=4,0,IF($F58=3,0,IF(OR(70&gt;$R58,DJ58&lt;=$I58),DJ58,DJ58-MIN(INT(ROUND(IF($F58=1,$C58*$J58,IF(HI58&gt;0,HI58*$K58,DJ58*$J58))*IF(70=$R58,$S58,12)/12,6)+$B$4),DJ58-$I58)))))</f>
        <v/>
      </c>
      <c r="DL58" s="68">
        <f>IF($U58=0,0,IF($F58=4,0,IF($F58=3,0,IF(OR(71&gt;$R58,DK58&lt;=$I58),DK58,DK58-MIN(INT(ROUND(IF($F58=1,$C58*$J58,IF(HJ58&gt;0,HJ58*$K58,DK58*$J58))*IF(71=$R58,$S58,12)/12,6)+$B$4),DK58-$I58)))))</f>
        <v/>
      </c>
      <c r="DM58" s="68">
        <f>IF($U58=0,0,IF($F58=4,0,IF($F58=3,0,IF(OR(72&gt;$R58,DL58&lt;=$I58),DL58,DL58-MIN(INT(ROUND(IF($F58=1,$C58*$J58,IF(HK58&gt;0,HK58*$K58,DL58*$J58))*IF(72=$R58,$S58,12)/12,6)+$B$4),DL58-$I58)))))</f>
        <v/>
      </c>
      <c r="DN58" s="68">
        <f>IF($U58=0,0,IF($F58=4,0,IF($F58=3,0,IF(OR(73&gt;$R58,DM58&lt;=$I58),DM58,DM58-MIN(INT(ROUND(IF($F58=1,$C58*$J58,IF(HL58&gt;0,HL58*$K58,DM58*$J58))*IF(73=$R58,$S58,12)/12,6)+$B$4),DM58-$I58)))))</f>
        <v/>
      </c>
      <c r="DO58" s="68">
        <f>IF($U58=0,0,IF($F58=4,0,IF($F58=3,0,IF(OR(74&gt;$R58,DN58&lt;=$I58),DN58,DN58-MIN(INT(ROUND(IF($F58=1,$C58*$J58,IF(HM58&gt;0,HM58*$K58,DN58*$J58))*IF(74=$R58,$S58,12)/12,6)+$B$4),DN58-$I58)))))</f>
        <v/>
      </c>
      <c r="DP58" s="68">
        <f>IF($U58=0,0,IF($F58=4,0,IF($F58=3,0,IF(OR(75&gt;$R58,DO58&lt;=$I58),DO58,DO58-MIN(INT(ROUND(IF($F58=1,$C58*$J58,IF(HN58&gt;0,HN58*$K58,DO58*$J58))*IF(75=$R58,$S58,12)/12,6)+$B$4),DO58-$I58)))))</f>
        <v/>
      </c>
      <c r="DQ58" s="68">
        <f>IF($U58=0,0,IF($F58=4,0,IF($F58=3,0,IF(OR(76&gt;$R58,DP58&lt;=$I58),DP58,DP58-MIN(INT(ROUND(IF($F58=1,$C58*$J58,IF(HO58&gt;0,HO58*$K58,DP58*$J58))*IF(76=$R58,$S58,12)/12,6)+$B$4),DP58-$I58)))))</f>
        <v/>
      </c>
      <c r="DR58" s="68">
        <f>IF($U58=0,0,IF($F58=4,0,IF($F58=3,0,IF(OR(77&gt;$R58,DQ58&lt;=$I58),DQ58,DQ58-MIN(INT(ROUND(IF($F58=1,$C58*$J58,IF(HP58&gt;0,HP58*$K58,DQ58*$J58))*IF(77=$R58,$S58,12)/12,6)+$B$4),DQ58-$I58)))))</f>
        <v/>
      </c>
      <c r="DS58" s="68">
        <f>IF($U58=0,0,IF($F58=4,0,IF($F58=3,0,IF(OR(78&gt;$R58,DR58&lt;=$I58),DR58,DR58-MIN(INT(ROUND(IF($F58=1,$C58*$J58,IF(HQ58&gt;0,HQ58*$K58,DR58*$J58))*IF(78=$R58,$S58,12)/12,6)+$B$4),DR58-$I58)))))</f>
        <v/>
      </c>
      <c r="DT58" s="68">
        <f>IF($U58=0,0,IF($F58=4,0,IF($F58=3,0,IF(OR(79&gt;$R58,DS58&lt;=$I58),DS58,DS58-MIN(INT(ROUND(IF($F58=1,$C58*$J58,IF(HR58&gt;0,HR58*$K58,DS58*$J58))*IF(79=$R58,$S58,12)/12,6)+$B$4),DS58-$I58)))))</f>
        <v/>
      </c>
      <c r="DU58" s="68">
        <f>IF($U58=0,0,IF($F58=4,0,IF($F58=3,0,IF(OR(80&gt;$R58,DT58&lt;=$I58),DT58,DT58-MIN(INT(ROUND(IF($F58=1,$C58*$J58,IF(HS58&gt;0,HS58*$K58,DT58*$J58))*IF(80=$R58,$S58,12)/12,6)+$B$4),DT58-$I58)))))</f>
        <v/>
      </c>
      <c r="DV58" s="68">
        <f>IF($U58=0,0,IF($F58=4,0,IF($F58=3,0,IF(OR(81&gt;$R58,DU58&lt;=$I58),DU58,DU58-MIN(INT(ROUND(IF($F58=1,$C58*$J58,IF(HT58&gt;0,HT58*$K58,DU58*$J58))*IF(81=$R58,$S58,12)/12,6)+$B$4),DU58-$I58)))))</f>
        <v/>
      </c>
      <c r="DW58" s="68">
        <f>IF($U58=0,0,IF($F58=4,0,IF($F58=3,0,IF(OR(82&gt;$R58,DV58&lt;=$I58),DV58,DV58-MIN(INT(ROUND(IF($F58=1,$C58*$J58,IF(HU58&gt;0,HU58*$K58,DV58*$J58))*IF(82=$R58,$S58,12)/12,6)+$B$4),DV58-$I58)))))</f>
        <v/>
      </c>
      <c r="DX58" s="68">
        <f>IF($U58=0,0,IF($F58=4,0,IF($F58=3,0,IF(OR(83&gt;$R58,DW58&lt;=$I58),DW58,DW58-MIN(INT(ROUND(IF($F58=1,$C58*$J58,IF(HV58&gt;0,HV58*$K58,DW58*$J58))*IF(83=$R58,$S58,12)/12,6)+$B$4),DW58-$I58)))))</f>
        <v/>
      </c>
      <c r="DY58" s="68">
        <f>IF($U58=0,0,IF($F58=4,0,IF($F58=3,0,IF(OR(84&gt;$R58,DX58&lt;=$I58),DX58,DX58-MIN(INT(ROUND(IF($F58=1,$C58*$J58,IF(HW58&gt;0,HW58*$K58,DX58*$J58))*IF(84=$R58,$S58,12)/12,6)+$B$4),DX58-$I58)))))</f>
        <v/>
      </c>
      <c r="DZ58" s="68">
        <f>IF($U58=0,0,IF($F58=4,0,IF($F58=3,0,IF(OR(85&gt;$R58,DY58&lt;=$I58),DY58,DY58-MIN(INT(ROUND(IF($F58=1,$C58*$J58,IF(HX58&gt;0,HX58*$K58,DY58*$J58))*IF(85=$R58,$S58,12)/12,6)+$B$4),DY58-$I58)))))</f>
        <v/>
      </c>
      <c r="EA58" s="68">
        <f>IF($U58=0,0,IF($F58=4,0,IF($F58=3,0,IF(OR(86&gt;$R58,DZ58&lt;=$I58),DZ58,DZ58-MIN(INT(ROUND(IF($F58=1,$C58*$J58,IF(HY58&gt;0,HY58*$K58,DZ58*$J58))*IF(86=$R58,$S58,12)/12,6)+$B$4),DZ58-$I58)))))</f>
        <v/>
      </c>
      <c r="EB58" s="68">
        <f>IF($U58=0,0,IF($F58=4,0,IF($F58=3,0,IF(OR(87&gt;$R58,EA58&lt;=$I58),EA58,EA58-MIN(INT(ROUND(IF($F58=1,$C58*$J58,IF(HZ58&gt;0,HZ58*$K58,EA58*$J58))*IF(87=$R58,$S58,12)/12,6)+$B$4),EA58-$I58)))))</f>
        <v/>
      </c>
      <c r="EC58" s="68">
        <f>IF($U58=0,0,IF($F58=4,0,IF($F58=3,0,IF(OR(88&gt;$R58,EB58&lt;=$I58),EB58,EB58-MIN(INT(ROUND(IF($F58=1,$C58*$J58,IF(IA58&gt;0,IA58*$K58,EB58*$J58))*IF(88=$R58,$S58,12)/12,6)+$B$4),EB58-$I58)))))</f>
        <v/>
      </c>
      <c r="ED58" s="68">
        <f>IF($U58=0,0,IF($F58=4,0,IF($F58=3,0,IF(OR(89&gt;$R58,EC58&lt;=$I58),EC58,EC58-MIN(INT(ROUND(IF($F58=1,$C58*$J58,IF(IB58&gt;0,IB58*$K58,EC58*$J58))*IF(89=$R58,$S58,12)/12,6)+$B$4),EC58-$I58)))))</f>
        <v/>
      </c>
      <c r="EE58" s="68">
        <f>IF($U58=0,0,IF($F58=4,0,IF($F58=3,0,IF(OR(90&gt;$R58,ED58&lt;=$I58),ED58,ED58-MIN(INT(ROUND(IF($F58=1,$C58*$J58,IF(IC58&gt;0,IC58*$K58,ED58*$J58))*IF(90=$R58,$S58,12)/12,6)+$B$4),ED58-$I58)))))</f>
        <v/>
      </c>
      <c r="EF58" s="68">
        <f>IF($U58=0,0,IF($F58=4,0,IF($F58=3,0,IF(OR(91&gt;$R58,EE58&lt;=$I58),EE58,EE58-MIN(INT(ROUND(IF($F58=1,$C58*$J58,IF(ID58&gt;0,ID58*$K58,EE58*$J58))*IF(91=$R58,$S58,12)/12,6)+$B$4),EE58-$I58)))))</f>
        <v/>
      </c>
      <c r="EG58" s="68">
        <f>IF($U58=0,0,IF($F58=4,0,IF($F58=3,0,IF(OR(92&gt;$R58,EF58&lt;=$I58),EF58,EF58-MIN(INT(ROUND(IF($F58=1,$C58*$J58,IF(IE58&gt;0,IE58*$K58,EF58*$J58))*IF(92=$R58,$S58,12)/12,6)+$B$4),EF58-$I58)))))</f>
        <v/>
      </c>
      <c r="EH58" s="68">
        <f>IF($U58=0,0,IF($F58=4,0,IF($F58=3,0,IF(OR(93&gt;$R58,EG58&lt;=$I58),EG58,EG58-MIN(INT(ROUND(IF($F58=1,$C58*$J58,IF(IF58&gt;0,IF58*$K58,EG58*$J58))*IF(93=$R58,$S58,12)/12,6)+$B$4),EG58-$I58)))))</f>
        <v/>
      </c>
      <c r="EI58" s="68">
        <f>IF($U58=0,0,IF($F58=4,0,IF($F58=3,0,IF(OR(94&gt;$R58,EH58&lt;=$I58),EH58,EH58-MIN(INT(ROUND(IF($F58=1,$C58*$J58,IF(IG58&gt;0,IG58*$K58,EH58*$J58))*IF(94=$R58,$S58,12)/12,6)+$B$4),EH58-$I58)))))</f>
        <v/>
      </c>
      <c r="EJ58" s="68">
        <f>IF($U58=0,0,IF($F58=4,0,IF($F58=3,0,IF(OR(95&gt;$R58,EI58&lt;=$I58),EI58,EI58-MIN(INT(ROUND(IF($F58=1,$C58*$J58,IF(IH58&gt;0,IH58*$K58,EI58*$J58))*IF(95=$R58,$S58,12)/12,6)+$B$4),EI58-$I58)))))</f>
        <v/>
      </c>
      <c r="EK58" s="68">
        <f>IF($U58=0,0,IF($F58=4,0,IF($F58=3,0,IF(OR(96&gt;$R58,EJ58&lt;=$I58),EJ58,EJ58-MIN(INT(ROUND(IF($F58=1,$C58*$J58,IF(II58&gt;0,II58*$K58,EJ58*$J58))*IF(96=$R58,$S58,12)/12,6)+$B$4),EJ58-$I58)))))</f>
        <v/>
      </c>
      <c r="EL58" s="68">
        <f>IF($U58=0,0,IF($F58=4,0,IF($F58=3,0,IF(OR(97&gt;$R58,EK58&lt;=$I58),EK58,EK58-MIN(INT(ROUND(IF($F58=1,$C58*$J58,IF(IJ58&gt;0,IJ58*$K58,EK58*$J58))*IF(97=$R58,$S58,12)/12,6)+$B$4),EK58-$I58)))))</f>
        <v/>
      </c>
      <c r="EM58" s="68">
        <f>IF($U58=0,0,IF($F58=4,0,IF($F58=3,0,IF(OR(98&gt;$R58,EL58&lt;=$I58),EL58,EL58-MIN(INT(ROUND(IF($F58=1,$C58*$J58,IF(IK58&gt;0,IK58*$K58,EL58*$J58))*IF(98=$R58,$S58,12)/12,6)+$B$4),EL58-$I58)))))</f>
        <v/>
      </c>
      <c r="EN58" s="68">
        <f>IF($U58=0,0,IF($F58=4,0,IF($F58=3,0,IF(OR(99&gt;$R58,EM58&lt;=$I58),EM58,EM58-MIN(INT(ROUND(IF($F58=1,$C58*$J58,IF(IL58&gt;0,IL58*$K58,EM58*$J58))*IF(99=$R58,$S58,12)/12,6)+$B$4),EM58-$I58)))))</f>
        <v/>
      </c>
      <c r="EO58" s="68">
        <f>IF($U58=0,0,IF($F58=4,0,IF($F58=3,0,IF(OR(100&gt;$R58,EN58&lt;=$I58),EN58,EN58-MIN(INT(ROUND(IF($F58=1,$C58*$J58,IF(IM58&gt;0,IM58*$K58,EN58*$J58))*IF(100=$R58,$S58,12)/12,6)+$B$4),EN58-$I58)))))</f>
        <v/>
      </c>
      <c r="EP58" s="68">
        <f>IF($U58=0,0,IF($F58=4,0,IF($F58=3,0,IF(OR(101&gt;$R58,EO58&lt;=$I58),EO58,EO58-MIN(INT(ROUND(IF($F58=1,$C58*$J58,IF(IN58&gt;0,IN58*$K58,EO58*$J58))*IF(101=$R58,$S58,12)/12,6)+$B$4),EO58-$I58)))))</f>
        <v/>
      </c>
      <c r="EQ58" s="68" t="n"/>
      <c r="ER58" s="68">
        <f>IF(OR($U58=0,$F58&lt;&gt;2),0,IF(ROUND(AS58*$J58,6)&lt;ROUND($M58,6),AS58,0))</f>
        <v/>
      </c>
      <c r="ES58" s="68">
        <f>IF(OR($U58=0,$F58&lt;&gt;2),0,IF(ER58&gt;0,ER58,IF(ROUND(AT58*$J58,6)&lt;ROUND($M58,6),AT58,0)))</f>
        <v/>
      </c>
      <c r="ET58" s="68">
        <f>IF(OR($U58=0,$F58&lt;&gt;2),0,IF(ES58&gt;0,ES58,IF(ROUND(AU58*$J58,6)&lt;ROUND($M58,6),AU58,0)))</f>
        <v/>
      </c>
      <c r="EU58" s="68">
        <f>IF(OR($U58=0,$F58&lt;&gt;2),0,IF(ET58&gt;0,ET58,IF(ROUND(AV58*$J58,6)&lt;ROUND($M58,6),AV58,0)))</f>
        <v/>
      </c>
      <c r="EV58" s="68">
        <f>IF(OR($U58=0,$F58&lt;&gt;2),0,IF(EU58&gt;0,EU58,IF(ROUND(AW58*$J58,6)&lt;ROUND($M58,6),AW58,0)))</f>
        <v/>
      </c>
      <c r="EW58" s="68">
        <f>IF(OR($U58=0,$F58&lt;&gt;2),0,IF(EV58&gt;0,EV58,IF(ROUND(AX58*$J58,6)&lt;ROUND($M58,6),AX58,0)))</f>
        <v/>
      </c>
      <c r="EX58" s="68">
        <f>IF(OR($U58=0,$F58&lt;&gt;2),0,IF(EW58&gt;0,EW58,IF(ROUND(AY58*$J58,6)&lt;ROUND($M58,6),AY58,0)))</f>
        <v/>
      </c>
      <c r="EY58" s="68">
        <f>IF(OR($U58=0,$F58&lt;&gt;2),0,IF(EX58&gt;0,EX58,IF(ROUND(AZ58*$J58,6)&lt;ROUND($M58,6),AZ58,0)))</f>
        <v/>
      </c>
      <c r="EZ58" s="68">
        <f>IF(OR($U58=0,$F58&lt;&gt;2),0,IF(EY58&gt;0,EY58,IF(ROUND(BA58*$J58,6)&lt;ROUND($M58,6),BA58,0)))</f>
        <v/>
      </c>
      <c r="FA58" s="68">
        <f>IF(OR($U58=0,$F58&lt;&gt;2),0,IF(EZ58&gt;0,EZ58,IF(ROUND(BB58*$J58,6)&lt;ROUND($M58,6),BB58,0)))</f>
        <v/>
      </c>
      <c r="FB58" s="68">
        <f>IF(OR($U58=0,$F58&lt;&gt;2),0,IF(FA58&gt;0,FA58,IF(ROUND(BC58*$J58,6)&lt;ROUND($M58,6),BC58,0)))</f>
        <v/>
      </c>
      <c r="FC58" s="68">
        <f>IF(OR($U58=0,$F58&lt;&gt;2),0,IF(FB58&gt;0,FB58,IF(ROUND(BD58*$J58,6)&lt;ROUND($M58,6),BD58,0)))</f>
        <v/>
      </c>
      <c r="FD58" s="68">
        <f>IF(OR($U58=0,$F58&lt;&gt;2),0,IF(FC58&gt;0,FC58,IF(ROUND(BE58*$J58,6)&lt;ROUND($M58,6),BE58,0)))</f>
        <v/>
      </c>
      <c r="FE58" s="68">
        <f>IF(OR($U58=0,$F58&lt;&gt;2),0,IF(FD58&gt;0,FD58,IF(ROUND(BF58*$J58,6)&lt;ROUND($M58,6),BF58,0)))</f>
        <v/>
      </c>
      <c r="FF58" s="68">
        <f>IF(OR($U58=0,$F58&lt;&gt;2),0,IF(FE58&gt;0,FE58,IF(ROUND(BG58*$J58,6)&lt;ROUND($M58,6),BG58,0)))</f>
        <v/>
      </c>
      <c r="FG58" s="68">
        <f>IF(OR($U58=0,$F58&lt;&gt;2),0,IF(FF58&gt;0,FF58,IF(ROUND(BH58*$J58,6)&lt;ROUND($M58,6),BH58,0)))</f>
        <v/>
      </c>
      <c r="FH58" s="68">
        <f>IF(OR($U58=0,$F58&lt;&gt;2),0,IF(FG58&gt;0,FG58,IF(ROUND(BI58*$J58,6)&lt;ROUND($M58,6),BI58,0)))</f>
        <v/>
      </c>
      <c r="FI58" s="68">
        <f>IF(OR($U58=0,$F58&lt;&gt;2),0,IF(FH58&gt;0,FH58,IF(ROUND(BJ58*$J58,6)&lt;ROUND($M58,6),BJ58,0)))</f>
        <v/>
      </c>
      <c r="FJ58" s="68">
        <f>IF(OR($U58=0,$F58&lt;&gt;2),0,IF(FI58&gt;0,FI58,IF(ROUND(BK58*$J58,6)&lt;ROUND($M58,6),BK58,0)))</f>
        <v/>
      </c>
      <c r="FK58" s="68">
        <f>IF(OR($U58=0,$F58&lt;&gt;2),0,IF(FJ58&gt;0,FJ58,IF(ROUND(BL58*$J58,6)&lt;ROUND($M58,6),BL58,0)))</f>
        <v/>
      </c>
      <c r="FL58" s="68">
        <f>IF(OR($U58=0,$F58&lt;&gt;2),0,IF(FK58&gt;0,FK58,IF(ROUND(BM58*$J58,6)&lt;ROUND($M58,6),BM58,0)))</f>
        <v/>
      </c>
      <c r="FM58" s="68">
        <f>IF(OR($U58=0,$F58&lt;&gt;2),0,IF(FL58&gt;0,FL58,IF(ROUND(BN58*$J58,6)&lt;ROUND($M58,6),BN58,0)))</f>
        <v/>
      </c>
      <c r="FN58" s="68">
        <f>IF(OR($U58=0,$F58&lt;&gt;2),0,IF(FM58&gt;0,FM58,IF(ROUND(BO58*$J58,6)&lt;ROUND($M58,6),BO58,0)))</f>
        <v/>
      </c>
      <c r="FO58" s="68">
        <f>IF(OR($U58=0,$F58&lt;&gt;2),0,IF(FN58&gt;0,FN58,IF(ROUND(BP58*$J58,6)&lt;ROUND($M58,6),BP58,0)))</f>
        <v/>
      </c>
      <c r="FP58" s="68">
        <f>IF(OR($U58=0,$F58&lt;&gt;2),0,IF(FO58&gt;0,FO58,IF(ROUND(BQ58*$J58,6)&lt;ROUND($M58,6),BQ58,0)))</f>
        <v/>
      </c>
      <c r="FQ58" s="68">
        <f>IF(OR($U58=0,$F58&lt;&gt;2),0,IF(FP58&gt;0,FP58,IF(ROUND(BR58*$J58,6)&lt;ROUND($M58,6),BR58,0)))</f>
        <v/>
      </c>
      <c r="FR58" s="68">
        <f>IF(OR($U58=0,$F58&lt;&gt;2),0,IF(FQ58&gt;0,FQ58,IF(ROUND(BS58*$J58,6)&lt;ROUND($M58,6),BS58,0)))</f>
        <v/>
      </c>
      <c r="FS58" s="68">
        <f>IF(OR($U58=0,$F58&lt;&gt;2),0,IF(FR58&gt;0,FR58,IF(ROUND(BT58*$J58,6)&lt;ROUND($M58,6),BT58,0)))</f>
        <v/>
      </c>
      <c r="FT58" s="68">
        <f>IF(OR($U58=0,$F58&lt;&gt;2),0,IF(FS58&gt;0,FS58,IF(ROUND(BU58*$J58,6)&lt;ROUND($M58,6),BU58,0)))</f>
        <v/>
      </c>
      <c r="FU58" s="68">
        <f>IF(OR($U58=0,$F58&lt;&gt;2),0,IF(FT58&gt;0,FT58,IF(ROUND(BV58*$J58,6)&lt;ROUND($M58,6),BV58,0)))</f>
        <v/>
      </c>
      <c r="FV58" s="68">
        <f>IF(OR($U58=0,$F58&lt;&gt;2),0,IF(FU58&gt;0,FU58,IF(ROUND(BW58*$J58,6)&lt;ROUND($M58,6),BW58,0)))</f>
        <v/>
      </c>
      <c r="FW58" s="68">
        <f>IF(OR($U58=0,$F58&lt;&gt;2),0,IF(FV58&gt;0,FV58,IF(ROUND(BX58*$J58,6)&lt;ROUND($M58,6),BX58,0)))</f>
        <v/>
      </c>
      <c r="FX58" s="68">
        <f>IF(OR($U58=0,$F58&lt;&gt;2),0,IF(FW58&gt;0,FW58,IF(ROUND(BY58*$J58,6)&lt;ROUND($M58,6),BY58,0)))</f>
        <v/>
      </c>
      <c r="FY58" s="68">
        <f>IF(OR($U58=0,$F58&lt;&gt;2),0,IF(FX58&gt;0,FX58,IF(ROUND(BZ58*$J58,6)&lt;ROUND($M58,6),BZ58,0)))</f>
        <v/>
      </c>
      <c r="FZ58" s="68">
        <f>IF(OR($U58=0,$F58&lt;&gt;2),0,IF(FY58&gt;0,FY58,IF(ROUND(CA58*$J58,6)&lt;ROUND($M58,6),CA58,0)))</f>
        <v/>
      </c>
      <c r="GA58" s="68">
        <f>IF(OR($U58=0,$F58&lt;&gt;2),0,IF(FZ58&gt;0,FZ58,IF(ROUND(CB58*$J58,6)&lt;ROUND($M58,6),CB58,0)))</f>
        <v/>
      </c>
      <c r="GB58" s="68">
        <f>IF(OR($U58=0,$F58&lt;&gt;2),0,IF(GA58&gt;0,GA58,IF(ROUND(CC58*$J58,6)&lt;ROUND($M58,6),CC58,0)))</f>
        <v/>
      </c>
      <c r="GC58" s="68">
        <f>IF(OR($U58=0,$F58&lt;&gt;2),0,IF(GB58&gt;0,GB58,IF(ROUND(CD58*$J58,6)&lt;ROUND($M58,6),CD58,0)))</f>
        <v/>
      </c>
      <c r="GD58" s="68">
        <f>IF(OR($U58=0,$F58&lt;&gt;2),0,IF(GC58&gt;0,GC58,IF(ROUND(CE58*$J58,6)&lt;ROUND($M58,6),CE58,0)))</f>
        <v/>
      </c>
      <c r="GE58" s="68">
        <f>IF(OR($U58=0,$F58&lt;&gt;2),0,IF(GD58&gt;0,GD58,IF(ROUND(CF58*$J58,6)&lt;ROUND($M58,6),CF58,0)))</f>
        <v/>
      </c>
      <c r="GF58" s="68">
        <f>IF(OR($U58=0,$F58&lt;&gt;2),0,IF(GE58&gt;0,GE58,IF(ROUND(CG58*$J58,6)&lt;ROUND($M58,6),CG58,0)))</f>
        <v/>
      </c>
      <c r="GG58" s="68">
        <f>IF(OR($U58=0,$F58&lt;&gt;2),0,IF(GF58&gt;0,GF58,IF(ROUND(CH58*$J58,6)&lt;ROUND($M58,6),CH58,0)))</f>
        <v/>
      </c>
      <c r="GH58" s="68">
        <f>IF(OR($U58=0,$F58&lt;&gt;2),0,IF(GG58&gt;0,GG58,IF(ROUND(CI58*$J58,6)&lt;ROUND($M58,6),CI58,0)))</f>
        <v/>
      </c>
      <c r="GI58" s="68">
        <f>IF(OR($U58=0,$F58&lt;&gt;2),0,IF(GH58&gt;0,GH58,IF(ROUND(CJ58*$J58,6)&lt;ROUND($M58,6),CJ58,0)))</f>
        <v/>
      </c>
      <c r="GJ58" s="68">
        <f>IF(OR($U58=0,$F58&lt;&gt;2),0,IF(GI58&gt;0,GI58,IF(ROUND(CK58*$J58,6)&lt;ROUND($M58,6),CK58,0)))</f>
        <v/>
      </c>
      <c r="GK58" s="68">
        <f>IF(OR($U58=0,$F58&lt;&gt;2),0,IF(GJ58&gt;0,GJ58,IF(ROUND(CL58*$J58,6)&lt;ROUND($M58,6),CL58,0)))</f>
        <v/>
      </c>
      <c r="GL58" s="68">
        <f>IF(OR($U58=0,$F58&lt;&gt;2),0,IF(GK58&gt;0,GK58,IF(ROUND(CM58*$J58,6)&lt;ROUND($M58,6),CM58,0)))</f>
        <v/>
      </c>
      <c r="GM58" s="68">
        <f>IF(OR($U58=0,$F58&lt;&gt;2),0,IF(GL58&gt;0,GL58,IF(ROUND(CN58*$J58,6)&lt;ROUND($M58,6),CN58,0)))</f>
        <v/>
      </c>
      <c r="GN58" s="68">
        <f>IF(OR($U58=0,$F58&lt;&gt;2),0,IF(GM58&gt;0,GM58,IF(ROUND(CO58*$J58,6)&lt;ROUND($M58,6),CO58,0)))</f>
        <v/>
      </c>
      <c r="GO58" s="68">
        <f>IF(OR($U58=0,$F58&lt;&gt;2),0,IF(GN58&gt;0,GN58,IF(ROUND(CP58*$J58,6)&lt;ROUND($M58,6),CP58,0)))</f>
        <v/>
      </c>
      <c r="GP58" s="68">
        <f>IF(OR($U58=0,$F58&lt;&gt;2),0,IF(GO58&gt;0,GO58,IF(ROUND(CQ58*$J58,6)&lt;ROUND($M58,6),CQ58,0)))</f>
        <v/>
      </c>
      <c r="GQ58" s="68">
        <f>IF(OR($U58=0,$F58&lt;&gt;2),0,IF(GP58&gt;0,GP58,IF(ROUND(CR58*$J58,6)&lt;ROUND($M58,6),CR58,0)))</f>
        <v/>
      </c>
      <c r="GR58" s="68">
        <f>IF(OR($U58=0,$F58&lt;&gt;2),0,IF(GQ58&gt;0,GQ58,IF(ROUND(CS58*$J58,6)&lt;ROUND($M58,6),CS58,0)))</f>
        <v/>
      </c>
      <c r="GS58" s="68">
        <f>IF(OR($U58=0,$F58&lt;&gt;2),0,IF(GR58&gt;0,GR58,IF(ROUND(CT58*$J58,6)&lt;ROUND($M58,6),CT58,0)))</f>
        <v/>
      </c>
      <c r="GT58" s="68">
        <f>IF(OR($U58=0,$F58&lt;&gt;2),0,IF(GS58&gt;0,GS58,IF(ROUND(CU58*$J58,6)&lt;ROUND($M58,6),CU58,0)))</f>
        <v/>
      </c>
      <c r="GU58" s="68">
        <f>IF(OR($U58=0,$F58&lt;&gt;2),0,IF(GT58&gt;0,GT58,IF(ROUND(CV58*$J58,6)&lt;ROUND($M58,6),CV58,0)))</f>
        <v/>
      </c>
      <c r="GV58" s="68">
        <f>IF(OR($U58=0,$F58&lt;&gt;2),0,IF(GU58&gt;0,GU58,IF(ROUND(CW58*$J58,6)&lt;ROUND($M58,6),CW58,0)))</f>
        <v/>
      </c>
      <c r="GW58" s="68">
        <f>IF(OR($U58=0,$F58&lt;&gt;2),0,IF(GV58&gt;0,GV58,IF(ROUND(CX58*$J58,6)&lt;ROUND($M58,6),CX58,0)))</f>
        <v/>
      </c>
      <c r="GX58" s="68">
        <f>IF(OR($U58=0,$F58&lt;&gt;2),0,IF(GW58&gt;0,GW58,IF(ROUND(CY58*$J58,6)&lt;ROUND($M58,6),CY58,0)))</f>
        <v/>
      </c>
      <c r="GY58" s="68">
        <f>IF(OR($U58=0,$F58&lt;&gt;2),0,IF(GX58&gt;0,GX58,IF(ROUND(CZ58*$J58,6)&lt;ROUND($M58,6),CZ58,0)))</f>
        <v/>
      </c>
      <c r="GZ58" s="68">
        <f>IF(OR($U58=0,$F58&lt;&gt;2),0,IF(GY58&gt;0,GY58,IF(ROUND(DA58*$J58,6)&lt;ROUND($M58,6),DA58,0)))</f>
        <v/>
      </c>
      <c r="HA58" s="68">
        <f>IF(OR($U58=0,$F58&lt;&gt;2),0,IF(GZ58&gt;0,GZ58,IF(ROUND(DB58*$J58,6)&lt;ROUND($M58,6),DB58,0)))</f>
        <v/>
      </c>
      <c r="HB58" s="68">
        <f>IF(OR($U58=0,$F58&lt;&gt;2),0,IF(HA58&gt;0,HA58,IF(ROUND(DC58*$J58,6)&lt;ROUND($M58,6),DC58,0)))</f>
        <v/>
      </c>
      <c r="HC58" s="68">
        <f>IF(OR($U58=0,$F58&lt;&gt;2),0,IF(HB58&gt;0,HB58,IF(ROUND(DD58*$J58,6)&lt;ROUND($M58,6),DD58,0)))</f>
        <v/>
      </c>
      <c r="HD58" s="68">
        <f>IF(OR($U58=0,$F58&lt;&gt;2),0,IF(HC58&gt;0,HC58,IF(ROUND(DE58*$J58,6)&lt;ROUND($M58,6),DE58,0)))</f>
        <v/>
      </c>
      <c r="HE58" s="68">
        <f>IF(OR($U58=0,$F58&lt;&gt;2),0,IF(HD58&gt;0,HD58,IF(ROUND(DF58*$J58,6)&lt;ROUND($M58,6),DF58,0)))</f>
        <v/>
      </c>
      <c r="HF58" s="68">
        <f>IF(OR($U58=0,$F58&lt;&gt;2),0,IF(HE58&gt;0,HE58,IF(ROUND(DG58*$J58,6)&lt;ROUND($M58,6),DG58,0)))</f>
        <v/>
      </c>
      <c r="HG58" s="68">
        <f>IF(OR($U58=0,$F58&lt;&gt;2),0,IF(HF58&gt;0,HF58,IF(ROUND(DH58*$J58,6)&lt;ROUND($M58,6),DH58,0)))</f>
        <v/>
      </c>
      <c r="HH58" s="68">
        <f>IF(OR($U58=0,$F58&lt;&gt;2),0,IF(HG58&gt;0,HG58,IF(ROUND(DI58*$J58,6)&lt;ROUND($M58,6),DI58,0)))</f>
        <v/>
      </c>
      <c r="HI58" s="68">
        <f>IF(OR($U58=0,$F58&lt;&gt;2),0,IF(HH58&gt;0,HH58,IF(ROUND(DJ58*$J58,6)&lt;ROUND($M58,6),DJ58,0)))</f>
        <v/>
      </c>
      <c r="HJ58" s="68">
        <f>IF(OR($U58=0,$F58&lt;&gt;2),0,IF(HI58&gt;0,HI58,IF(ROUND(DK58*$J58,6)&lt;ROUND($M58,6),DK58,0)))</f>
        <v/>
      </c>
      <c r="HK58" s="68">
        <f>IF(OR($U58=0,$F58&lt;&gt;2),0,IF(HJ58&gt;0,HJ58,IF(ROUND(DL58*$J58,6)&lt;ROUND($M58,6),DL58,0)))</f>
        <v/>
      </c>
      <c r="HL58" s="68">
        <f>IF(OR($U58=0,$F58&lt;&gt;2),0,IF(HK58&gt;0,HK58,IF(ROUND(DM58*$J58,6)&lt;ROUND($M58,6),DM58,0)))</f>
        <v/>
      </c>
      <c r="HM58" s="68">
        <f>IF(OR($U58=0,$F58&lt;&gt;2),0,IF(HL58&gt;0,HL58,IF(ROUND(DN58*$J58,6)&lt;ROUND($M58,6),DN58,0)))</f>
        <v/>
      </c>
      <c r="HN58" s="68">
        <f>IF(OR($U58=0,$F58&lt;&gt;2),0,IF(HM58&gt;0,HM58,IF(ROUND(DO58*$J58,6)&lt;ROUND($M58,6),DO58,0)))</f>
        <v/>
      </c>
      <c r="HO58" s="68">
        <f>IF(OR($U58=0,$F58&lt;&gt;2),0,IF(HN58&gt;0,HN58,IF(ROUND(DP58*$J58,6)&lt;ROUND($M58,6),DP58,0)))</f>
        <v/>
      </c>
      <c r="HP58" s="68">
        <f>IF(OR($U58=0,$F58&lt;&gt;2),0,IF(HO58&gt;0,HO58,IF(ROUND(DQ58*$J58,6)&lt;ROUND($M58,6),DQ58,0)))</f>
        <v/>
      </c>
      <c r="HQ58" s="68">
        <f>IF(OR($U58=0,$F58&lt;&gt;2),0,IF(HP58&gt;0,HP58,IF(ROUND(DR58*$J58,6)&lt;ROUND($M58,6),DR58,0)))</f>
        <v/>
      </c>
      <c r="HR58" s="68">
        <f>IF(OR($U58=0,$F58&lt;&gt;2),0,IF(HQ58&gt;0,HQ58,IF(ROUND(DS58*$J58,6)&lt;ROUND($M58,6),DS58,0)))</f>
        <v/>
      </c>
      <c r="HS58" s="68">
        <f>IF(OR($U58=0,$F58&lt;&gt;2),0,IF(HR58&gt;0,HR58,IF(ROUND(DT58*$J58,6)&lt;ROUND($M58,6),DT58,0)))</f>
        <v/>
      </c>
      <c r="HT58" s="68">
        <f>IF(OR($U58=0,$F58&lt;&gt;2),0,IF(HS58&gt;0,HS58,IF(ROUND(DU58*$J58,6)&lt;ROUND($M58,6),DU58,0)))</f>
        <v/>
      </c>
      <c r="HU58" s="68">
        <f>IF(OR($U58=0,$F58&lt;&gt;2),0,IF(HT58&gt;0,HT58,IF(ROUND(DV58*$J58,6)&lt;ROUND($M58,6),DV58,0)))</f>
        <v/>
      </c>
      <c r="HV58" s="68">
        <f>IF(OR($U58=0,$F58&lt;&gt;2),0,IF(HU58&gt;0,HU58,IF(ROUND(DW58*$J58,6)&lt;ROUND($M58,6),DW58,0)))</f>
        <v/>
      </c>
      <c r="HW58" s="68">
        <f>IF(OR($U58=0,$F58&lt;&gt;2),0,IF(HV58&gt;0,HV58,IF(ROUND(DX58*$J58,6)&lt;ROUND($M58,6),DX58,0)))</f>
        <v/>
      </c>
      <c r="HX58" s="68">
        <f>IF(OR($U58=0,$F58&lt;&gt;2),0,IF(HW58&gt;0,HW58,IF(ROUND(DY58*$J58,6)&lt;ROUND($M58,6),DY58,0)))</f>
        <v/>
      </c>
      <c r="HY58" s="68">
        <f>IF(OR($U58=0,$F58&lt;&gt;2),0,IF(HX58&gt;0,HX58,IF(ROUND(DZ58*$J58,6)&lt;ROUND($M58,6),DZ58,0)))</f>
        <v/>
      </c>
      <c r="HZ58" s="68">
        <f>IF(OR($U58=0,$F58&lt;&gt;2),0,IF(HY58&gt;0,HY58,IF(ROUND(EA58*$J58,6)&lt;ROUND($M58,6),EA58,0)))</f>
        <v/>
      </c>
      <c r="IA58" s="68">
        <f>IF(OR($U58=0,$F58&lt;&gt;2),0,IF(HZ58&gt;0,HZ58,IF(ROUND(EB58*$J58,6)&lt;ROUND($M58,6),EB58,0)))</f>
        <v/>
      </c>
      <c r="IB58" s="68">
        <f>IF(OR($U58=0,$F58&lt;&gt;2),0,IF(IA58&gt;0,IA58,IF(ROUND(EC58*$J58,6)&lt;ROUND($M58,6),EC58,0)))</f>
        <v/>
      </c>
      <c r="IC58" s="68">
        <f>IF(OR($U58=0,$F58&lt;&gt;2),0,IF(IB58&gt;0,IB58,IF(ROUND(ED58*$J58,6)&lt;ROUND($M58,6),ED58,0)))</f>
        <v/>
      </c>
      <c r="ID58" s="68">
        <f>IF(OR($U58=0,$F58&lt;&gt;2),0,IF(IC58&gt;0,IC58,IF(ROUND(EE58*$J58,6)&lt;ROUND($M58,6),EE58,0)))</f>
        <v/>
      </c>
      <c r="IE58" s="68">
        <f>IF(OR($U58=0,$F58&lt;&gt;2),0,IF(ID58&gt;0,ID58,IF(ROUND(EF58*$J58,6)&lt;ROUND($M58,6),EF58,0)))</f>
        <v/>
      </c>
      <c r="IF58" s="68">
        <f>IF(OR($U58=0,$F58&lt;&gt;2),0,IF(IE58&gt;0,IE58,IF(ROUND(EG58*$J58,6)&lt;ROUND($M58,6),EG58,0)))</f>
        <v/>
      </c>
      <c r="IG58" s="68">
        <f>IF(OR($U58=0,$F58&lt;&gt;2),0,IF(IF58&gt;0,IF58,IF(ROUND(EH58*$J58,6)&lt;ROUND($M58,6),EH58,0)))</f>
        <v/>
      </c>
      <c r="IH58" s="68">
        <f>IF(OR($U58=0,$F58&lt;&gt;2),0,IF(IG58&gt;0,IG58,IF(ROUND(EI58*$J58,6)&lt;ROUND($M58,6),EI58,0)))</f>
        <v/>
      </c>
      <c r="II58" s="68">
        <f>IF(OR($U58=0,$F58&lt;&gt;2),0,IF(IH58&gt;0,IH58,IF(ROUND(EJ58*$J58,6)&lt;ROUND($M58,6),EJ58,0)))</f>
        <v/>
      </c>
      <c r="IJ58" s="68">
        <f>IF(OR($U58=0,$F58&lt;&gt;2),0,IF(II58&gt;0,II58,IF(ROUND(EK58*$J58,6)&lt;ROUND($M58,6),EK58,0)))</f>
        <v/>
      </c>
      <c r="IK58" s="68">
        <f>IF(OR($U58=0,$F58&lt;&gt;2),0,IF(IJ58&gt;0,IJ58,IF(ROUND(EL58*$J58,6)&lt;ROUND($M58,6),EL58,0)))</f>
        <v/>
      </c>
      <c r="IL58" s="68">
        <f>IF(OR($U58=0,$F58&lt;&gt;2),0,IF(IK58&gt;0,IK58,IF(ROUND(EM58*$J58,6)&lt;ROUND($M58,6),EM58,0)))</f>
        <v/>
      </c>
      <c r="IM58" s="68">
        <f>IF(OR($U58=0,$F58&lt;&gt;2),0,IF(IL58&gt;0,IL58,IF(ROUND(EN58*$J58,6)&lt;ROUND($M58,6),EN58,0)))</f>
        <v/>
      </c>
      <c r="IN58" s="68">
        <f>IF(OR($U58=0,$F58&lt;&gt;2),0,IF(IM58&gt;0,IM58,IF(ROUND(EO58*$J58,6)&lt;ROUND($M58,6),EO58,0)))</f>
        <v/>
      </c>
    </row>
    <row r="59">
      <c r="A59" s="68" t="n">
        <v>54</v>
      </c>
      <c r="B59" s="68">
        <f>IF(OR(TRIM('固定資産台帳'!$B59)&lt;&gt;"",'固定資産台帳'!$E59&lt;&gt;"",'固定資産台帳'!$G59&lt;&gt;"",'固定資産台帳'!$H59&lt;&gt;""),1,0)</f>
        <v/>
      </c>
      <c r="C59" s="68">
        <f>IF(ISNUMBER('固定資産台帳'!$G59),MAX(ROUND('固定資産台帳'!$G59,0),0),0)</f>
        <v/>
      </c>
      <c r="D59" s="84">
        <f>IF(ISNUMBER('固定資産台帳'!$E59),INT('固定資産台帳'!$E59),0)</f>
        <v/>
      </c>
      <c r="E59" s="84">
        <f>IF(ISNUMBER('固定資産台帳'!$F59),INT('固定資産台帳'!$F59),$D59)</f>
        <v/>
      </c>
      <c r="F59" s="68">
        <f>IF('固定資産台帳'!$H59="定額法",1,IF(OR('固定資産台帳'!$H59="定率法",'固定資産台帳'!$H59="定率法（200%）",'固定資産台帳'!$H59="定率法（250%）"),2,IF('固定資産台帳'!$H59="一括償却（3年）",3,IF('固定資産台帳'!$H59="少額特例",4,0))))</f>
        <v/>
      </c>
      <c r="G59" s="68">
        <f>IF('固定資産台帳'!$H59="定率法（250%）",250,IF('固定資産台帳'!$H59="定率法（200%）",200,IF($D59&gt;=DATE(2012,4,1),200,250)))</f>
        <v/>
      </c>
      <c r="H59" s="68">
        <f>IF(ISNUMBER('固定資産台帳'!$I59),IF(AND('固定資産台帳'!$I59&gt;=2,'固定資産台帳'!$I59&lt;=100,'固定資産台帳'!$I59=INT('固定資産台帳'!$I59)),'固定資産台帳'!$I59,0),0)</f>
        <v/>
      </c>
      <c r="I59" s="68">
        <f>IF('固定資産台帳'!$C59="無形固定資産",0,1)</f>
        <v/>
      </c>
      <c r="J59" s="68">
        <f>IF(OR($H59=0,$F59=0,$F59&gt;2),0,IF($F59=1,INDEX('償却率表'!$B$6:$B$104,$H59-1),IF($G59=200,INDEX('償却率表'!$C$6:$C$104,$H59-1),INDEX('償却率表'!$F$6:$F$104,$H59-1))))</f>
        <v/>
      </c>
      <c r="K59" s="68">
        <f>IF(AND($F59=2,$H59&gt;0),IF($G59=200,INDEX('償却率表'!$D$6:$D$104,$H59-1),INDEX('償却率表'!$G$6:$G$104,$H59-1)),0)</f>
        <v/>
      </c>
      <c r="L59" s="68">
        <f>IF(AND($F59=2,$H59&gt;0),IF($G59=200,INDEX('償却率表'!$E$6:$E$104,$H59-1),INDEX('償却率表'!$H$6:$H$104,$H59-1)),0)</f>
        <v/>
      </c>
      <c r="M59" s="68">
        <f>$C59*$L59</f>
        <v/>
      </c>
      <c r="N59" s="68">
        <f>IF($B$1=1,1,IF('固定資産台帳'!$J59="",1,IF(ISNUMBER('固定資産台帳'!$J59),IF(AND('固定資産台帳'!$J59&gt;0,'固定資産台帳'!$J59&lt;=1),'固定資産台帳'!$J59,0),0)))</f>
        <v/>
      </c>
      <c r="O59" s="68">
        <f>IF($E59=0,0,YEAR($E59)-IF(MONTH($E59)&lt;$B$2,1,0))</f>
        <v/>
      </c>
      <c r="P59" s="68">
        <f>IF($E59=0,0,12-MOD(MONTH($E59)-$B$2,12))</f>
        <v/>
      </c>
      <c r="Q59" s="84">
        <f>IF(ISNUMBER('固定資産台帳'!$K59),INT('固定資産台帳'!$K59),0)</f>
        <v/>
      </c>
      <c r="R59" s="68">
        <f>IF(OR($Q59=0,$E59=0),999,YEAR($Q59)-IF(MONTH($Q59)&lt;$B$2,1,0)-$O59)</f>
        <v/>
      </c>
      <c r="S59" s="68">
        <f>IF($R59=999,0,MOD(MONTH($Q59)-$B$2,12)+1-IF($R59=0,12-$P59,0))</f>
        <v/>
      </c>
      <c r="T59" s="68">
        <f>IF($B59=0,0,IF($C59&lt;=0,1,IF($D59=0,2,IF($F59=0,3,IF(AND($F59&lt;=2,$H59=0),4,IF(AND($F59&lt;=2,$D59&lt;DATE(2007,4,1)),5,IF($E59&lt;$D59,6,IF(AND($Q59&gt;0,$Q59&lt;$E59),7,IF($N59=0,8,IF($B$3=0,9,0))))))))))</f>
        <v/>
      </c>
      <c r="U59" s="68">
        <f>IF(AND($B59=1,$T59=0),1,0)</f>
        <v/>
      </c>
      <c r="V59" s="68">
        <f>$B$3-$O59</f>
        <v/>
      </c>
      <c r="W59" s="68">
        <f>IF(AND($U59=1,$V59&gt;=0),1,0)</f>
        <v/>
      </c>
      <c r="X59" s="68">
        <f>IF($W59=0,0,IF($V59=0,$C59,INDEX($AS59:$EP59,MIN($V59,102))))</f>
        <v/>
      </c>
      <c r="Y59" s="68">
        <f>IF($W59=0,0,INDEX($AS59:$EP59,MIN($V59,101)+1))</f>
        <v/>
      </c>
      <c r="Z59" s="68">
        <f>$X59-$Y59</f>
        <v/>
      </c>
      <c r="AA59" s="68">
        <f>IF(AND($W59=1,$F59=2,$V59&gt;=1),INDEX($ER59:$IN59,MIN($V59,101)),0)</f>
        <v/>
      </c>
      <c r="AB59" s="68">
        <f>IF(OR($W59=0,$F59&gt;2,$Z59=0),0,IF($V59=0,IF($R59=0,$S59,$P59),IF($V59=$R59,$S59,12)))</f>
        <v/>
      </c>
      <c r="AC59" s="68">
        <f>IF($W59=0,0,INT(ROUND($Z59*$N59,6)+$B$4))</f>
        <v/>
      </c>
      <c r="AD59" s="68">
        <f>IF(AND($W59=1,$F59&lt;=2,$V59=$R59),1,0)</f>
        <v/>
      </c>
      <c r="AE59" s="68">
        <f>IF(AND($W59=1,$F59&lt;=2,$V59&gt;$R59),1,0)</f>
        <v/>
      </c>
      <c r="AF59" s="68">
        <f>IF(AND($W59=1,$AE59=0,OR($Z59&gt;0,$AD59=1)),1,0)</f>
        <v/>
      </c>
      <c r="AG59" s="68">
        <f>IF($AF59=1,SUM($AF$6:$AF59),0)</f>
        <v/>
      </c>
      <c r="AH59" s="68">
        <f>IF($T59=0,"",CHOOSE($T59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59" s="68">
        <f>IF(AND($F59=2,OR('固定資産台帳'!$C59="建物",'固定資産台帳'!$C59="無形固定資産",AND(OR('固定資産台帳'!$C59="建物附属設備",'固定資産台帳'!$C59="構築物"),$D59&gt;=DATE(2016,4,1)))),"この資産は定額法だけです（定率法は使えません）。","")&amp;IF(AND($F59=3,$C59&gt;=200000),"一括償却は20万円未満の資産だけです。","")&amp;IF(AND($F59=3,$B$1=0,$C59&lt;100000),"10万円未満は一括償却にせず、全額をその年の経費にします。","")&amp;IF(AND($F59=4,$C59&lt;100000),"10万円未満は少額特例ではなく、全額をその年の経費にします。","")&amp;IF(AND($F59=4,$D59&lt;DATE(2026,4,1),$C59&gt;=300000),"2026年3月31日までの取得で少額特例が使えるのは30万円未満です。","")&amp;IF(AND($F59=4,$D59&gt;=DATE(2026,4,1),$C59&gt;=400000),"少額特例は40万円未満の資産だけです。","")&amp;IF(AND($F59=4,OR($D59&lt;DATE(2006,4,1),$D59&gt;DATE(2029,3,31))),"少額特例は2006年4月1日〜2029年3月31日に取得した資産だけです。","")&amp;IF(AND($F59=2,$G59=250,$D59&gt;DATE(2012,12,31)),"250%定率法は2012年12月31日までの取得だけです。","")</f>
        <v/>
      </c>
      <c r="AJ59" s="68">
        <f>IF(AND($F59=2,'固定資産台帳'!$H59="定率法（200%）",$D59&lt;DATE(2012,4,1)),"2012年3月31日までの取得に200%を使うのは、経過措置の届出をした場合です。","")&amp;IF(AND($F59=2,'固定資産台帳'!$H59="定率法（250%）",$D59&gt;=DATE(2012,4,1),$D59&lt;=DATE(2012,12,31)),"2012年4〜12月の取得に250%を使うのは、経過措置を選んだ場合です。","")</f>
        <v/>
      </c>
      <c r="AK59" s="68">
        <f>IF($U59=0,"",IF($V59&lt;0,"表示している年より後に使い始める資産です。",IF($AE59=1,"売却・除却済みです。",IF($AD59=1,"この年に売却・除却。期末の帳簿価額 "&amp;TEXT($Y59,"#,##0")&amp;"円を帳簿から外します。",IF($F59=4,IF($V59=0,"少額特例：この年に全額を経費にします。","少額特例で経費にした資産です。"),IF($F59=3,IF($V59&gt;2,"一括償却は終わっています。","一括償却 "&amp;($V59+1)&amp;"年目（3年のうち）。"),IF($Z59=0,"償却済み（帳簿価額 "&amp;TEXT($Y59,"#,##0")&amp;"円）。",IF($AA59&gt;0,"改定償却率で計算（改定取得価額 "&amp;TEXT($AA59,"#,##0")&amp;"円）。",IF($V59=0,"この年に使い始め（"&amp;$AB59&amp;"か月分）。","")))))))))</f>
        <v/>
      </c>
      <c r="AL59" s="68">
        <f>IF(AND($U59=1,$F59=4,$V59=0),$C59,0)</f>
        <v/>
      </c>
      <c r="AM59" s="68">
        <f>IF($F59=2,INT(ROUND($M59,6)+$B$4),0)</f>
        <v/>
      </c>
      <c r="AN59" s="68">
        <f>IF($W59=0,0,IF($F59=2,IF($AA59&gt;0,$AA59,$X59),$C59))</f>
        <v/>
      </c>
      <c r="AO59" s="68">
        <f>IF($W59=0,"",IF($F59=3,"1/3",IF($F59=4,"―",IF($AA59&gt;0,$K59,$J59))))</f>
        <v/>
      </c>
      <c r="AP59" s="68" t="n"/>
      <c r="AQ59" s="68" t="n"/>
      <c r="AR59" s="68" t="n"/>
      <c r="AS59" s="68">
        <f>IF($U59=0,0,IF($F59=4,0,IF($F59=3,MAX($C59-INT(ROUND($C59/3,6)+$B$4),0),$C59-MIN(INT(ROUND($C59*$J59*IF($R59=0,$S59,$P59)/12,6)+$B$4),MAX($C59-$I59,0)))))</f>
        <v/>
      </c>
      <c r="AT59" s="68">
        <f>IF($U59=0,0,IF($F59=4,0,IF($F59=3,AS59-MIN(INT(ROUND($C59/3,6)+$B$4),AS59),IF(OR(1&gt;$R59,AS59&lt;=$I59),AS59,AS59-MIN(INT(ROUND(IF($F59=1,$C59*$J59,IF(ER59&gt;0,ER59*$K59,AS59*$J59))*IF(1=$R59,$S59,12)/12,6)+$B$4),AS59-$I59)))))</f>
        <v/>
      </c>
      <c r="AU59" s="68">
        <f>IF($U59=0,0,IF($F59=4,0,IF($F59=3,0,IF(OR(2&gt;$R59,AT59&lt;=$I59),AT59,AT59-MIN(INT(ROUND(IF($F59=1,$C59*$J59,IF(ES59&gt;0,ES59*$K59,AT59*$J59))*IF(2=$R59,$S59,12)/12,6)+$B$4),AT59-$I59)))))</f>
        <v/>
      </c>
      <c r="AV59" s="68">
        <f>IF($U59=0,0,IF($F59=4,0,IF($F59=3,0,IF(OR(3&gt;$R59,AU59&lt;=$I59),AU59,AU59-MIN(INT(ROUND(IF($F59=1,$C59*$J59,IF(ET59&gt;0,ET59*$K59,AU59*$J59))*IF(3=$R59,$S59,12)/12,6)+$B$4),AU59-$I59)))))</f>
        <v/>
      </c>
      <c r="AW59" s="68">
        <f>IF($U59=0,0,IF($F59=4,0,IF($F59=3,0,IF(OR(4&gt;$R59,AV59&lt;=$I59),AV59,AV59-MIN(INT(ROUND(IF($F59=1,$C59*$J59,IF(EU59&gt;0,EU59*$K59,AV59*$J59))*IF(4=$R59,$S59,12)/12,6)+$B$4),AV59-$I59)))))</f>
        <v/>
      </c>
      <c r="AX59" s="68">
        <f>IF($U59=0,0,IF($F59=4,0,IF($F59=3,0,IF(OR(5&gt;$R59,AW59&lt;=$I59),AW59,AW59-MIN(INT(ROUND(IF($F59=1,$C59*$J59,IF(EV59&gt;0,EV59*$K59,AW59*$J59))*IF(5=$R59,$S59,12)/12,6)+$B$4),AW59-$I59)))))</f>
        <v/>
      </c>
      <c r="AY59" s="68">
        <f>IF($U59=0,0,IF($F59=4,0,IF($F59=3,0,IF(OR(6&gt;$R59,AX59&lt;=$I59),AX59,AX59-MIN(INT(ROUND(IF($F59=1,$C59*$J59,IF(EW59&gt;0,EW59*$K59,AX59*$J59))*IF(6=$R59,$S59,12)/12,6)+$B$4),AX59-$I59)))))</f>
        <v/>
      </c>
      <c r="AZ59" s="68">
        <f>IF($U59=0,0,IF($F59=4,0,IF($F59=3,0,IF(OR(7&gt;$R59,AY59&lt;=$I59),AY59,AY59-MIN(INT(ROUND(IF($F59=1,$C59*$J59,IF(EX59&gt;0,EX59*$K59,AY59*$J59))*IF(7=$R59,$S59,12)/12,6)+$B$4),AY59-$I59)))))</f>
        <v/>
      </c>
      <c r="BA59" s="68">
        <f>IF($U59=0,0,IF($F59=4,0,IF($F59=3,0,IF(OR(8&gt;$R59,AZ59&lt;=$I59),AZ59,AZ59-MIN(INT(ROUND(IF($F59=1,$C59*$J59,IF(EY59&gt;0,EY59*$K59,AZ59*$J59))*IF(8=$R59,$S59,12)/12,6)+$B$4),AZ59-$I59)))))</f>
        <v/>
      </c>
      <c r="BB59" s="68">
        <f>IF($U59=0,0,IF($F59=4,0,IF($F59=3,0,IF(OR(9&gt;$R59,BA59&lt;=$I59),BA59,BA59-MIN(INT(ROUND(IF($F59=1,$C59*$J59,IF(EZ59&gt;0,EZ59*$K59,BA59*$J59))*IF(9=$R59,$S59,12)/12,6)+$B$4),BA59-$I59)))))</f>
        <v/>
      </c>
      <c r="BC59" s="68">
        <f>IF($U59=0,0,IF($F59=4,0,IF($F59=3,0,IF(OR(10&gt;$R59,BB59&lt;=$I59),BB59,BB59-MIN(INT(ROUND(IF($F59=1,$C59*$J59,IF(FA59&gt;0,FA59*$K59,BB59*$J59))*IF(10=$R59,$S59,12)/12,6)+$B$4),BB59-$I59)))))</f>
        <v/>
      </c>
      <c r="BD59" s="68">
        <f>IF($U59=0,0,IF($F59=4,0,IF($F59=3,0,IF(OR(11&gt;$R59,BC59&lt;=$I59),BC59,BC59-MIN(INT(ROUND(IF($F59=1,$C59*$J59,IF(FB59&gt;0,FB59*$K59,BC59*$J59))*IF(11=$R59,$S59,12)/12,6)+$B$4),BC59-$I59)))))</f>
        <v/>
      </c>
      <c r="BE59" s="68">
        <f>IF($U59=0,0,IF($F59=4,0,IF($F59=3,0,IF(OR(12&gt;$R59,BD59&lt;=$I59),BD59,BD59-MIN(INT(ROUND(IF($F59=1,$C59*$J59,IF(FC59&gt;0,FC59*$K59,BD59*$J59))*IF(12=$R59,$S59,12)/12,6)+$B$4),BD59-$I59)))))</f>
        <v/>
      </c>
      <c r="BF59" s="68">
        <f>IF($U59=0,0,IF($F59=4,0,IF($F59=3,0,IF(OR(13&gt;$R59,BE59&lt;=$I59),BE59,BE59-MIN(INT(ROUND(IF($F59=1,$C59*$J59,IF(FD59&gt;0,FD59*$K59,BE59*$J59))*IF(13=$R59,$S59,12)/12,6)+$B$4),BE59-$I59)))))</f>
        <v/>
      </c>
      <c r="BG59" s="68">
        <f>IF($U59=0,0,IF($F59=4,0,IF($F59=3,0,IF(OR(14&gt;$R59,BF59&lt;=$I59),BF59,BF59-MIN(INT(ROUND(IF($F59=1,$C59*$J59,IF(FE59&gt;0,FE59*$K59,BF59*$J59))*IF(14=$R59,$S59,12)/12,6)+$B$4),BF59-$I59)))))</f>
        <v/>
      </c>
      <c r="BH59" s="68">
        <f>IF($U59=0,0,IF($F59=4,0,IF($F59=3,0,IF(OR(15&gt;$R59,BG59&lt;=$I59),BG59,BG59-MIN(INT(ROUND(IF($F59=1,$C59*$J59,IF(FF59&gt;0,FF59*$K59,BG59*$J59))*IF(15=$R59,$S59,12)/12,6)+$B$4),BG59-$I59)))))</f>
        <v/>
      </c>
      <c r="BI59" s="68">
        <f>IF($U59=0,0,IF($F59=4,0,IF($F59=3,0,IF(OR(16&gt;$R59,BH59&lt;=$I59),BH59,BH59-MIN(INT(ROUND(IF($F59=1,$C59*$J59,IF(FG59&gt;0,FG59*$K59,BH59*$J59))*IF(16=$R59,$S59,12)/12,6)+$B$4),BH59-$I59)))))</f>
        <v/>
      </c>
      <c r="BJ59" s="68">
        <f>IF($U59=0,0,IF($F59=4,0,IF($F59=3,0,IF(OR(17&gt;$R59,BI59&lt;=$I59),BI59,BI59-MIN(INT(ROUND(IF($F59=1,$C59*$J59,IF(FH59&gt;0,FH59*$K59,BI59*$J59))*IF(17=$R59,$S59,12)/12,6)+$B$4),BI59-$I59)))))</f>
        <v/>
      </c>
      <c r="BK59" s="68">
        <f>IF($U59=0,0,IF($F59=4,0,IF($F59=3,0,IF(OR(18&gt;$R59,BJ59&lt;=$I59),BJ59,BJ59-MIN(INT(ROUND(IF($F59=1,$C59*$J59,IF(FI59&gt;0,FI59*$K59,BJ59*$J59))*IF(18=$R59,$S59,12)/12,6)+$B$4),BJ59-$I59)))))</f>
        <v/>
      </c>
      <c r="BL59" s="68">
        <f>IF($U59=0,0,IF($F59=4,0,IF($F59=3,0,IF(OR(19&gt;$R59,BK59&lt;=$I59),BK59,BK59-MIN(INT(ROUND(IF($F59=1,$C59*$J59,IF(FJ59&gt;0,FJ59*$K59,BK59*$J59))*IF(19=$R59,$S59,12)/12,6)+$B$4),BK59-$I59)))))</f>
        <v/>
      </c>
      <c r="BM59" s="68">
        <f>IF($U59=0,0,IF($F59=4,0,IF($F59=3,0,IF(OR(20&gt;$R59,BL59&lt;=$I59),BL59,BL59-MIN(INT(ROUND(IF($F59=1,$C59*$J59,IF(FK59&gt;0,FK59*$K59,BL59*$J59))*IF(20=$R59,$S59,12)/12,6)+$B$4),BL59-$I59)))))</f>
        <v/>
      </c>
      <c r="BN59" s="68">
        <f>IF($U59=0,0,IF($F59=4,0,IF($F59=3,0,IF(OR(21&gt;$R59,BM59&lt;=$I59),BM59,BM59-MIN(INT(ROUND(IF($F59=1,$C59*$J59,IF(FL59&gt;0,FL59*$K59,BM59*$J59))*IF(21=$R59,$S59,12)/12,6)+$B$4),BM59-$I59)))))</f>
        <v/>
      </c>
      <c r="BO59" s="68">
        <f>IF($U59=0,0,IF($F59=4,0,IF($F59=3,0,IF(OR(22&gt;$R59,BN59&lt;=$I59),BN59,BN59-MIN(INT(ROUND(IF($F59=1,$C59*$J59,IF(FM59&gt;0,FM59*$K59,BN59*$J59))*IF(22=$R59,$S59,12)/12,6)+$B$4),BN59-$I59)))))</f>
        <v/>
      </c>
      <c r="BP59" s="68">
        <f>IF($U59=0,0,IF($F59=4,0,IF($F59=3,0,IF(OR(23&gt;$R59,BO59&lt;=$I59),BO59,BO59-MIN(INT(ROUND(IF($F59=1,$C59*$J59,IF(FN59&gt;0,FN59*$K59,BO59*$J59))*IF(23=$R59,$S59,12)/12,6)+$B$4),BO59-$I59)))))</f>
        <v/>
      </c>
      <c r="BQ59" s="68">
        <f>IF($U59=0,0,IF($F59=4,0,IF($F59=3,0,IF(OR(24&gt;$R59,BP59&lt;=$I59),BP59,BP59-MIN(INT(ROUND(IF($F59=1,$C59*$J59,IF(FO59&gt;0,FO59*$K59,BP59*$J59))*IF(24=$R59,$S59,12)/12,6)+$B$4),BP59-$I59)))))</f>
        <v/>
      </c>
      <c r="BR59" s="68">
        <f>IF($U59=0,0,IF($F59=4,0,IF($F59=3,0,IF(OR(25&gt;$R59,BQ59&lt;=$I59),BQ59,BQ59-MIN(INT(ROUND(IF($F59=1,$C59*$J59,IF(FP59&gt;0,FP59*$K59,BQ59*$J59))*IF(25=$R59,$S59,12)/12,6)+$B$4),BQ59-$I59)))))</f>
        <v/>
      </c>
      <c r="BS59" s="68">
        <f>IF($U59=0,0,IF($F59=4,0,IF($F59=3,0,IF(OR(26&gt;$R59,BR59&lt;=$I59),BR59,BR59-MIN(INT(ROUND(IF($F59=1,$C59*$J59,IF(FQ59&gt;0,FQ59*$K59,BR59*$J59))*IF(26=$R59,$S59,12)/12,6)+$B$4),BR59-$I59)))))</f>
        <v/>
      </c>
      <c r="BT59" s="68">
        <f>IF($U59=0,0,IF($F59=4,0,IF($F59=3,0,IF(OR(27&gt;$R59,BS59&lt;=$I59),BS59,BS59-MIN(INT(ROUND(IF($F59=1,$C59*$J59,IF(FR59&gt;0,FR59*$K59,BS59*$J59))*IF(27=$R59,$S59,12)/12,6)+$B$4),BS59-$I59)))))</f>
        <v/>
      </c>
      <c r="BU59" s="68">
        <f>IF($U59=0,0,IF($F59=4,0,IF($F59=3,0,IF(OR(28&gt;$R59,BT59&lt;=$I59),BT59,BT59-MIN(INT(ROUND(IF($F59=1,$C59*$J59,IF(FS59&gt;0,FS59*$K59,BT59*$J59))*IF(28=$R59,$S59,12)/12,6)+$B$4),BT59-$I59)))))</f>
        <v/>
      </c>
      <c r="BV59" s="68">
        <f>IF($U59=0,0,IF($F59=4,0,IF($F59=3,0,IF(OR(29&gt;$R59,BU59&lt;=$I59),BU59,BU59-MIN(INT(ROUND(IF($F59=1,$C59*$J59,IF(FT59&gt;0,FT59*$K59,BU59*$J59))*IF(29=$R59,$S59,12)/12,6)+$B$4),BU59-$I59)))))</f>
        <v/>
      </c>
      <c r="BW59" s="68">
        <f>IF($U59=0,0,IF($F59=4,0,IF($F59=3,0,IF(OR(30&gt;$R59,BV59&lt;=$I59),BV59,BV59-MIN(INT(ROUND(IF($F59=1,$C59*$J59,IF(FU59&gt;0,FU59*$K59,BV59*$J59))*IF(30=$R59,$S59,12)/12,6)+$B$4),BV59-$I59)))))</f>
        <v/>
      </c>
      <c r="BX59" s="68">
        <f>IF($U59=0,0,IF($F59=4,0,IF($F59=3,0,IF(OR(31&gt;$R59,BW59&lt;=$I59),BW59,BW59-MIN(INT(ROUND(IF($F59=1,$C59*$J59,IF(FV59&gt;0,FV59*$K59,BW59*$J59))*IF(31=$R59,$S59,12)/12,6)+$B$4),BW59-$I59)))))</f>
        <v/>
      </c>
      <c r="BY59" s="68">
        <f>IF($U59=0,0,IF($F59=4,0,IF($F59=3,0,IF(OR(32&gt;$R59,BX59&lt;=$I59),BX59,BX59-MIN(INT(ROUND(IF($F59=1,$C59*$J59,IF(FW59&gt;0,FW59*$K59,BX59*$J59))*IF(32=$R59,$S59,12)/12,6)+$B$4),BX59-$I59)))))</f>
        <v/>
      </c>
      <c r="BZ59" s="68">
        <f>IF($U59=0,0,IF($F59=4,0,IF($F59=3,0,IF(OR(33&gt;$R59,BY59&lt;=$I59),BY59,BY59-MIN(INT(ROUND(IF($F59=1,$C59*$J59,IF(FX59&gt;0,FX59*$K59,BY59*$J59))*IF(33=$R59,$S59,12)/12,6)+$B$4),BY59-$I59)))))</f>
        <v/>
      </c>
      <c r="CA59" s="68">
        <f>IF($U59=0,0,IF($F59=4,0,IF($F59=3,0,IF(OR(34&gt;$R59,BZ59&lt;=$I59),BZ59,BZ59-MIN(INT(ROUND(IF($F59=1,$C59*$J59,IF(FY59&gt;0,FY59*$K59,BZ59*$J59))*IF(34=$R59,$S59,12)/12,6)+$B$4),BZ59-$I59)))))</f>
        <v/>
      </c>
      <c r="CB59" s="68">
        <f>IF($U59=0,0,IF($F59=4,0,IF($F59=3,0,IF(OR(35&gt;$R59,CA59&lt;=$I59),CA59,CA59-MIN(INT(ROUND(IF($F59=1,$C59*$J59,IF(FZ59&gt;0,FZ59*$K59,CA59*$J59))*IF(35=$R59,$S59,12)/12,6)+$B$4),CA59-$I59)))))</f>
        <v/>
      </c>
      <c r="CC59" s="68">
        <f>IF($U59=0,0,IF($F59=4,0,IF($F59=3,0,IF(OR(36&gt;$R59,CB59&lt;=$I59),CB59,CB59-MIN(INT(ROUND(IF($F59=1,$C59*$J59,IF(GA59&gt;0,GA59*$K59,CB59*$J59))*IF(36=$R59,$S59,12)/12,6)+$B$4),CB59-$I59)))))</f>
        <v/>
      </c>
      <c r="CD59" s="68">
        <f>IF($U59=0,0,IF($F59=4,0,IF($F59=3,0,IF(OR(37&gt;$R59,CC59&lt;=$I59),CC59,CC59-MIN(INT(ROUND(IF($F59=1,$C59*$J59,IF(GB59&gt;0,GB59*$K59,CC59*$J59))*IF(37=$R59,$S59,12)/12,6)+$B$4),CC59-$I59)))))</f>
        <v/>
      </c>
      <c r="CE59" s="68">
        <f>IF($U59=0,0,IF($F59=4,0,IF($F59=3,0,IF(OR(38&gt;$R59,CD59&lt;=$I59),CD59,CD59-MIN(INT(ROUND(IF($F59=1,$C59*$J59,IF(GC59&gt;0,GC59*$K59,CD59*$J59))*IF(38=$R59,$S59,12)/12,6)+$B$4),CD59-$I59)))))</f>
        <v/>
      </c>
      <c r="CF59" s="68">
        <f>IF($U59=0,0,IF($F59=4,0,IF($F59=3,0,IF(OR(39&gt;$R59,CE59&lt;=$I59),CE59,CE59-MIN(INT(ROUND(IF($F59=1,$C59*$J59,IF(GD59&gt;0,GD59*$K59,CE59*$J59))*IF(39=$R59,$S59,12)/12,6)+$B$4),CE59-$I59)))))</f>
        <v/>
      </c>
      <c r="CG59" s="68">
        <f>IF($U59=0,0,IF($F59=4,0,IF($F59=3,0,IF(OR(40&gt;$R59,CF59&lt;=$I59),CF59,CF59-MIN(INT(ROUND(IF($F59=1,$C59*$J59,IF(GE59&gt;0,GE59*$K59,CF59*$J59))*IF(40=$R59,$S59,12)/12,6)+$B$4),CF59-$I59)))))</f>
        <v/>
      </c>
      <c r="CH59" s="68">
        <f>IF($U59=0,0,IF($F59=4,0,IF($F59=3,0,IF(OR(41&gt;$R59,CG59&lt;=$I59),CG59,CG59-MIN(INT(ROUND(IF($F59=1,$C59*$J59,IF(GF59&gt;0,GF59*$K59,CG59*$J59))*IF(41=$R59,$S59,12)/12,6)+$B$4),CG59-$I59)))))</f>
        <v/>
      </c>
      <c r="CI59" s="68">
        <f>IF($U59=0,0,IF($F59=4,0,IF($F59=3,0,IF(OR(42&gt;$R59,CH59&lt;=$I59),CH59,CH59-MIN(INT(ROUND(IF($F59=1,$C59*$J59,IF(GG59&gt;0,GG59*$K59,CH59*$J59))*IF(42=$R59,$S59,12)/12,6)+$B$4),CH59-$I59)))))</f>
        <v/>
      </c>
      <c r="CJ59" s="68">
        <f>IF($U59=0,0,IF($F59=4,0,IF($F59=3,0,IF(OR(43&gt;$R59,CI59&lt;=$I59),CI59,CI59-MIN(INT(ROUND(IF($F59=1,$C59*$J59,IF(GH59&gt;0,GH59*$K59,CI59*$J59))*IF(43=$R59,$S59,12)/12,6)+$B$4),CI59-$I59)))))</f>
        <v/>
      </c>
      <c r="CK59" s="68">
        <f>IF($U59=0,0,IF($F59=4,0,IF($F59=3,0,IF(OR(44&gt;$R59,CJ59&lt;=$I59),CJ59,CJ59-MIN(INT(ROUND(IF($F59=1,$C59*$J59,IF(GI59&gt;0,GI59*$K59,CJ59*$J59))*IF(44=$R59,$S59,12)/12,6)+$B$4),CJ59-$I59)))))</f>
        <v/>
      </c>
      <c r="CL59" s="68">
        <f>IF($U59=0,0,IF($F59=4,0,IF($F59=3,0,IF(OR(45&gt;$R59,CK59&lt;=$I59),CK59,CK59-MIN(INT(ROUND(IF($F59=1,$C59*$J59,IF(GJ59&gt;0,GJ59*$K59,CK59*$J59))*IF(45=$R59,$S59,12)/12,6)+$B$4),CK59-$I59)))))</f>
        <v/>
      </c>
      <c r="CM59" s="68">
        <f>IF($U59=0,0,IF($F59=4,0,IF($F59=3,0,IF(OR(46&gt;$R59,CL59&lt;=$I59),CL59,CL59-MIN(INT(ROUND(IF($F59=1,$C59*$J59,IF(GK59&gt;0,GK59*$K59,CL59*$J59))*IF(46=$R59,$S59,12)/12,6)+$B$4),CL59-$I59)))))</f>
        <v/>
      </c>
      <c r="CN59" s="68">
        <f>IF($U59=0,0,IF($F59=4,0,IF($F59=3,0,IF(OR(47&gt;$R59,CM59&lt;=$I59),CM59,CM59-MIN(INT(ROUND(IF($F59=1,$C59*$J59,IF(GL59&gt;0,GL59*$K59,CM59*$J59))*IF(47=$R59,$S59,12)/12,6)+$B$4),CM59-$I59)))))</f>
        <v/>
      </c>
      <c r="CO59" s="68">
        <f>IF($U59=0,0,IF($F59=4,0,IF($F59=3,0,IF(OR(48&gt;$R59,CN59&lt;=$I59),CN59,CN59-MIN(INT(ROUND(IF($F59=1,$C59*$J59,IF(GM59&gt;0,GM59*$K59,CN59*$J59))*IF(48=$R59,$S59,12)/12,6)+$B$4),CN59-$I59)))))</f>
        <v/>
      </c>
      <c r="CP59" s="68">
        <f>IF($U59=0,0,IF($F59=4,0,IF($F59=3,0,IF(OR(49&gt;$R59,CO59&lt;=$I59),CO59,CO59-MIN(INT(ROUND(IF($F59=1,$C59*$J59,IF(GN59&gt;0,GN59*$K59,CO59*$J59))*IF(49=$R59,$S59,12)/12,6)+$B$4),CO59-$I59)))))</f>
        <v/>
      </c>
      <c r="CQ59" s="68">
        <f>IF($U59=0,0,IF($F59=4,0,IF($F59=3,0,IF(OR(50&gt;$R59,CP59&lt;=$I59),CP59,CP59-MIN(INT(ROUND(IF($F59=1,$C59*$J59,IF(GO59&gt;0,GO59*$K59,CP59*$J59))*IF(50=$R59,$S59,12)/12,6)+$B$4),CP59-$I59)))))</f>
        <v/>
      </c>
      <c r="CR59" s="68">
        <f>IF($U59=0,0,IF($F59=4,0,IF($F59=3,0,IF(OR(51&gt;$R59,CQ59&lt;=$I59),CQ59,CQ59-MIN(INT(ROUND(IF($F59=1,$C59*$J59,IF(GP59&gt;0,GP59*$K59,CQ59*$J59))*IF(51=$R59,$S59,12)/12,6)+$B$4),CQ59-$I59)))))</f>
        <v/>
      </c>
      <c r="CS59" s="68">
        <f>IF($U59=0,0,IF($F59=4,0,IF($F59=3,0,IF(OR(52&gt;$R59,CR59&lt;=$I59),CR59,CR59-MIN(INT(ROUND(IF($F59=1,$C59*$J59,IF(GQ59&gt;0,GQ59*$K59,CR59*$J59))*IF(52=$R59,$S59,12)/12,6)+$B$4),CR59-$I59)))))</f>
        <v/>
      </c>
      <c r="CT59" s="68">
        <f>IF($U59=0,0,IF($F59=4,0,IF($F59=3,0,IF(OR(53&gt;$R59,CS59&lt;=$I59),CS59,CS59-MIN(INT(ROUND(IF($F59=1,$C59*$J59,IF(GR59&gt;0,GR59*$K59,CS59*$J59))*IF(53=$R59,$S59,12)/12,6)+$B$4),CS59-$I59)))))</f>
        <v/>
      </c>
      <c r="CU59" s="68">
        <f>IF($U59=0,0,IF($F59=4,0,IF($F59=3,0,IF(OR(54&gt;$R59,CT59&lt;=$I59),CT59,CT59-MIN(INT(ROUND(IF($F59=1,$C59*$J59,IF(GS59&gt;0,GS59*$K59,CT59*$J59))*IF(54=$R59,$S59,12)/12,6)+$B$4),CT59-$I59)))))</f>
        <v/>
      </c>
      <c r="CV59" s="68">
        <f>IF($U59=0,0,IF($F59=4,0,IF($F59=3,0,IF(OR(55&gt;$R59,CU59&lt;=$I59),CU59,CU59-MIN(INT(ROUND(IF($F59=1,$C59*$J59,IF(GT59&gt;0,GT59*$K59,CU59*$J59))*IF(55=$R59,$S59,12)/12,6)+$B$4),CU59-$I59)))))</f>
        <v/>
      </c>
      <c r="CW59" s="68">
        <f>IF($U59=0,0,IF($F59=4,0,IF($F59=3,0,IF(OR(56&gt;$R59,CV59&lt;=$I59),CV59,CV59-MIN(INT(ROUND(IF($F59=1,$C59*$J59,IF(GU59&gt;0,GU59*$K59,CV59*$J59))*IF(56=$R59,$S59,12)/12,6)+$B$4),CV59-$I59)))))</f>
        <v/>
      </c>
      <c r="CX59" s="68">
        <f>IF($U59=0,0,IF($F59=4,0,IF($F59=3,0,IF(OR(57&gt;$R59,CW59&lt;=$I59),CW59,CW59-MIN(INT(ROUND(IF($F59=1,$C59*$J59,IF(GV59&gt;0,GV59*$K59,CW59*$J59))*IF(57=$R59,$S59,12)/12,6)+$B$4),CW59-$I59)))))</f>
        <v/>
      </c>
      <c r="CY59" s="68">
        <f>IF($U59=0,0,IF($F59=4,0,IF($F59=3,0,IF(OR(58&gt;$R59,CX59&lt;=$I59),CX59,CX59-MIN(INT(ROUND(IF($F59=1,$C59*$J59,IF(GW59&gt;0,GW59*$K59,CX59*$J59))*IF(58=$R59,$S59,12)/12,6)+$B$4),CX59-$I59)))))</f>
        <v/>
      </c>
      <c r="CZ59" s="68">
        <f>IF($U59=0,0,IF($F59=4,0,IF($F59=3,0,IF(OR(59&gt;$R59,CY59&lt;=$I59),CY59,CY59-MIN(INT(ROUND(IF($F59=1,$C59*$J59,IF(GX59&gt;0,GX59*$K59,CY59*$J59))*IF(59=$R59,$S59,12)/12,6)+$B$4),CY59-$I59)))))</f>
        <v/>
      </c>
      <c r="DA59" s="68">
        <f>IF($U59=0,0,IF($F59=4,0,IF($F59=3,0,IF(OR(60&gt;$R59,CZ59&lt;=$I59),CZ59,CZ59-MIN(INT(ROUND(IF($F59=1,$C59*$J59,IF(GY59&gt;0,GY59*$K59,CZ59*$J59))*IF(60=$R59,$S59,12)/12,6)+$B$4),CZ59-$I59)))))</f>
        <v/>
      </c>
      <c r="DB59" s="68">
        <f>IF($U59=0,0,IF($F59=4,0,IF($F59=3,0,IF(OR(61&gt;$R59,DA59&lt;=$I59),DA59,DA59-MIN(INT(ROUND(IF($F59=1,$C59*$J59,IF(GZ59&gt;0,GZ59*$K59,DA59*$J59))*IF(61=$R59,$S59,12)/12,6)+$B$4),DA59-$I59)))))</f>
        <v/>
      </c>
      <c r="DC59" s="68">
        <f>IF($U59=0,0,IF($F59=4,0,IF($F59=3,0,IF(OR(62&gt;$R59,DB59&lt;=$I59),DB59,DB59-MIN(INT(ROUND(IF($F59=1,$C59*$J59,IF(HA59&gt;0,HA59*$K59,DB59*$J59))*IF(62=$R59,$S59,12)/12,6)+$B$4),DB59-$I59)))))</f>
        <v/>
      </c>
      <c r="DD59" s="68">
        <f>IF($U59=0,0,IF($F59=4,0,IF($F59=3,0,IF(OR(63&gt;$R59,DC59&lt;=$I59),DC59,DC59-MIN(INT(ROUND(IF($F59=1,$C59*$J59,IF(HB59&gt;0,HB59*$K59,DC59*$J59))*IF(63=$R59,$S59,12)/12,6)+$B$4),DC59-$I59)))))</f>
        <v/>
      </c>
      <c r="DE59" s="68">
        <f>IF($U59=0,0,IF($F59=4,0,IF($F59=3,0,IF(OR(64&gt;$R59,DD59&lt;=$I59),DD59,DD59-MIN(INT(ROUND(IF($F59=1,$C59*$J59,IF(HC59&gt;0,HC59*$K59,DD59*$J59))*IF(64=$R59,$S59,12)/12,6)+$B$4),DD59-$I59)))))</f>
        <v/>
      </c>
      <c r="DF59" s="68">
        <f>IF($U59=0,0,IF($F59=4,0,IF($F59=3,0,IF(OR(65&gt;$R59,DE59&lt;=$I59),DE59,DE59-MIN(INT(ROUND(IF($F59=1,$C59*$J59,IF(HD59&gt;0,HD59*$K59,DE59*$J59))*IF(65=$R59,$S59,12)/12,6)+$B$4),DE59-$I59)))))</f>
        <v/>
      </c>
      <c r="DG59" s="68">
        <f>IF($U59=0,0,IF($F59=4,0,IF($F59=3,0,IF(OR(66&gt;$R59,DF59&lt;=$I59),DF59,DF59-MIN(INT(ROUND(IF($F59=1,$C59*$J59,IF(HE59&gt;0,HE59*$K59,DF59*$J59))*IF(66=$R59,$S59,12)/12,6)+$B$4),DF59-$I59)))))</f>
        <v/>
      </c>
      <c r="DH59" s="68">
        <f>IF($U59=0,0,IF($F59=4,0,IF($F59=3,0,IF(OR(67&gt;$R59,DG59&lt;=$I59),DG59,DG59-MIN(INT(ROUND(IF($F59=1,$C59*$J59,IF(HF59&gt;0,HF59*$K59,DG59*$J59))*IF(67=$R59,$S59,12)/12,6)+$B$4),DG59-$I59)))))</f>
        <v/>
      </c>
      <c r="DI59" s="68">
        <f>IF($U59=0,0,IF($F59=4,0,IF($F59=3,0,IF(OR(68&gt;$R59,DH59&lt;=$I59),DH59,DH59-MIN(INT(ROUND(IF($F59=1,$C59*$J59,IF(HG59&gt;0,HG59*$K59,DH59*$J59))*IF(68=$R59,$S59,12)/12,6)+$B$4),DH59-$I59)))))</f>
        <v/>
      </c>
      <c r="DJ59" s="68">
        <f>IF($U59=0,0,IF($F59=4,0,IF($F59=3,0,IF(OR(69&gt;$R59,DI59&lt;=$I59),DI59,DI59-MIN(INT(ROUND(IF($F59=1,$C59*$J59,IF(HH59&gt;0,HH59*$K59,DI59*$J59))*IF(69=$R59,$S59,12)/12,6)+$B$4),DI59-$I59)))))</f>
        <v/>
      </c>
      <c r="DK59" s="68">
        <f>IF($U59=0,0,IF($F59=4,0,IF($F59=3,0,IF(OR(70&gt;$R59,DJ59&lt;=$I59),DJ59,DJ59-MIN(INT(ROUND(IF($F59=1,$C59*$J59,IF(HI59&gt;0,HI59*$K59,DJ59*$J59))*IF(70=$R59,$S59,12)/12,6)+$B$4),DJ59-$I59)))))</f>
        <v/>
      </c>
      <c r="DL59" s="68">
        <f>IF($U59=0,0,IF($F59=4,0,IF($F59=3,0,IF(OR(71&gt;$R59,DK59&lt;=$I59),DK59,DK59-MIN(INT(ROUND(IF($F59=1,$C59*$J59,IF(HJ59&gt;0,HJ59*$K59,DK59*$J59))*IF(71=$R59,$S59,12)/12,6)+$B$4),DK59-$I59)))))</f>
        <v/>
      </c>
      <c r="DM59" s="68">
        <f>IF($U59=0,0,IF($F59=4,0,IF($F59=3,0,IF(OR(72&gt;$R59,DL59&lt;=$I59),DL59,DL59-MIN(INT(ROUND(IF($F59=1,$C59*$J59,IF(HK59&gt;0,HK59*$K59,DL59*$J59))*IF(72=$R59,$S59,12)/12,6)+$B$4),DL59-$I59)))))</f>
        <v/>
      </c>
      <c r="DN59" s="68">
        <f>IF($U59=0,0,IF($F59=4,0,IF($F59=3,0,IF(OR(73&gt;$R59,DM59&lt;=$I59),DM59,DM59-MIN(INT(ROUND(IF($F59=1,$C59*$J59,IF(HL59&gt;0,HL59*$K59,DM59*$J59))*IF(73=$R59,$S59,12)/12,6)+$B$4),DM59-$I59)))))</f>
        <v/>
      </c>
      <c r="DO59" s="68">
        <f>IF($U59=0,0,IF($F59=4,0,IF($F59=3,0,IF(OR(74&gt;$R59,DN59&lt;=$I59),DN59,DN59-MIN(INT(ROUND(IF($F59=1,$C59*$J59,IF(HM59&gt;0,HM59*$K59,DN59*$J59))*IF(74=$R59,$S59,12)/12,6)+$B$4),DN59-$I59)))))</f>
        <v/>
      </c>
      <c r="DP59" s="68">
        <f>IF($U59=0,0,IF($F59=4,0,IF($F59=3,0,IF(OR(75&gt;$R59,DO59&lt;=$I59),DO59,DO59-MIN(INT(ROUND(IF($F59=1,$C59*$J59,IF(HN59&gt;0,HN59*$K59,DO59*$J59))*IF(75=$R59,$S59,12)/12,6)+$B$4),DO59-$I59)))))</f>
        <v/>
      </c>
      <c r="DQ59" s="68">
        <f>IF($U59=0,0,IF($F59=4,0,IF($F59=3,0,IF(OR(76&gt;$R59,DP59&lt;=$I59),DP59,DP59-MIN(INT(ROUND(IF($F59=1,$C59*$J59,IF(HO59&gt;0,HO59*$K59,DP59*$J59))*IF(76=$R59,$S59,12)/12,6)+$B$4),DP59-$I59)))))</f>
        <v/>
      </c>
      <c r="DR59" s="68">
        <f>IF($U59=0,0,IF($F59=4,0,IF($F59=3,0,IF(OR(77&gt;$R59,DQ59&lt;=$I59),DQ59,DQ59-MIN(INT(ROUND(IF($F59=1,$C59*$J59,IF(HP59&gt;0,HP59*$K59,DQ59*$J59))*IF(77=$R59,$S59,12)/12,6)+$B$4),DQ59-$I59)))))</f>
        <v/>
      </c>
      <c r="DS59" s="68">
        <f>IF($U59=0,0,IF($F59=4,0,IF($F59=3,0,IF(OR(78&gt;$R59,DR59&lt;=$I59),DR59,DR59-MIN(INT(ROUND(IF($F59=1,$C59*$J59,IF(HQ59&gt;0,HQ59*$K59,DR59*$J59))*IF(78=$R59,$S59,12)/12,6)+$B$4),DR59-$I59)))))</f>
        <v/>
      </c>
      <c r="DT59" s="68">
        <f>IF($U59=0,0,IF($F59=4,0,IF($F59=3,0,IF(OR(79&gt;$R59,DS59&lt;=$I59),DS59,DS59-MIN(INT(ROUND(IF($F59=1,$C59*$J59,IF(HR59&gt;0,HR59*$K59,DS59*$J59))*IF(79=$R59,$S59,12)/12,6)+$B$4),DS59-$I59)))))</f>
        <v/>
      </c>
      <c r="DU59" s="68">
        <f>IF($U59=0,0,IF($F59=4,0,IF($F59=3,0,IF(OR(80&gt;$R59,DT59&lt;=$I59),DT59,DT59-MIN(INT(ROUND(IF($F59=1,$C59*$J59,IF(HS59&gt;0,HS59*$K59,DT59*$J59))*IF(80=$R59,$S59,12)/12,6)+$B$4),DT59-$I59)))))</f>
        <v/>
      </c>
      <c r="DV59" s="68">
        <f>IF($U59=0,0,IF($F59=4,0,IF($F59=3,0,IF(OR(81&gt;$R59,DU59&lt;=$I59),DU59,DU59-MIN(INT(ROUND(IF($F59=1,$C59*$J59,IF(HT59&gt;0,HT59*$K59,DU59*$J59))*IF(81=$R59,$S59,12)/12,6)+$B$4),DU59-$I59)))))</f>
        <v/>
      </c>
      <c r="DW59" s="68">
        <f>IF($U59=0,0,IF($F59=4,0,IF($F59=3,0,IF(OR(82&gt;$R59,DV59&lt;=$I59),DV59,DV59-MIN(INT(ROUND(IF($F59=1,$C59*$J59,IF(HU59&gt;0,HU59*$K59,DV59*$J59))*IF(82=$R59,$S59,12)/12,6)+$B$4),DV59-$I59)))))</f>
        <v/>
      </c>
      <c r="DX59" s="68">
        <f>IF($U59=0,0,IF($F59=4,0,IF($F59=3,0,IF(OR(83&gt;$R59,DW59&lt;=$I59),DW59,DW59-MIN(INT(ROUND(IF($F59=1,$C59*$J59,IF(HV59&gt;0,HV59*$K59,DW59*$J59))*IF(83=$R59,$S59,12)/12,6)+$B$4),DW59-$I59)))))</f>
        <v/>
      </c>
      <c r="DY59" s="68">
        <f>IF($U59=0,0,IF($F59=4,0,IF($F59=3,0,IF(OR(84&gt;$R59,DX59&lt;=$I59),DX59,DX59-MIN(INT(ROUND(IF($F59=1,$C59*$J59,IF(HW59&gt;0,HW59*$K59,DX59*$J59))*IF(84=$R59,$S59,12)/12,6)+$B$4),DX59-$I59)))))</f>
        <v/>
      </c>
      <c r="DZ59" s="68">
        <f>IF($U59=0,0,IF($F59=4,0,IF($F59=3,0,IF(OR(85&gt;$R59,DY59&lt;=$I59),DY59,DY59-MIN(INT(ROUND(IF($F59=1,$C59*$J59,IF(HX59&gt;0,HX59*$K59,DY59*$J59))*IF(85=$R59,$S59,12)/12,6)+$B$4),DY59-$I59)))))</f>
        <v/>
      </c>
      <c r="EA59" s="68">
        <f>IF($U59=0,0,IF($F59=4,0,IF($F59=3,0,IF(OR(86&gt;$R59,DZ59&lt;=$I59),DZ59,DZ59-MIN(INT(ROUND(IF($F59=1,$C59*$J59,IF(HY59&gt;0,HY59*$K59,DZ59*$J59))*IF(86=$R59,$S59,12)/12,6)+$B$4),DZ59-$I59)))))</f>
        <v/>
      </c>
      <c r="EB59" s="68">
        <f>IF($U59=0,0,IF($F59=4,0,IF($F59=3,0,IF(OR(87&gt;$R59,EA59&lt;=$I59),EA59,EA59-MIN(INT(ROUND(IF($F59=1,$C59*$J59,IF(HZ59&gt;0,HZ59*$K59,EA59*$J59))*IF(87=$R59,$S59,12)/12,6)+$B$4),EA59-$I59)))))</f>
        <v/>
      </c>
      <c r="EC59" s="68">
        <f>IF($U59=0,0,IF($F59=4,0,IF($F59=3,0,IF(OR(88&gt;$R59,EB59&lt;=$I59),EB59,EB59-MIN(INT(ROUND(IF($F59=1,$C59*$J59,IF(IA59&gt;0,IA59*$K59,EB59*$J59))*IF(88=$R59,$S59,12)/12,6)+$B$4),EB59-$I59)))))</f>
        <v/>
      </c>
      <c r="ED59" s="68">
        <f>IF($U59=0,0,IF($F59=4,0,IF($F59=3,0,IF(OR(89&gt;$R59,EC59&lt;=$I59),EC59,EC59-MIN(INT(ROUND(IF($F59=1,$C59*$J59,IF(IB59&gt;0,IB59*$K59,EC59*$J59))*IF(89=$R59,$S59,12)/12,6)+$B$4),EC59-$I59)))))</f>
        <v/>
      </c>
      <c r="EE59" s="68">
        <f>IF($U59=0,0,IF($F59=4,0,IF($F59=3,0,IF(OR(90&gt;$R59,ED59&lt;=$I59),ED59,ED59-MIN(INT(ROUND(IF($F59=1,$C59*$J59,IF(IC59&gt;0,IC59*$K59,ED59*$J59))*IF(90=$R59,$S59,12)/12,6)+$B$4),ED59-$I59)))))</f>
        <v/>
      </c>
      <c r="EF59" s="68">
        <f>IF($U59=0,0,IF($F59=4,0,IF($F59=3,0,IF(OR(91&gt;$R59,EE59&lt;=$I59),EE59,EE59-MIN(INT(ROUND(IF($F59=1,$C59*$J59,IF(ID59&gt;0,ID59*$K59,EE59*$J59))*IF(91=$R59,$S59,12)/12,6)+$B$4),EE59-$I59)))))</f>
        <v/>
      </c>
      <c r="EG59" s="68">
        <f>IF($U59=0,0,IF($F59=4,0,IF($F59=3,0,IF(OR(92&gt;$R59,EF59&lt;=$I59),EF59,EF59-MIN(INT(ROUND(IF($F59=1,$C59*$J59,IF(IE59&gt;0,IE59*$K59,EF59*$J59))*IF(92=$R59,$S59,12)/12,6)+$B$4),EF59-$I59)))))</f>
        <v/>
      </c>
      <c r="EH59" s="68">
        <f>IF($U59=0,0,IF($F59=4,0,IF($F59=3,0,IF(OR(93&gt;$R59,EG59&lt;=$I59),EG59,EG59-MIN(INT(ROUND(IF($F59=1,$C59*$J59,IF(IF59&gt;0,IF59*$K59,EG59*$J59))*IF(93=$R59,$S59,12)/12,6)+$B$4),EG59-$I59)))))</f>
        <v/>
      </c>
      <c r="EI59" s="68">
        <f>IF($U59=0,0,IF($F59=4,0,IF($F59=3,0,IF(OR(94&gt;$R59,EH59&lt;=$I59),EH59,EH59-MIN(INT(ROUND(IF($F59=1,$C59*$J59,IF(IG59&gt;0,IG59*$K59,EH59*$J59))*IF(94=$R59,$S59,12)/12,6)+$B$4),EH59-$I59)))))</f>
        <v/>
      </c>
      <c r="EJ59" s="68">
        <f>IF($U59=0,0,IF($F59=4,0,IF($F59=3,0,IF(OR(95&gt;$R59,EI59&lt;=$I59),EI59,EI59-MIN(INT(ROUND(IF($F59=1,$C59*$J59,IF(IH59&gt;0,IH59*$K59,EI59*$J59))*IF(95=$R59,$S59,12)/12,6)+$B$4),EI59-$I59)))))</f>
        <v/>
      </c>
      <c r="EK59" s="68">
        <f>IF($U59=0,0,IF($F59=4,0,IF($F59=3,0,IF(OR(96&gt;$R59,EJ59&lt;=$I59),EJ59,EJ59-MIN(INT(ROUND(IF($F59=1,$C59*$J59,IF(II59&gt;0,II59*$K59,EJ59*$J59))*IF(96=$R59,$S59,12)/12,6)+$B$4),EJ59-$I59)))))</f>
        <v/>
      </c>
      <c r="EL59" s="68">
        <f>IF($U59=0,0,IF($F59=4,0,IF($F59=3,0,IF(OR(97&gt;$R59,EK59&lt;=$I59),EK59,EK59-MIN(INT(ROUND(IF($F59=1,$C59*$J59,IF(IJ59&gt;0,IJ59*$K59,EK59*$J59))*IF(97=$R59,$S59,12)/12,6)+$B$4),EK59-$I59)))))</f>
        <v/>
      </c>
      <c r="EM59" s="68">
        <f>IF($U59=0,0,IF($F59=4,0,IF($F59=3,0,IF(OR(98&gt;$R59,EL59&lt;=$I59),EL59,EL59-MIN(INT(ROUND(IF($F59=1,$C59*$J59,IF(IK59&gt;0,IK59*$K59,EL59*$J59))*IF(98=$R59,$S59,12)/12,6)+$B$4),EL59-$I59)))))</f>
        <v/>
      </c>
      <c r="EN59" s="68">
        <f>IF($U59=0,0,IF($F59=4,0,IF($F59=3,0,IF(OR(99&gt;$R59,EM59&lt;=$I59),EM59,EM59-MIN(INT(ROUND(IF($F59=1,$C59*$J59,IF(IL59&gt;0,IL59*$K59,EM59*$J59))*IF(99=$R59,$S59,12)/12,6)+$B$4),EM59-$I59)))))</f>
        <v/>
      </c>
      <c r="EO59" s="68">
        <f>IF($U59=0,0,IF($F59=4,0,IF($F59=3,0,IF(OR(100&gt;$R59,EN59&lt;=$I59),EN59,EN59-MIN(INT(ROUND(IF($F59=1,$C59*$J59,IF(IM59&gt;0,IM59*$K59,EN59*$J59))*IF(100=$R59,$S59,12)/12,6)+$B$4),EN59-$I59)))))</f>
        <v/>
      </c>
      <c r="EP59" s="68">
        <f>IF($U59=0,0,IF($F59=4,0,IF($F59=3,0,IF(OR(101&gt;$R59,EO59&lt;=$I59),EO59,EO59-MIN(INT(ROUND(IF($F59=1,$C59*$J59,IF(IN59&gt;0,IN59*$K59,EO59*$J59))*IF(101=$R59,$S59,12)/12,6)+$B$4),EO59-$I59)))))</f>
        <v/>
      </c>
      <c r="EQ59" s="68" t="n"/>
      <c r="ER59" s="68">
        <f>IF(OR($U59=0,$F59&lt;&gt;2),0,IF(ROUND(AS59*$J59,6)&lt;ROUND($M59,6),AS59,0))</f>
        <v/>
      </c>
      <c r="ES59" s="68">
        <f>IF(OR($U59=0,$F59&lt;&gt;2),0,IF(ER59&gt;0,ER59,IF(ROUND(AT59*$J59,6)&lt;ROUND($M59,6),AT59,0)))</f>
        <v/>
      </c>
      <c r="ET59" s="68">
        <f>IF(OR($U59=0,$F59&lt;&gt;2),0,IF(ES59&gt;0,ES59,IF(ROUND(AU59*$J59,6)&lt;ROUND($M59,6),AU59,0)))</f>
        <v/>
      </c>
      <c r="EU59" s="68">
        <f>IF(OR($U59=0,$F59&lt;&gt;2),0,IF(ET59&gt;0,ET59,IF(ROUND(AV59*$J59,6)&lt;ROUND($M59,6),AV59,0)))</f>
        <v/>
      </c>
      <c r="EV59" s="68">
        <f>IF(OR($U59=0,$F59&lt;&gt;2),0,IF(EU59&gt;0,EU59,IF(ROUND(AW59*$J59,6)&lt;ROUND($M59,6),AW59,0)))</f>
        <v/>
      </c>
      <c r="EW59" s="68">
        <f>IF(OR($U59=0,$F59&lt;&gt;2),0,IF(EV59&gt;0,EV59,IF(ROUND(AX59*$J59,6)&lt;ROUND($M59,6),AX59,0)))</f>
        <v/>
      </c>
      <c r="EX59" s="68">
        <f>IF(OR($U59=0,$F59&lt;&gt;2),0,IF(EW59&gt;0,EW59,IF(ROUND(AY59*$J59,6)&lt;ROUND($M59,6),AY59,0)))</f>
        <v/>
      </c>
      <c r="EY59" s="68">
        <f>IF(OR($U59=0,$F59&lt;&gt;2),0,IF(EX59&gt;0,EX59,IF(ROUND(AZ59*$J59,6)&lt;ROUND($M59,6),AZ59,0)))</f>
        <v/>
      </c>
      <c r="EZ59" s="68">
        <f>IF(OR($U59=0,$F59&lt;&gt;2),0,IF(EY59&gt;0,EY59,IF(ROUND(BA59*$J59,6)&lt;ROUND($M59,6),BA59,0)))</f>
        <v/>
      </c>
      <c r="FA59" s="68">
        <f>IF(OR($U59=0,$F59&lt;&gt;2),0,IF(EZ59&gt;0,EZ59,IF(ROUND(BB59*$J59,6)&lt;ROUND($M59,6),BB59,0)))</f>
        <v/>
      </c>
      <c r="FB59" s="68">
        <f>IF(OR($U59=0,$F59&lt;&gt;2),0,IF(FA59&gt;0,FA59,IF(ROUND(BC59*$J59,6)&lt;ROUND($M59,6),BC59,0)))</f>
        <v/>
      </c>
      <c r="FC59" s="68">
        <f>IF(OR($U59=0,$F59&lt;&gt;2),0,IF(FB59&gt;0,FB59,IF(ROUND(BD59*$J59,6)&lt;ROUND($M59,6),BD59,0)))</f>
        <v/>
      </c>
      <c r="FD59" s="68">
        <f>IF(OR($U59=0,$F59&lt;&gt;2),0,IF(FC59&gt;0,FC59,IF(ROUND(BE59*$J59,6)&lt;ROUND($M59,6),BE59,0)))</f>
        <v/>
      </c>
      <c r="FE59" s="68">
        <f>IF(OR($U59=0,$F59&lt;&gt;2),0,IF(FD59&gt;0,FD59,IF(ROUND(BF59*$J59,6)&lt;ROUND($M59,6),BF59,0)))</f>
        <v/>
      </c>
      <c r="FF59" s="68">
        <f>IF(OR($U59=0,$F59&lt;&gt;2),0,IF(FE59&gt;0,FE59,IF(ROUND(BG59*$J59,6)&lt;ROUND($M59,6),BG59,0)))</f>
        <v/>
      </c>
      <c r="FG59" s="68">
        <f>IF(OR($U59=0,$F59&lt;&gt;2),0,IF(FF59&gt;0,FF59,IF(ROUND(BH59*$J59,6)&lt;ROUND($M59,6),BH59,0)))</f>
        <v/>
      </c>
      <c r="FH59" s="68">
        <f>IF(OR($U59=0,$F59&lt;&gt;2),0,IF(FG59&gt;0,FG59,IF(ROUND(BI59*$J59,6)&lt;ROUND($M59,6),BI59,0)))</f>
        <v/>
      </c>
      <c r="FI59" s="68">
        <f>IF(OR($U59=0,$F59&lt;&gt;2),0,IF(FH59&gt;0,FH59,IF(ROUND(BJ59*$J59,6)&lt;ROUND($M59,6),BJ59,0)))</f>
        <v/>
      </c>
      <c r="FJ59" s="68">
        <f>IF(OR($U59=0,$F59&lt;&gt;2),0,IF(FI59&gt;0,FI59,IF(ROUND(BK59*$J59,6)&lt;ROUND($M59,6),BK59,0)))</f>
        <v/>
      </c>
      <c r="FK59" s="68">
        <f>IF(OR($U59=0,$F59&lt;&gt;2),0,IF(FJ59&gt;0,FJ59,IF(ROUND(BL59*$J59,6)&lt;ROUND($M59,6),BL59,0)))</f>
        <v/>
      </c>
      <c r="FL59" s="68">
        <f>IF(OR($U59=0,$F59&lt;&gt;2),0,IF(FK59&gt;0,FK59,IF(ROUND(BM59*$J59,6)&lt;ROUND($M59,6),BM59,0)))</f>
        <v/>
      </c>
      <c r="FM59" s="68">
        <f>IF(OR($U59=0,$F59&lt;&gt;2),0,IF(FL59&gt;0,FL59,IF(ROUND(BN59*$J59,6)&lt;ROUND($M59,6),BN59,0)))</f>
        <v/>
      </c>
      <c r="FN59" s="68">
        <f>IF(OR($U59=0,$F59&lt;&gt;2),0,IF(FM59&gt;0,FM59,IF(ROUND(BO59*$J59,6)&lt;ROUND($M59,6),BO59,0)))</f>
        <v/>
      </c>
      <c r="FO59" s="68">
        <f>IF(OR($U59=0,$F59&lt;&gt;2),0,IF(FN59&gt;0,FN59,IF(ROUND(BP59*$J59,6)&lt;ROUND($M59,6),BP59,0)))</f>
        <v/>
      </c>
      <c r="FP59" s="68">
        <f>IF(OR($U59=0,$F59&lt;&gt;2),0,IF(FO59&gt;0,FO59,IF(ROUND(BQ59*$J59,6)&lt;ROUND($M59,6),BQ59,0)))</f>
        <v/>
      </c>
      <c r="FQ59" s="68">
        <f>IF(OR($U59=0,$F59&lt;&gt;2),0,IF(FP59&gt;0,FP59,IF(ROUND(BR59*$J59,6)&lt;ROUND($M59,6),BR59,0)))</f>
        <v/>
      </c>
      <c r="FR59" s="68">
        <f>IF(OR($U59=0,$F59&lt;&gt;2),0,IF(FQ59&gt;0,FQ59,IF(ROUND(BS59*$J59,6)&lt;ROUND($M59,6),BS59,0)))</f>
        <v/>
      </c>
      <c r="FS59" s="68">
        <f>IF(OR($U59=0,$F59&lt;&gt;2),0,IF(FR59&gt;0,FR59,IF(ROUND(BT59*$J59,6)&lt;ROUND($M59,6),BT59,0)))</f>
        <v/>
      </c>
      <c r="FT59" s="68">
        <f>IF(OR($U59=0,$F59&lt;&gt;2),0,IF(FS59&gt;0,FS59,IF(ROUND(BU59*$J59,6)&lt;ROUND($M59,6),BU59,0)))</f>
        <v/>
      </c>
      <c r="FU59" s="68">
        <f>IF(OR($U59=0,$F59&lt;&gt;2),0,IF(FT59&gt;0,FT59,IF(ROUND(BV59*$J59,6)&lt;ROUND($M59,6),BV59,0)))</f>
        <v/>
      </c>
      <c r="FV59" s="68">
        <f>IF(OR($U59=0,$F59&lt;&gt;2),0,IF(FU59&gt;0,FU59,IF(ROUND(BW59*$J59,6)&lt;ROUND($M59,6),BW59,0)))</f>
        <v/>
      </c>
      <c r="FW59" s="68">
        <f>IF(OR($U59=0,$F59&lt;&gt;2),0,IF(FV59&gt;0,FV59,IF(ROUND(BX59*$J59,6)&lt;ROUND($M59,6),BX59,0)))</f>
        <v/>
      </c>
      <c r="FX59" s="68">
        <f>IF(OR($U59=0,$F59&lt;&gt;2),0,IF(FW59&gt;0,FW59,IF(ROUND(BY59*$J59,6)&lt;ROUND($M59,6),BY59,0)))</f>
        <v/>
      </c>
      <c r="FY59" s="68">
        <f>IF(OR($U59=0,$F59&lt;&gt;2),0,IF(FX59&gt;0,FX59,IF(ROUND(BZ59*$J59,6)&lt;ROUND($M59,6),BZ59,0)))</f>
        <v/>
      </c>
      <c r="FZ59" s="68">
        <f>IF(OR($U59=0,$F59&lt;&gt;2),0,IF(FY59&gt;0,FY59,IF(ROUND(CA59*$J59,6)&lt;ROUND($M59,6),CA59,0)))</f>
        <v/>
      </c>
      <c r="GA59" s="68">
        <f>IF(OR($U59=0,$F59&lt;&gt;2),0,IF(FZ59&gt;0,FZ59,IF(ROUND(CB59*$J59,6)&lt;ROUND($M59,6),CB59,0)))</f>
        <v/>
      </c>
      <c r="GB59" s="68">
        <f>IF(OR($U59=0,$F59&lt;&gt;2),0,IF(GA59&gt;0,GA59,IF(ROUND(CC59*$J59,6)&lt;ROUND($M59,6),CC59,0)))</f>
        <v/>
      </c>
      <c r="GC59" s="68">
        <f>IF(OR($U59=0,$F59&lt;&gt;2),0,IF(GB59&gt;0,GB59,IF(ROUND(CD59*$J59,6)&lt;ROUND($M59,6),CD59,0)))</f>
        <v/>
      </c>
      <c r="GD59" s="68">
        <f>IF(OR($U59=0,$F59&lt;&gt;2),0,IF(GC59&gt;0,GC59,IF(ROUND(CE59*$J59,6)&lt;ROUND($M59,6),CE59,0)))</f>
        <v/>
      </c>
      <c r="GE59" s="68">
        <f>IF(OR($U59=0,$F59&lt;&gt;2),0,IF(GD59&gt;0,GD59,IF(ROUND(CF59*$J59,6)&lt;ROUND($M59,6),CF59,0)))</f>
        <v/>
      </c>
      <c r="GF59" s="68">
        <f>IF(OR($U59=0,$F59&lt;&gt;2),0,IF(GE59&gt;0,GE59,IF(ROUND(CG59*$J59,6)&lt;ROUND($M59,6),CG59,0)))</f>
        <v/>
      </c>
      <c r="GG59" s="68">
        <f>IF(OR($U59=0,$F59&lt;&gt;2),0,IF(GF59&gt;0,GF59,IF(ROUND(CH59*$J59,6)&lt;ROUND($M59,6),CH59,0)))</f>
        <v/>
      </c>
      <c r="GH59" s="68">
        <f>IF(OR($U59=0,$F59&lt;&gt;2),0,IF(GG59&gt;0,GG59,IF(ROUND(CI59*$J59,6)&lt;ROUND($M59,6),CI59,0)))</f>
        <v/>
      </c>
      <c r="GI59" s="68">
        <f>IF(OR($U59=0,$F59&lt;&gt;2),0,IF(GH59&gt;0,GH59,IF(ROUND(CJ59*$J59,6)&lt;ROUND($M59,6),CJ59,0)))</f>
        <v/>
      </c>
      <c r="GJ59" s="68">
        <f>IF(OR($U59=0,$F59&lt;&gt;2),0,IF(GI59&gt;0,GI59,IF(ROUND(CK59*$J59,6)&lt;ROUND($M59,6),CK59,0)))</f>
        <v/>
      </c>
      <c r="GK59" s="68">
        <f>IF(OR($U59=0,$F59&lt;&gt;2),0,IF(GJ59&gt;0,GJ59,IF(ROUND(CL59*$J59,6)&lt;ROUND($M59,6),CL59,0)))</f>
        <v/>
      </c>
      <c r="GL59" s="68">
        <f>IF(OR($U59=0,$F59&lt;&gt;2),0,IF(GK59&gt;0,GK59,IF(ROUND(CM59*$J59,6)&lt;ROUND($M59,6),CM59,0)))</f>
        <v/>
      </c>
      <c r="GM59" s="68">
        <f>IF(OR($U59=0,$F59&lt;&gt;2),0,IF(GL59&gt;0,GL59,IF(ROUND(CN59*$J59,6)&lt;ROUND($M59,6),CN59,0)))</f>
        <v/>
      </c>
      <c r="GN59" s="68">
        <f>IF(OR($U59=0,$F59&lt;&gt;2),0,IF(GM59&gt;0,GM59,IF(ROUND(CO59*$J59,6)&lt;ROUND($M59,6),CO59,0)))</f>
        <v/>
      </c>
      <c r="GO59" s="68">
        <f>IF(OR($U59=0,$F59&lt;&gt;2),0,IF(GN59&gt;0,GN59,IF(ROUND(CP59*$J59,6)&lt;ROUND($M59,6),CP59,0)))</f>
        <v/>
      </c>
      <c r="GP59" s="68">
        <f>IF(OR($U59=0,$F59&lt;&gt;2),0,IF(GO59&gt;0,GO59,IF(ROUND(CQ59*$J59,6)&lt;ROUND($M59,6),CQ59,0)))</f>
        <v/>
      </c>
      <c r="GQ59" s="68">
        <f>IF(OR($U59=0,$F59&lt;&gt;2),0,IF(GP59&gt;0,GP59,IF(ROUND(CR59*$J59,6)&lt;ROUND($M59,6),CR59,0)))</f>
        <v/>
      </c>
      <c r="GR59" s="68">
        <f>IF(OR($U59=0,$F59&lt;&gt;2),0,IF(GQ59&gt;0,GQ59,IF(ROUND(CS59*$J59,6)&lt;ROUND($M59,6),CS59,0)))</f>
        <v/>
      </c>
      <c r="GS59" s="68">
        <f>IF(OR($U59=0,$F59&lt;&gt;2),0,IF(GR59&gt;0,GR59,IF(ROUND(CT59*$J59,6)&lt;ROUND($M59,6),CT59,0)))</f>
        <v/>
      </c>
      <c r="GT59" s="68">
        <f>IF(OR($U59=0,$F59&lt;&gt;2),0,IF(GS59&gt;0,GS59,IF(ROUND(CU59*$J59,6)&lt;ROUND($M59,6),CU59,0)))</f>
        <v/>
      </c>
      <c r="GU59" s="68">
        <f>IF(OR($U59=0,$F59&lt;&gt;2),0,IF(GT59&gt;0,GT59,IF(ROUND(CV59*$J59,6)&lt;ROUND($M59,6),CV59,0)))</f>
        <v/>
      </c>
      <c r="GV59" s="68">
        <f>IF(OR($U59=0,$F59&lt;&gt;2),0,IF(GU59&gt;0,GU59,IF(ROUND(CW59*$J59,6)&lt;ROUND($M59,6),CW59,0)))</f>
        <v/>
      </c>
      <c r="GW59" s="68">
        <f>IF(OR($U59=0,$F59&lt;&gt;2),0,IF(GV59&gt;0,GV59,IF(ROUND(CX59*$J59,6)&lt;ROUND($M59,6),CX59,0)))</f>
        <v/>
      </c>
      <c r="GX59" s="68">
        <f>IF(OR($U59=0,$F59&lt;&gt;2),0,IF(GW59&gt;0,GW59,IF(ROUND(CY59*$J59,6)&lt;ROUND($M59,6),CY59,0)))</f>
        <v/>
      </c>
      <c r="GY59" s="68">
        <f>IF(OR($U59=0,$F59&lt;&gt;2),0,IF(GX59&gt;0,GX59,IF(ROUND(CZ59*$J59,6)&lt;ROUND($M59,6),CZ59,0)))</f>
        <v/>
      </c>
      <c r="GZ59" s="68">
        <f>IF(OR($U59=0,$F59&lt;&gt;2),0,IF(GY59&gt;0,GY59,IF(ROUND(DA59*$J59,6)&lt;ROUND($M59,6),DA59,0)))</f>
        <v/>
      </c>
      <c r="HA59" s="68">
        <f>IF(OR($U59=0,$F59&lt;&gt;2),0,IF(GZ59&gt;0,GZ59,IF(ROUND(DB59*$J59,6)&lt;ROUND($M59,6),DB59,0)))</f>
        <v/>
      </c>
      <c r="HB59" s="68">
        <f>IF(OR($U59=0,$F59&lt;&gt;2),0,IF(HA59&gt;0,HA59,IF(ROUND(DC59*$J59,6)&lt;ROUND($M59,6),DC59,0)))</f>
        <v/>
      </c>
      <c r="HC59" s="68">
        <f>IF(OR($U59=0,$F59&lt;&gt;2),0,IF(HB59&gt;0,HB59,IF(ROUND(DD59*$J59,6)&lt;ROUND($M59,6),DD59,0)))</f>
        <v/>
      </c>
      <c r="HD59" s="68">
        <f>IF(OR($U59=0,$F59&lt;&gt;2),0,IF(HC59&gt;0,HC59,IF(ROUND(DE59*$J59,6)&lt;ROUND($M59,6),DE59,0)))</f>
        <v/>
      </c>
      <c r="HE59" s="68">
        <f>IF(OR($U59=0,$F59&lt;&gt;2),0,IF(HD59&gt;0,HD59,IF(ROUND(DF59*$J59,6)&lt;ROUND($M59,6),DF59,0)))</f>
        <v/>
      </c>
      <c r="HF59" s="68">
        <f>IF(OR($U59=0,$F59&lt;&gt;2),0,IF(HE59&gt;0,HE59,IF(ROUND(DG59*$J59,6)&lt;ROUND($M59,6),DG59,0)))</f>
        <v/>
      </c>
      <c r="HG59" s="68">
        <f>IF(OR($U59=0,$F59&lt;&gt;2),0,IF(HF59&gt;0,HF59,IF(ROUND(DH59*$J59,6)&lt;ROUND($M59,6),DH59,0)))</f>
        <v/>
      </c>
      <c r="HH59" s="68">
        <f>IF(OR($U59=0,$F59&lt;&gt;2),0,IF(HG59&gt;0,HG59,IF(ROUND(DI59*$J59,6)&lt;ROUND($M59,6),DI59,0)))</f>
        <v/>
      </c>
      <c r="HI59" s="68">
        <f>IF(OR($U59=0,$F59&lt;&gt;2),0,IF(HH59&gt;0,HH59,IF(ROUND(DJ59*$J59,6)&lt;ROUND($M59,6),DJ59,0)))</f>
        <v/>
      </c>
      <c r="HJ59" s="68">
        <f>IF(OR($U59=0,$F59&lt;&gt;2),0,IF(HI59&gt;0,HI59,IF(ROUND(DK59*$J59,6)&lt;ROUND($M59,6),DK59,0)))</f>
        <v/>
      </c>
      <c r="HK59" s="68">
        <f>IF(OR($U59=0,$F59&lt;&gt;2),0,IF(HJ59&gt;0,HJ59,IF(ROUND(DL59*$J59,6)&lt;ROUND($M59,6),DL59,0)))</f>
        <v/>
      </c>
      <c r="HL59" s="68">
        <f>IF(OR($U59=0,$F59&lt;&gt;2),0,IF(HK59&gt;0,HK59,IF(ROUND(DM59*$J59,6)&lt;ROUND($M59,6),DM59,0)))</f>
        <v/>
      </c>
      <c r="HM59" s="68">
        <f>IF(OR($U59=0,$F59&lt;&gt;2),0,IF(HL59&gt;0,HL59,IF(ROUND(DN59*$J59,6)&lt;ROUND($M59,6),DN59,0)))</f>
        <v/>
      </c>
      <c r="HN59" s="68">
        <f>IF(OR($U59=0,$F59&lt;&gt;2),0,IF(HM59&gt;0,HM59,IF(ROUND(DO59*$J59,6)&lt;ROUND($M59,6),DO59,0)))</f>
        <v/>
      </c>
      <c r="HO59" s="68">
        <f>IF(OR($U59=0,$F59&lt;&gt;2),0,IF(HN59&gt;0,HN59,IF(ROUND(DP59*$J59,6)&lt;ROUND($M59,6),DP59,0)))</f>
        <v/>
      </c>
      <c r="HP59" s="68">
        <f>IF(OR($U59=0,$F59&lt;&gt;2),0,IF(HO59&gt;0,HO59,IF(ROUND(DQ59*$J59,6)&lt;ROUND($M59,6),DQ59,0)))</f>
        <v/>
      </c>
      <c r="HQ59" s="68">
        <f>IF(OR($U59=0,$F59&lt;&gt;2),0,IF(HP59&gt;0,HP59,IF(ROUND(DR59*$J59,6)&lt;ROUND($M59,6),DR59,0)))</f>
        <v/>
      </c>
      <c r="HR59" s="68">
        <f>IF(OR($U59=0,$F59&lt;&gt;2),0,IF(HQ59&gt;0,HQ59,IF(ROUND(DS59*$J59,6)&lt;ROUND($M59,6),DS59,0)))</f>
        <v/>
      </c>
      <c r="HS59" s="68">
        <f>IF(OR($U59=0,$F59&lt;&gt;2),0,IF(HR59&gt;0,HR59,IF(ROUND(DT59*$J59,6)&lt;ROUND($M59,6),DT59,0)))</f>
        <v/>
      </c>
      <c r="HT59" s="68">
        <f>IF(OR($U59=0,$F59&lt;&gt;2),0,IF(HS59&gt;0,HS59,IF(ROUND(DU59*$J59,6)&lt;ROUND($M59,6),DU59,0)))</f>
        <v/>
      </c>
      <c r="HU59" s="68">
        <f>IF(OR($U59=0,$F59&lt;&gt;2),0,IF(HT59&gt;0,HT59,IF(ROUND(DV59*$J59,6)&lt;ROUND($M59,6),DV59,0)))</f>
        <v/>
      </c>
      <c r="HV59" s="68">
        <f>IF(OR($U59=0,$F59&lt;&gt;2),0,IF(HU59&gt;0,HU59,IF(ROUND(DW59*$J59,6)&lt;ROUND($M59,6),DW59,0)))</f>
        <v/>
      </c>
      <c r="HW59" s="68">
        <f>IF(OR($U59=0,$F59&lt;&gt;2),0,IF(HV59&gt;0,HV59,IF(ROUND(DX59*$J59,6)&lt;ROUND($M59,6),DX59,0)))</f>
        <v/>
      </c>
      <c r="HX59" s="68">
        <f>IF(OR($U59=0,$F59&lt;&gt;2),0,IF(HW59&gt;0,HW59,IF(ROUND(DY59*$J59,6)&lt;ROUND($M59,6),DY59,0)))</f>
        <v/>
      </c>
      <c r="HY59" s="68">
        <f>IF(OR($U59=0,$F59&lt;&gt;2),0,IF(HX59&gt;0,HX59,IF(ROUND(DZ59*$J59,6)&lt;ROUND($M59,6),DZ59,0)))</f>
        <v/>
      </c>
      <c r="HZ59" s="68">
        <f>IF(OR($U59=0,$F59&lt;&gt;2),0,IF(HY59&gt;0,HY59,IF(ROUND(EA59*$J59,6)&lt;ROUND($M59,6),EA59,0)))</f>
        <v/>
      </c>
      <c r="IA59" s="68">
        <f>IF(OR($U59=0,$F59&lt;&gt;2),0,IF(HZ59&gt;0,HZ59,IF(ROUND(EB59*$J59,6)&lt;ROUND($M59,6),EB59,0)))</f>
        <v/>
      </c>
      <c r="IB59" s="68">
        <f>IF(OR($U59=0,$F59&lt;&gt;2),0,IF(IA59&gt;0,IA59,IF(ROUND(EC59*$J59,6)&lt;ROUND($M59,6),EC59,0)))</f>
        <v/>
      </c>
      <c r="IC59" s="68">
        <f>IF(OR($U59=0,$F59&lt;&gt;2),0,IF(IB59&gt;0,IB59,IF(ROUND(ED59*$J59,6)&lt;ROUND($M59,6),ED59,0)))</f>
        <v/>
      </c>
      <c r="ID59" s="68">
        <f>IF(OR($U59=0,$F59&lt;&gt;2),0,IF(IC59&gt;0,IC59,IF(ROUND(EE59*$J59,6)&lt;ROUND($M59,6),EE59,0)))</f>
        <v/>
      </c>
      <c r="IE59" s="68">
        <f>IF(OR($U59=0,$F59&lt;&gt;2),0,IF(ID59&gt;0,ID59,IF(ROUND(EF59*$J59,6)&lt;ROUND($M59,6),EF59,0)))</f>
        <v/>
      </c>
      <c r="IF59" s="68">
        <f>IF(OR($U59=0,$F59&lt;&gt;2),0,IF(IE59&gt;0,IE59,IF(ROUND(EG59*$J59,6)&lt;ROUND($M59,6),EG59,0)))</f>
        <v/>
      </c>
      <c r="IG59" s="68">
        <f>IF(OR($U59=0,$F59&lt;&gt;2),0,IF(IF59&gt;0,IF59,IF(ROUND(EH59*$J59,6)&lt;ROUND($M59,6),EH59,0)))</f>
        <v/>
      </c>
      <c r="IH59" s="68">
        <f>IF(OR($U59=0,$F59&lt;&gt;2),0,IF(IG59&gt;0,IG59,IF(ROUND(EI59*$J59,6)&lt;ROUND($M59,6),EI59,0)))</f>
        <v/>
      </c>
      <c r="II59" s="68">
        <f>IF(OR($U59=0,$F59&lt;&gt;2),0,IF(IH59&gt;0,IH59,IF(ROUND(EJ59*$J59,6)&lt;ROUND($M59,6),EJ59,0)))</f>
        <v/>
      </c>
      <c r="IJ59" s="68">
        <f>IF(OR($U59=0,$F59&lt;&gt;2),0,IF(II59&gt;0,II59,IF(ROUND(EK59*$J59,6)&lt;ROUND($M59,6),EK59,0)))</f>
        <v/>
      </c>
      <c r="IK59" s="68">
        <f>IF(OR($U59=0,$F59&lt;&gt;2),0,IF(IJ59&gt;0,IJ59,IF(ROUND(EL59*$J59,6)&lt;ROUND($M59,6),EL59,0)))</f>
        <v/>
      </c>
      <c r="IL59" s="68">
        <f>IF(OR($U59=0,$F59&lt;&gt;2),0,IF(IK59&gt;0,IK59,IF(ROUND(EM59*$J59,6)&lt;ROUND($M59,6),EM59,0)))</f>
        <v/>
      </c>
      <c r="IM59" s="68">
        <f>IF(OR($U59=0,$F59&lt;&gt;2),0,IF(IL59&gt;0,IL59,IF(ROUND(EN59*$J59,6)&lt;ROUND($M59,6),EN59,0)))</f>
        <v/>
      </c>
      <c r="IN59" s="68">
        <f>IF(OR($U59=0,$F59&lt;&gt;2),0,IF(IM59&gt;0,IM59,IF(ROUND(EO59*$J59,6)&lt;ROUND($M59,6),EO59,0)))</f>
        <v/>
      </c>
    </row>
    <row r="60">
      <c r="A60" s="68" t="n">
        <v>55</v>
      </c>
      <c r="B60" s="68">
        <f>IF(OR(TRIM('固定資産台帳'!$B60)&lt;&gt;"",'固定資産台帳'!$E60&lt;&gt;"",'固定資産台帳'!$G60&lt;&gt;"",'固定資産台帳'!$H60&lt;&gt;""),1,0)</f>
        <v/>
      </c>
      <c r="C60" s="68">
        <f>IF(ISNUMBER('固定資産台帳'!$G60),MAX(ROUND('固定資産台帳'!$G60,0),0),0)</f>
        <v/>
      </c>
      <c r="D60" s="84">
        <f>IF(ISNUMBER('固定資産台帳'!$E60),INT('固定資産台帳'!$E60),0)</f>
        <v/>
      </c>
      <c r="E60" s="84">
        <f>IF(ISNUMBER('固定資産台帳'!$F60),INT('固定資産台帳'!$F60),$D60)</f>
        <v/>
      </c>
      <c r="F60" s="68">
        <f>IF('固定資産台帳'!$H60="定額法",1,IF(OR('固定資産台帳'!$H60="定率法",'固定資産台帳'!$H60="定率法（200%）",'固定資産台帳'!$H60="定率法（250%）"),2,IF('固定資産台帳'!$H60="一括償却（3年）",3,IF('固定資産台帳'!$H60="少額特例",4,0))))</f>
        <v/>
      </c>
      <c r="G60" s="68">
        <f>IF('固定資産台帳'!$H60="定率法（250%）",250,IF('固定資産台帳'!$H60="定率法（200%）",200,IF($D60&gt;=DATE(2012,4,1),200,250)))</f>
        <v/>
      </c>
      <c r="H60" s="68">
        <f>IF(ISNUMBER('固定資産台帳'!$I60),IF(AND('固定資産台帳'!$I60&gt;=2,'固定資産台帳'!$I60&lt;=100,'固定資産台帳'!$I60=INT('固定資産台帳'!$I60)),'固定資産台帳'!$I60,0),0)</f>
        <v/>
      </c>
      <c r="I60" s="68">
        <f>IF('固定資産台帳'!$C60="無形固定資産",0,1)</f>
        <v/>
      </c>
      <c r="J60" s="68">
        <f>IF(OR($H60=0,$F60=0,$F60&gt;2),0,IF($F60=1,INDEX('償却率表'!$B$6:$B$104,$H60-1),IF($G60=200,INDEX('償却率表'!$C$6:$C$104,$H60-1),INDEX('償却率表'!$F$6:$F$104,$H60-1))))</f>
        <v/>
      </c>
      <c r="K60" s="68">
        <f>IF(AND($F60=2,$H60&gt;0),IF($G60=200,INDEX('償却率表'!$D$6:$D$104,$H60-1),INDEX('償却率表'!$G$6:$G$104,$H60-1)),0)</f>
        <v/>
      </c>
      <c r="L60" s="68">
        <f>IF(AND($F60=2,$H60&gt;0),IF($G60=200,INDEX('償却率表'!$E$6:$E$104,$H60-1),INDEX('償却率表'!$H$6:$H$104,$H60-1)),0)</f>
        <v/>
      </c>
      <c r="M60" s="68">
        <f>$C60*$L60</f>
        <v/>
      </c>
      <c r="N60" s="68">
        <f>IF($B$1=1,1,IF('固定資産台帳'!$J60="",1,IF(ISNUMBER('固定資産台帳'!$J60),IF(AND('固定資産台帳'!$J60&gt;0,'固定資産台帳'!$J60&lt;=1),'固定資産台帳'!$J60,0),0)))</f>
        <v/>
      </c>
      <c r="O60" s="68">
        <f>IF($E60=0,0,YEAR($E60)-IF(MONTH($E60)&lt;$B$2,1,0))</f>
        <v/>
      </c>
      <c r="P60" s="68">
        <f>IF($E60=0,0,12-MOD(MONTH($E60)-$B$2,12))</f>
        <v/>
      </c>
      <c r="Q60" s="84">
        <f>IF(ISNUMBER('固定資産台帳'!$K60),INT('固定資産台帳'!$K60),0)</f>
        <v/>
      </c>
      <c r="R60" s="68">
        <f>IF(OR($Q60=0,$E60=0),999,YEAR($Q60)-IF(MONTH($Q60)&lt;$B$2,1,0)-$O60)</f>
        <v/>
      </c>
      <c r="S60" s="68">
        <f>IF($R60=999,0,MOD(MONTH($Q60)-$B$2,12)+1-IF($R60=0,12-$P60,0))</f>
        <v/>
      </c>
      <c r="T60" s="68">
        <f>IF($B60=0,0,IF($C60&lt;=0,1,IF($D60=0,2,IF($F60=0,3,IF(AND($F60&lt;=2,$H60=0),4,IF(AND($F60&lt;=2,$D60&lt;DATE(2007,4,1)),5,IF($E60&lt;$D60,6,IF(AND($Q60&gt;0,$Q60&lt;$E60),7,IF($N60=0,8,IF($B$3=0,9,0))))))))))</f>
        <v/>
      </c>
      <c r="U60" s="68">
        <f>IF(AND($B60=1,$T60=0),1,0)</f>
        <v/>
      </c>
      <c r="V60" s="68">
        <f>$B$3-$O60</f>
        <v/>
      </c>
      <c r="W60" s="68">
        <f>IF(AND($U60=1,$V60&gt;=0),1,0)</f>
        <v/>
      </c>
      <c r="X60" s="68">
        <f>IF($W60=0,0,IF($V60=0,$C60,INDEX($AS60:$EP60,MIN($V60,102))))</f>
        <v/>
      </c>
      <c r="Y60" s="68">
        <f>IF($W60=0,0,INDEX($AS60:$EP60,MIN($V60,101)+1))</f>
        <v/>
      </c>
      <c r="Z60" s="68">
        <f>$X60-$Y60</f>
        <v/>
      </c>
      <c r="AA60" s="68">
        <f>IF(AND($W60=1,$F60=2,$V60&gt;=1),INDEX($ER60:$IN60,MIN($V60,101)),0)</f>
        <v/>
      </c>
      <c r="AB60" s="68">
        <f>IF(OR($W60=0,$F60&gt;2,$Z60=0),0,IF($V60=0,IF($R60=0,$S60,$P60),IF($V60=$R60,$S60,12)))</f>
        <v/>
      </c>
      <c r="AC60" s="68">
        <f>IF($W60=0,0,INT(ROUND($Z60*$N60,6)+$B$4))</f>
        <v/>
      </c>
      <c r="AD60" s="68">
        <f>IF(AND($W60=1,$F60&lt;=2,$V60=$R60),1,0)</f>
        <v/>
      </c>
      <c r="AE60" s="68">
        <f>IF(AND($W60=1,$F60&lt;=2,$V60&gt;$R60),1,0)</f>
        <v/>
      </c>
      <c r="AF60" s="68">
        <f>IF(AND($W60=1,$AE60=0,OR($Z60&gt;0,$AD60=1)),1,0)</f>
        <v/>
      </c>
      <c r="AG60" s="68">
        <f>IF($AF60=1,SUM($AF$6:$AF60),0)</f>
        <v/>
      </c>
      <c r="AH60" s="68">
        <f>IF($T60=0,"",CHOOSE($T60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60" s="68">
        <f>IF(AND($F60=2,OR('固定資産台帳'!$C60="建物",'固定資産台帳'!$C60="無形固定資産",AND(OR('固定資産台帳'!$C60="建物附属設備",'固定資産台帳'!$C60="構築物"),$D60&gt;=DATE(2016,4,1)))),"この資産は定額法だけです（定率法は使えません）。","")&amp;IF(AND($F60=3,$C60&gt;=200000),"一括償却は20万円未満の資産だけです。","")&amp;IF(AND($F60=3,$B$1=0,$C60&lt;100000),"10万円未満は一括償却にせず、全額をその年の経費にします。","")&amp;IF(AND($F60=4,$C60&lt;100000),"10万円未満は少額特例ではなく、全額をその年の経費にします。","")&amp;IF(AND($F60=4,$D60&lt;DATE(2026,4,1),$C60&gt;=300000),"2026年3月31日までの取得で少額特例が使えるのは30万円未満です。","")&amp;IF(AND($F60=4,$D60&gt;=DATE(2026,4,1),$C60&gt;=400000),"少額特例は40万円未満の資産だけです。","")&amp;IF(AND($F60=4,OR($D60&lt;DATE(2006,4,1),$D60&gt;DATE(2029,3,31))),"少額特例は2006年4月1日〜2029年3月31日に取得した資産だけです。","")&amp;IF(AND($F60=2,$G60=250,$D60&gt;DATE(2012,12,31)),"250%定率法は2012年12月31日までの取得だけです。","")</f>
        <v/>
      </c>
      <c r="AJ60" s="68">
        <f>IF(AND($F60=2,'固定資産台帳'!$H60="定率法（200%）",$D60&lt;DATE(2012,4,1)),"2012年3月31日までの取得に200%を使うのは、経過措置の届出をした場合です。","")&amp;IF(AND($F60=2,'固定資産台帳'!$H60="定率法（250%）",$D60&gt;=DATE(2012,4,1),$D60&lt;=DATE(2012,12,31)),"2012年4〜12月の取得に250%を使うのは、経過措置を選んだ場合です。","")</f>
        <v/>
      </c>
      <c r="AK60" s="68">
        <f>IF($U60=0,"",IF($V60&lt;0,"表示している年より後に使い始める資産です。",IF($AE60=1,"売却・除却済みです。",IF($AD60=1,"この年に売却・除却。期末の帳簿価額 "&amp;TEXT($Y60,"#,##0")&amp;"円を帳簿から外します。",IF($F60=4,IF($V60=0,"少額特例：この年に全額を経費にします。","少額特例で経費にした資産です。"),IF($F60=3,IF($V60&gt;2,"一括償却は終わっています。","一括償却 "&amp;($V60+1)&amp;"年目（3年のうち）。"),IF($Z60=0,"償却済み（帳簿価額 "&amp;TEXT($Y60,"#,##0")&amp;"円）。",IF($AA60&gt;0,"改定償却率で計算（改定取得価額 "&amp;TEXT($AA60,"#,##0")&amp;"円）。",IF($V60=0,"この年に使い始め（"&amp;$AB60&amp;"か月分）。","")))))))))</f>
        <v/>
      </c>
      <c r="AL60" s="68">
        <f>IF(AND($U60=1,$F60=4,$V60=0),$C60,0)</f>
        <v/>
      </c>
      <c r="AM60" s="68">
        <f>IF($F60=2,INT(ROUND($M60,6)+$B$4),0)</f>
        <v/>
      </c>
      <c r="AN60" s="68">
        <f>IF($W60=0,0,IF($F60=2,IF($AA60&gt;0,$AA60,$X60),$C60))</f>
        <v/>
      </c>
      <c r="AO60" s="68">
        <f>IF($W60=0,"",IF($F60=3,"1/3",IF($F60=4,"―",IF($AA60&gt;0,$K60,$J60))))</f>
        <v/>
      </c>
      <c r="AP60" s="68" t="n"/>
      <c r="AQ60" s="68" t="n"/>
      <c r="AR60" s="68" t="n"/>
      <c r="AS60" s="68">
        <f>IF($U60=0,0,IF($F60=4,0,IF($F60=3,MAX($C60-INT(ROUND($C60/3,6)+$B$4),0),$C60-MIN(INT(ROUND($C60*$J60*IF($R60=0,$S60,$P60)/12,6)+$B$4),MAX($C60-$I60,0)))))</f>
        <v/>
      </c>
      <c r="AT60" s="68">
        <f>IF($U60=0,0,IF($F60=4,0,IF($F60=3,AS60-MIN(INT(ROUND($C60/3,6)+$B$4),AS60),IF(OR(1&gt;$R60,AS60&lt;=$I60),AS60,AS60-MIN(INT(ROUND(IF($F60=1,$C60*$J60,IF(ER60&gt;0,ER60*$K60,AS60*$J60))*IF(1=$R60,$S60,12)/12,6)+$B$4),AS60-$I60)))))</f>
        <v/>
      </c>
      <c r="AU60" s="68">
        <f>IF($U60=0,0,IF($F60=4,0,IF($F60=3,0,IF(OR(2&gt;$R60,AT60&lt;=$I60),AT60,AT60-MIN(INT(ROUND(IF($F60=1,$C60*$J60,IF(ES60&gt;0,ES60*$K60,AT60*$J60))*IF(2=$R60,$S60,12)/12,6)+$B$4),AT60-$I60)))))</f>
        <v/>
      </c>
      <c r="AV60" s="68">
        <f>IF($U60=0,0,IF($F60=4,0,IF($F60=3,0,IF(OR(3&gt;$R60,AU60&lt;=$I60),AU60,AU60-MIN(INT(ROUND(IF($F60=1,$C60*$J60,IF(ET60&gt;0,ET60*$K60,AU60*$J60))*IF(3=$R60,$S60,12)/12,6)+$B$4),AU60-$I60)))))</f>
        <v/>
      </c>
      <c r="AW60" s="68">
        <f>IF($U60=0,0,IF($F60=4,0,IF($F60=3,0,IF(OR(4&gt;$R60,AV60&lt;=$I60),AV60,AV60-MIN(INT(ROUND(IF($F60=1,$C60*$J60,IF(EU60&gt;0,EU60*$K60,AV60*$J60))*IF(4=$R60,$S60,12)/12,6)+$B$4),AV60-$I60)))))</f>
        <v/>
      </c>
      <c r="AX60" s="68">
        <f>IF($U60=0,0,IF($F60=4,0,IF($F60=3,0,IF(OR(5&gt;$R60,AW60&lt;=$I60),AW60,AW60-MIN(INT(ROUND(IF($F60=1,$C60*$J60,IF(EV60&gt;0,EV60*$K60,AW60*$J60))*IF(5=$R60,$S60,12)/12,6)+$B$4),AW60-$I60)))))</f>
        <v/>
      </c>
      <c r="AY60" s="68">
        <f>IF($U60=0,0,IF($F60=4,0,IF($F60=3,0,IF(OR(6&gt;$R60,AX60&lt;=$I60),AX60,AX60-MIN(INT(ROUND(IF($F60=1,$C60*$J60,IF(EW60&gt;0,EW60*$K60,AX60*$J60))*IF(6=$R60,$S60,12)/12,6)+$B$4),AX60-$I60)))))</f>
        <v/>
      </c>
      <c r="AZ60" s="68">
        <f>IF($U60=0,0,IF($F60=4,0,IF($F60=3,0,IF(OR(7&gt;$R60,AY60&lt;=$I60),AY60,AY60-MIN(INT(ROUND(IF($F60=1,$C60*$J60,IF(EX60&gt;0,EX60*$K60,AY60*$J60))*IF(7=$R60,$S60,12)/12,6)+$B$4),AY60-$I60)))))</f>
        <v/>
      </c>
      <c r="BA60" s="68">
        <f>IF($U60=0,0,IF($F60=4,0,IF($F60=3,0,IF(OR(8&gt;$R60,AZ60&lt;=$I60),AZ60,AZ60-MIN(INT(ROUND(IF($F60=1,$C60*$J60,IF(EY60&gt;0,EY60*$K60,AZ60*$J60))*IF(8=$R60,$S60,12)/12,6)+$B$4),AZ60-$I60)))))</f>
        <v/>
      </c>
      <c r="BB60" s="68">
        <f>IF($U60=0,0,IF($F60=4,0,IF($F60=3,0,IF(OR(9&gt;$R60,BA60&lt;=$I60),BA60,BA60-MIN(INT(ROUND(IF($F60=1,$C60*$J60,IF(EZ60&gt;0,EZ60*$K60,BA60*$J60))*IF(9=$R60,$S60,12)/12,6)+$B$4),BA60-$I60)))))</f>
        <v/>
      </c>
      <c r="BC60" s="68">
        <f>IF($U60=0,0,IF($F60=4,0,IF($F60=3,0,IF(OR(10&gt;$R60,BB60&lt;=$I60),BB60,BB60-MIN(INT(ROUND(IF($F60=1,$C60*$J60,IF(FA60&gt;0,FA60*$K60,BB60*$J60))*IF(10=$R60,$S60,12)/12,6)+$B$4),BB60-$I60)))))</f>
        <v/>
      </c>
      <c r="BD60" s="68">
        <f>IF($U60=0,0,IF($F60=4,0,IF($F60=3,0,IF(OR(11&gt;$R60,BC60&lt;=$I60),BC60,BC60-MIN(INT(ROUND(IF($F60=1,$C60*$J60,IF(FB60&gt;0,FB60*$K60,BC60*$J60))*IF(11=$R60,$S60,12)/12,6)+$B$4),BC60-$I60)))))</f>
        <v/>
      </c>
      <c r="BE60" s="68">
        <f>IF($U60=0,0,IF($F60=4,0,IF($F60=3,0,IF(OR(12&gt;$R60,BD60&lt;=$I60),BD60,BD60-MIN(INT(ROUND(IF($F60=1,$C60*$J60,IF(FC60&gt;0,FC60*$K60,BD60*$J60))*IF(12=$R60,$S60,12)/12,6)+$B$4),BD60-$I60)))))</f>
        <v/>
      </c>
      <c r="BF60" s="68">
        <f>IF($U60=0,0,IF($F60=4,0,IF($F60=3,0,IF(OR(13&gt;$R60,BE60&lt;=$I60),BE60,BE60-MIN(INT(ROUND(IF($F60=1,$C60*$J60,IF(FD60&gt;0,FD60*$K60,BE60*$J60))*IF(13=$R60,$S60,12)/12,6)+$B$4),BE60-$I60)))))</f>
        <v/>
      </c>
      <c r="BG60" s="68">
        <f>IF($U60=0,0,IF($F60=4,0,IF($F60=3,0,IF(OR(14&gt;$R60,BF60&lt;=$I60),BF60,BF60-MIN(INT(ROUND(IF($F60=1,$C60*$J60,IF(FE60&gt;0,FE60*$K60,BF60*$J60))*IF(14=$R60,$S60,12)/12,6)+$B$4),BF60-$I60)))))</f>
        <v/>
      </c>
      <c r="BH60" s="68">
        <f>IF($U60=0,0,IF($F60=4,0,IF($F60=3,0,IF(OR(15&gt;$R60,BG60&lt;=$I60),BG60,BG60-MIN(INT(ROUND(IF($F60=1,$C60*$J60,IF(FF60&gt;0,FF60*$K60,BG60*$J60))*IF(15=$R60,$S60,12)/12,6)+$B$4),BG60-$I60)))))</f>
        <v/>
      </c>
      <c r="BI60" s="68">
        <f>IF($U60=0,0,IF($F60=4,0,IF($F60=3,0,IF(OR(16&gt;$R60,BH60&lt;=$I60),BH60,BH60-MIN(INT(ROUND(IF($F60=1,$C60*$J60,IF(FG60&gt;0,FG60*$K60,BH60*$J60))*IF(16=$R60,$S60,12)/12,6)+$B$4),BH60-$I60)))))</f>
        <v/>
      </c>
      <c r="BJ60" s="68">
        <f>IF($U60=0,0,IF($F60=4,0,IF($F60=3,0,IF(OR(17&gt;$R60,BI60&lt;=$I60),BI60,BI60-MIN(INT(ROUND(IF($F60=1,$C60*$J60,IF(FH60&gt;0,FH60*$K60,BI60*$J60))*IF(17=$R60,$S60,12)/12,6)+$B$4),BI60-$I60)))))</f>
        <v/>
      </c>
      <c r="BK60" s="68">
        <f>IF($U60=0,0,IF($F60=4,0,IF($F60=3,0,IF(OR(18&gt;$R60,BJ60&lt;=$I60),BJ60,BJ60-MIN(INT(ROUND(IF($F60=1,$C60*$J60,IF(FI60&gt;0,FI60*$K60,BJ60*$J60))*IF(18=$R60,$S60,12)/12,6)+$B$4),BJ60-$I60)))))</f>
        <v/>
      </c>
      <c r="BL60" s="68">
        <f>IF($U60=0,0,IF($F60=4,0,IF($F60=3,0,IF(OR(19&gt;$R60,BK60&lt;=$I60),BK60,BK60-MIN(INT(ROUND(IF($F60=1,$C60*$J60,IF(FJ60&gt;0,FJ60*$K60,BK60*$J60))*IF(19=$R60,$S60,12)/12,6)+$B$4),BK60-$I60)))))</f>
        <v/>
      </c>
      <c r="BM60" s="68">
        <f>IF($U60=0,0,IF($F60=4,0,IF($F60=3,0,IF(OR(20&gt;$R60,BL60&lt;=$I60),BL60,BL60-MIN(INT(ROUND(IF($F60=1,$C60*$J60,IF(FK60&gt;0,FK60*$K60,BL60*$J60))*IF(20=$R60,$S60,12)/12,6)+$B$4),BL60-$I60)))))</f>
        <v/>
      </c>
      <c r="BN60" s="68">
        <f>IF($U60=0,0,IF($F60=4,0,IF($F60=3,0,IF(OR(21&gt;$R60,BM60&lt;=$I60),BM60,BM60-MIN(INT(ROUND(IF($F60=1,$C60*$J60,IF(FL60&gt;0,FL60*$K60,BM60*$J60))*IF(21=$R60,$S60,12)/12,6)+$B$4),BM60-$I60)))))</f>
        <v/>
      </c>
      <c r="BO60" s="68">
        <f>IF($U60=0,0,IF($F60=4,0,IF($F60=3,0,IF(OR(22&gt;$R60,BN60&lt;=$I60),BN60,BN60-MIN(INT(ROUND(IF($F60=1,$C60*$J60,IF(FM60&gt;0,FM60*$K60,BN60*$J60))*IF(22=$R60,$S60,12)/12,6)+$B$4),BN60-$I60)))))</f>
        <v/>
      </c>
      <c r="BP60" s="68">
        <f>IF($U60=0,0,IF($F60=4,0,IF($F60=3,0,IF(OR(23&gt;$R60,BO60&lt;=$I60),BO60,BO60-MIN(INT(ROUND(IF($F60=1,$C60*$J60,IF(FN60&gt;0,FN60*$K60,BO60*$J60))*IF(23=$R60,$S60,12)/12,6)+$B$4),BO60-$I60)))))</f>
        <v/>
      </c>
      <c r="BQ60" s="68">
        <f>IF($U60=0,0,IF($F60=4,0,IF($F60=3,0,IF(OR(24&gt;$R60,BP60&lt;=$I60),BP60,BP60-MIN(INT(ROUND(IF($F60=1,$C60*$J60,IF(FO60&gt;0,FO60*$K60,BP60*$J60))*IF(24=$R60,$S60,12)/12,6)+$B$4),BP60-$I60)))))</f>
        <v/>
      </c>
      <c r="BR60" s="68">
        <f>IF($U60=0,0,IF($F60=4,0,IF($F60=3,0,IF(OR(25&gt;$R60,BQ60&lt;=$I60),BQ60,BQ60-MIN(INT(ROUND(IF($F60=1,$C60*$J60,IF(FP60&gt;0,FP60*$K60,BQ60*$J60))*IF(25=$R60,$S60,12)/12,6)+$B$4),BQ60-$I60)))))</f>
        <v/>
      </c>
      <c r="BS60" s="68">
        <f>IF($U60=0,0,IF($F60=4,0,IF($F60=3,0,IF(OR(26&gt;$R60,BR60&lt;=$I60),BR60,BR60-MIN(INT(ROUND(IF($F60=1,$C60*$J60,IF(FQ60&gt;0,FQ60*$K60,BR60*$J60))*IF(26=$R60,$S60,12)/12,6)+$B$4),BR60-$I60)))))</f>
        <v/>
      </c>
      <c r="BT60" s="68">
        <f>IF($U60=0,0,IF($F60=4,0,IF($F60=3,0,IF(OR(27&gt;$R60,BS60&lt;=$I60),BS60,BS60-MIN(INT(ROUND(IF($F60=1,$C60*$J60,IF(FR60&gt;0,FR60*$K60,BS60*$J60))*IF(27=$R60,$S60,12)/12,6)+$B$4),BS60-$I60)))))</f>
        <v/>
      </c>
      <c r="BU60" s="68">
        <f>IF($U60=0,0,IF($F60=4,0,IF($F60=3,0,IF(OR(28&gt;$R60,BT60&lt;=$I60),BT60,BT60-MIN(INT(ROUND(IF($F60=1,$C60*$J60,IF(FS60&gt;0,FS60*$K60,BT60*$J60))*IF(28=$R60,$S60,12)/12,6)+$B$4),BT60-$I60)))))</f>
        <v/>
      </c>
      <c r="BV60" s="68">
        <f>IF($U60=0,0,IF($F60=4,0,IF($F60=3,0,IF(OR(29&gt;$R60,BU60&lt;=$I60),BU60,BU60-MIN(INT(ROUND(IF($F60=1,$C60*$J60,IF(FT60&gt;0,FT60*$K60,BU60*$J60))*IF(29=$R60,$S60,12)/12,6)+$B$4),BU60-$I60)))))</f>
        <v/>
      </c>
      <c r="BW60" s="68">
        <f>IF($U60=0,0,IF($F60=4,0,IF($F60=3,0,IF(OR(30&gt;$R60,BV60&lt;=$I60),BV60,BV60-MIN(INT(ROUND(IF($F60=1,$C60*$J60,IF(FU60&gt;0,FU60*$K60,BV60*$J60))*IF(30=$R60,$S60,12)/12,6)+$B$4),BV60-$I60)))))</f>
        <v/>
      </c>
      <c r="BX60" s="68">
        <f>IF($U60=0,0,IF($F60=4,0,IF($F60=3,0,IF(OR(31&gt;$R60,BW60&lt;=$I60),BW60,BW60-MIN(INT(ROUND(IF($F60=1,$C60*$J60,IF(FV60&gt;0,FV60*$K60,BW60*$J60))*IF(31=$R60,$S60,12)/12,6)+$B$4),BW60-$I60)))))</f>
        <v/>
      </c>
      <c r="BY60" s="68">
        <f>IF($U60=0,0,IF($F60=4,0,IF($F60=3,0,IF(OR(32&gt;$R60,BX60&lt;=$I60),BX60,BX60-MIN(INT(ROUND(IF($F60=1,$C60*$J60,IF(FW60&gt;0,FW60*$K60,BX60*$J60))*IF(32=$R60,$S60,12)/12,6)+$B$4),BX60-$I60)))))</f>
        <v/>
      </c>
      <c r="BZ60" s="68">
        <f>IF($U60=0,0,IF($F60=4,0,IF($F60=3,0,IF(OR(33&gt;$R60,BY60&lt;=$I60),BY60,BY60-MIN(INT(ROUND(IF($F60=1,$C60*$J60,IF(FX60&gt;0,FX60*$K60,BY60*$J60))*IF(33=$R60,$S60,12)/12,6)+$B$4),BY60-$I60)))))</f>
        <v/>
      </c>
      <c r="CA60" s="68">
        <f>IF($U60=0,0,IF($F60=4,0,IF($F60=3,0,IF(OR(34&gt;$R60,BZ60&lt;=$I60),BZ60,BZ60-MIN(INT(ROUND(IF($F60=1,$C60*$J60,IF(FY60&gt;0,FY60*$K60,BZ60*$J60))*IF(34=$R60,$S60,12)/12,6)+$B$4),BZ60-$I60)))))</f>
        <v/>
      </c>
      <c r="CB60" s="68">
        <f>IF($U60=0,0,IF($F60=4,0,IF($F60=3,0,IF(OR(35&gt;$R60,CA60&lt;=$I60),CA60,CA60-MIN(INT(ROUND(IF($F60=1,$C60*$J60,IF(FZ60&gt;0,FZ60*$K60,CA60*$J60))*IF(35=$R60,$S60,12)/12,6)+$B$4),CA60-$I60)))))</f>
        <v/>
      </c>
      <c r="CC60" s="68">
        <f>IF($U60=0,0,IF($F60=4,0,IF($F60=3,0,IF(OR(36&gt;$R60,CB60&lt;=$I60),CB60,CB60-MIN(INT(ROUND(IF($F60=1,$C60*$J60,IF(GA60&gt;0,GA60*$K60,CB60*$J60))*IF(36=$R60,$S60,12)/12,6)+$B$4),CB60-$I60)))))</f>
        <v/>
      </c>
      <c r="CD60" s="68">
        <f>IF($U60=0,0,IF($F60=4,0,IF($F60=3,0,IF(OR(37&gt;$R60,CC60&lt;=$I60),CC60,CC60-MIN(INT(ROUND(IF($F60=1,$C60*$J60,IF(GB60&gt;0,GB60*$K60,CC60*$J60))*IF(37=$R60,$S60,12)/12,6)+$B$4),CC60-$I60)))))</f>
        <v/>
      </c>
      <c r="CE60" s="68">
        <f>IF($U60=0,0,IF($F60=4,0,IF($F60=3,0,IF(OR(38&gt;$R60,CD60&lt;=$I60),CD60,CD60-MIN(INT(ROUND(IF($F60=1,$C60*$J60,IF(GC60&gt;0,GC60*$K60,CD60*$J60))*IF(38=$R60,$S60,12)/12,6)+$B$4),CD60-$I60)))))</f>
        <v/>
      </c>
      <c r="CF60" s="68">
        <f>IF($U60=0,0,IF($F60=4,0,IF($F60=3,0,IF(OR(39&gt;$R60,CE60&lt;=$I60),CE60,CE60-MIN(INT(ROUND(IF($F60=1,$C60*$J60,IF(GD60&gt;0,GD60*$K60,CE60*$J60))*IF(39=$R60,$S60,12)/12,6)+$B$4),CE60-$I60)))))</f>
        <v/>
      </c>
      <c r="CG60" s="68">
        <f>IF($U60=0,0,IF($F60=4,0,IF($F60=3,0,IF(OR(40&gt;$R60,CF60&lt;=$I60),CF60,CF60-MIN(INT(ROUND(IF($F60=1,$C60*$J60,IF(GE60&gt;0,GE60*$K60,CF60*$J60))*IF(40=$R60,$S60,12)/12,6)+$B$4),CF60-$I60)))))</f>
        <v/>
      </c>
      <c r="CH60" s="68">
        <f>IF($U60=0,0,IF($F60=4,0,IF($F60=3,0,IF(OR(41&gt;$R60,CG60&lt;=$I60),CG60,CG60-MIN(INT(ROUND(IF($F60=1,$C60*$J60,IF(GF60&gt;0,GF60*$K60,CG60*$J60))*IF(41=$R60,$S60,12)/12,6)+$B$4),CG60-$I60)))))</f>
        <v/>
      </c>
      <c r="CI60" s="68">
        <f>IF($U60=0,0,IF($F60=4,0,IF($F60=3,0,IF(OR(42&gt;$R60,CH60&lt;=$I60),CH60,CH60-MIN(INT(ROUND(IF($F60=1,$C60*$J60,IF(GG60&gt;0,GG60*$K60,CH60*$J60))*IF(42=$R60,$S60,12)/12,6)+$B$4),CH60-$I60)))))</f>
        <v/>
      </c>
      <c r="CJ60" s="68">
        <f>IF($U60=0,0,IF($F60=4,0,IF($F60=3,0,IF(OR(43&gt;$R60,CI60&lt;=$I60),CI60,CI60-MIN(INT(ROUND(IF($F60=1,$C60*$J60,IF(GH60&gt;0,GH60*$K60,CI60*$J60))*IF(43=$R60,$S60,12)/12,6)+$B$4),CI60-$I60)))))</f>
        <v/>
      </c>
      <c r="CK60" s="68">
        <f>IF($U60=0,0,IF($F60=4,0,IF($F60=3,0,IF(OR(44&gt;$R60,CJ60&lt;=$I60),CJ60,CJ60-MIN(INT(ROUND(IF($F60=1,$C60*$J60,IF(GI60&gt;0,GI60*$K60,CJ60*$J60))*IF(44=$R60,$S60,12)/12,6)+$B$4),CJ60-$I60)))))</f>
        <v/>
      </c>
      <c r="CL60" s="68">
        <f>IF($U60=0,0,IF($F60=4,0,IF($F60=3,0,IF(OR(45&gt;$R60,CK60&lt;=$I60),CK60,CK60-MIN(INT(ROUND(IF($F60=1,$C60*$J60,IF(GJ60&gt;0,GJ60*$K60,CK60*$J60))*IF(45=$R60,$S60,12)/12,6)+$B$4),CK60-$I60)))))</f>
        <v/>
      </c>
      <c r="CM60" s="68">
        <f>IF($U60=0,0,IF($F60=4,0,IF($F60=3,0,IF(OR(46&gt;$R60,CL60&lt;=$I60),CL60,CL60-MIN(INT(ROUND(IF($F60=1,$C60*$J60,IF(GK60&gt;0,GK60*$K60,CL60*$J60))*IF(46=$R60,$S60,12)/12,6)+$B$4),CL60-$I60)))))</f>
        <v/>
      </c>
      <c r="CN60" s="68">
        <f>IF($U60=0,0,IF($F60=4,0,IF($F60=3,0,IF(OR(47&gt;$R60,CM60&lt;=$I60),CM60,CM60-MIN(INT(ROUND(IF($F60=1,$C60*$J60,IF(GL60&gt;0,GL60*$K60,CM60*$J60))*IF(47=$R60,$S60,12)/12,6)+$B$4),CM60-$I60)))))</f>
        <v/>
      </c>
      <c r="CO60" s="68">
        <f>IF($U60=0,0,IF($F60=4,0,IF($F60=3,0,IF(OR(48&gt;$R60,CN60&lt;=$I60),CN60,CN60-MIN(INT(ROUND(IF($F60=1,$C60*$J60,IF(GM60&gt;0,GM60*$K60,CN60*$J60))*IF(48=$R60,$S60,12)/12,6)+$B$4),CN60-$I60)))))</f>
        <v/>
      </c>
      <c r="CP60" s="68">
        <f>IF($U60=0,0,IF($F60=4,0,IF($F60=3,0,IF(OR(49&gt;$R60,CO60&lt;=$I60),CO60,CO60-MIN(INT(ROUND(IF($F60=1,$C60*$J60,IF(GN60&gt;0,GN60*$K60,CO60*$J60))*IF(49=$R60,$S60,12)/12,6)+$B$4),CO60-$I60)))))</f>
        <v/>
      </c>
      <c r="CQ60" s="68">
        <f>IF($U60=0,0,IF($F60=4,0,IF($F60=3,0,IF(OR(50&gt;$R60,CP60&lt;=$I60),CP60,CP60-MIN(INT(ROUND(IF($F60=1,$C60*$J60,IF(GO60&gt;0,GO60*$K60,CP60*$J60))*IF(50=$R60,$S60,12)/12,6)+$B$4),CP60-$I60)))))</f>
        <v/>
      </c>
      <c r="CR60" s="68">
        <f>IF($U60=0,0,IF($F60=4,0,IF($F60=3,0,IF(OR(51&gt;$R60,CQ60&lt;=$I60),CQ60,CQ60-MIN(INT(ROUND(IF($F60=1,$C60*$J60,IF(GP60&gt;0,GP60*$K60,CQ60*$J60))*IF(51=$R60,$S60,12)/12,6)+$B$4),CQ60-$I60)))))</f>
        <v/>
      </c>
      <c r="CS60" s="68">
        <f>IF($U60=0,0,IF($F60=4,0,IF($F60=3,0,IF(OR(52&gt;$R60,CR60&lt;=$I60),CR60,CR60-MIN(INT(ROUND(IF($F60=1,$C60*$J60,IF(GQ60&gt;0,GQ60*$K60,CR60*$J60))*IF(52=$R60,$S60,12)/12,6)+$B$4),CR60-$I60)))))</f>
        <v/>
      </c>
      <c r="CT60" s="68">
        <f>IF($U60=0,0,IF($F60=4,0,IF($F60=3,0,IF(OR(53&gt;$R60,CS60&lt;=$I60),CS60,CS60-MIN(INT(ROUND(IF($F60=1,$C60*$J60,IF(GR60&gt;0,GR60*$K60,CS60*$J60))*IF(53=$R60,$S60,12)/12,6)+$B$4),CS60-$I60)))))</f>
        <v/>
      </c>
      <c r="CU60" s="68">
        <f>IF($U60=0,0,IF($F60=4,0,IF($F60=3,0,IF(OR(54&gt;$R60,CT60&lt;=$I60),CT60,CT60-MIN(INT(ROUND(IF($F60=1,$C60*$J60,IF(GS60&gt;0,GS60*$K60,CT60*$J60))*IF(54=$R60,$S60,12)/12,6)+$B$4),CT60-$I60)))))</f>
        <v/>
      </c>
      <c r="CV60" s="68">
        <f>IF($U60=0,0,IF($F60=4,0,IF($F60=3,0,IF(OR(55&gt;$R60,CU60&lt;=$I60),CU60,CU60-MIN(INT(ROUND(IF($F60=1,$C60*$J60,IF(GT60&gt;0,GT60*$K60,CU60*$J60))*IF(55=$R60,$S60,12)/12,6)+$B$4),CU60-$I60)))))</f>
        <v/>
      </c>
      <c r="CW60" s="68">
        <f>IF($U60=0,0,IF($F60=4,0,IF($F60=3,0,IF(OR(56&gt;$R60,CV60&lt;=$I60),CV60,CV60-MIN(INT(ROUND(IF($F60=1,$C60*$J60,IF(GU60&gt;0,GU60*$K60,CV60*$J60))*IF(56=$R60,$S60,12)/12,6)+$B$4),CV60-$I60)))))</f>
        <v/>
      </c>
      <c r="CX60" s="68">
        <f>IF($U60=0,0,IF($F60=4,0,IF($F60=3,0,IF(OR(57&gt;$R60,CW60&lt;=$I60),CW60,CW60-MIN(INT(ROUND(IF($F60=1,$C60*$J60,IF(GV60&gt;0,GV60*$K60,CW60*$J60))*IF(57=$R60,$S60,12)/12,6)+$B$4),CW60-$I60)))))</f>
        <v/>
      </c>
      <c r="CY60" s="68">
        <f>IF($U60=0,0,IF($F60=4,0,IF($F60=3,0,IF(OR(58&gt;$R60,CX60&lt;=$I60),CX60,CX60-MIN(INT(ROUND(IF($F60=1,$C60*$J60,IF(GW60&gt;0,GW60*$K60,CX60*$J60))*IF(58=$R60,$S60,12)/12,6)+$B$4),CX60-$I60)))))</f>
        <v/>
      </c>
      <c r="CZ60" s="68">
        <f>IF($U60=0,0,IF($F60=4,0,IF($F60=3,0,IF(OR(59&gt;$R60,CY60&lt;=$I60),CY60,CY60-MIN(INT(ROUND(IF($F60=1,$C60*$J60,IF(GX60&gt;0,GX60*$K60,CY60*$J60))*IF(59=$R60,$S60,12)/12,6)+$B$4),CY60-$I60)))))</f>
        <v/>
      </c>
      <c r="DA60" s="68">
        <f>IF($U60=0,0,IF($F60=4,0,IF($F60=3,0,IF(OR(60&gt;$R60,CZ60&lt;=$I60),CZ60,CZ60-MIN(INT(ROUND(IF($F60=1,$C60*$J60,IF(GY60&gt;0,GY60*$K60,CZ60*$J60))*IF(60=$R60,$S60,12)/12,6)+$B$4),CZ60-$I60)))))</f>
        <v/>
      </c>
      <c r="DB60" s="68">
        <f>IF($U60=0,0,IF($F60=4,0,IF($F60=3,0,IF(OR(61&gt;$R60,DA60&lt;=$I60),DA60,DA60-MIN(INT(ROUND(IF($F60=1,$C60*$J60,IF(GZ60&gt;0,GZ60*$K60,DA60*$J60))*IF(61=$R60,$S60,12)/12,6)+$B$4),DA60-$I60)))))</f>
        <v/>
      </c>
      <c r="DC60" s="68">
        <f>IF($U60=0,0,IF($F60=4,0,IF($F60=3,0,IF(OR(62&gt;$R60,DB60&lt;=$I60),DB60,DB60-MIN(INT(ROUND(IF($F60=1,$C60*$J60,IF(HA60&gt;0,HA60*$K60,DB60*$J60))*IF(62=$R60,$S60,12)/12,6)+$B$4),DB60-$I60)))))</f>
        <v/>
      </c>
      <c r="DD60" s="68">
        <f>IF($U60=0,0,IF($F60=4,0,IF($F60=3,0,IF(OR(63&gt;$R60,DC60&lt;=$I60),DC60,DC60-MIN(INT(ROUND(IF($F60=1,$C60*$J60,IF(HB60&gt;0,HB60*$K60,DC60*$J60))*IF(63=$R60,$S60,12)/12,6)+$B$4),DC60-$I60)))))</f>
        <v/>
      </c>
      <c r="DE60" s="68">
        <f>IF($U60=0,0,IF($F60=4,0,IF($F60=3,0,IF(OR(64&gt;$R60,DD60&lt;=$I60),DD60,DD60-MIN(INT(ROUND(IF($F60=1,$C60*$J60,IF(HC60&gt;0,HC60*$K60,DD60*$J60))*IF(64=$R60,$S60,12)/12,6)+$B$4),DD60-$I60)))))</f>
        <v/>
      </c>
      <c r="DF60" s="68">
        <f>IF($U60=0,0,IF($F60=4,0,IF($F60=3,0,IF(OR(65&gt;$R60,DE60&lt;=$I60),DE60,DE60-MIN(INT(ROUND(IF($F60=1,$C60*$J60,IF(HD60&gt;0,HD60*$K60,DE60*$J60))*IF(65=$R60,$S60,12)/12,6)+$B$4),DE60-$I60)))))</f>
        <v/>
      </c>
      <c r="DG60" s="68">
        <f>IF($U60=0,0,IF($F60=4,0,IF($F60=3,0,IF(OR(66&gt;$R60,DF60&lt;=$I60),DF60,DF60-MIN(INT(ROUND(IF($F60=1,$C60*$J60,IF(HE60&gt;0,HE60*$K60,DF60*$J60))*IF(66=$R60,$S60,12)/12,6)+$B$4),DF60-$I60)))))</f>
        <v/>
      </c>
      <c r="DH60" s="68">
        <f>IF($U60=0,0,IF($F60=4,0,IF($F60=3,0,IF(OR(67&gt;$R60,DG60&lt;=$I60),DG60,DG60-MIN(INT(ROUND(IF($F60=1,$C60*$J60,IF(HF60&gt;0,HF60*$K60,DG60*$J60))*IF(67=$R60,$S60,12)/12,6)+$B$4),DG60-$I60)))))</f>
        <v/>
      </c>
      <c r="DI60" s="68">
        <f>IF($U60=0,0,IF($F60=4,0,IF($F60=3,0,IF(OR(68&gt;$R60,DH60&lt;=$I60),DH60,DH60-MIN(INT(ROUND(IF($F60=1,$C60*$J60,IF(HG60&gt;0,HG60*$K60,DH60*$J60))*IF(68=$R60,$S60,12)/12,6)+$B$4),DH60-$I60)))))</f>
        <v/>
      </c>
      <c r="DJ60" s="68">
        <f>IF($U60=0,0,IF($F60=4,0,IF($F60=3,0,IF(OR(69&gt;$R60,DI60&lt;=$I60),DI60,DI60-MIN(INT(ROUND(IF($F60=1,$C60*$J60,IF(HH60&gt;0,HH60*$K60,DI60*$J60))*IF(69=$R60,$S60,12)/12,6)+$B$4),DI60-$I60)))))</f>
        <v/>
      </c>
      <c r="DK60" s="68">
        <f>IF($U60=0,0,IF($F60=4,0,IF($F60=3,0,IF(OR(70&gt;$R60,DJ60&lt;=$I60),DJ60,DJ60-MIN(INT(ROUND(IF($F60=1,$C60*$J60,IF(HI60&gt;0,HI60*$K60,DJ60*$J60))*IF(70=$R60,$S60,12)/12,6)+$B$4),DJ60-$I60)))))</f>
        <v/>
      </c>
      <c r="DL60" s="68">
        <f>IF($U60=0,0,IF($F60=4,0,IF($F60=3,0,IF(OR(71&gt;$R60,DK60&lt;=$I60),DK60,DK60-MIN(INT(ROUND(IF($F60=1,$C60*$J60,IF(HJ60&gt;0,HJ60*$K60,DK60*$J60))*IF(71=$R60,$S60,12)/12,6)+$B$4),DK60-$I60)))))</f>
        <v/>
      </c>
      <c r="DM60" s="68">
        <f>IF($U60=0,0,IF($F60=4,0,IF($F60=3,0,IF(OR(72&gt;$R60,DL60&lt;=$I60),DL60,DL60-MIN(INT(ROUND(IF($F60=1,$C60*$J60,IF(HK60&gt;0,HK60*$K60,DL60*$J60))*IF(72=$R60,$S60,12)/12,6)+$B$4),DL60-$I60)))))</f>
        <v/>
      </c>
      <c r="DN60" s="68">
        <f>IF($U60=0,0,IF($F60=4,0,IF($F60=3,0,IF(OR(73&gt;$R60,DM60&lt;=$I60),DM60,DM60-MIN(INT(ROUND(IF($F60=1,$C60*$J60,IF(HL60&gt;0,HL60*$K60,DM60*$J60))*IF(73=$R60,$S60,12)/12,6)+$B$4),DM60-$I60)))))</f>
        <v/>
      </c>
      <c r="DO60" s="68">
        <f>IF($U60=0,0,IF($F60=4,0,IF($F60=3,0,IF(OR(74&gt;$R60,DN60&lt;=$I60),DN60,DN60-MIN(INT(ROUND(IF($F60=1,$C60*$J60,IF(HM60&gt;0,HM60*$K60,DN60*$J60))*IF(74=$R60,$S60,12)/12,6)+$B$4),DN60-$I60)))))</f>
        <v/>
      </c>
      <c r="DP60" s="68">
        <f>IF($U60=0,0,IF($F60=4,0,IF($F60=3,0,IF(OR(75&gt;$R60,DO60&lt;=$I60),DO60,DO60-MIN(INT(ROUND(IF($F60=1,$C60*$J60,IF(HN60&gt;0,HN60*$K60,DO60*$J60))*IF(75=$R60,$S60,12)/12,6)+$B$4),DO60-$I60)))))</f>
        <v/>
      </c>
      <c r="DQ60" s="68">
        <f>IF($U60=0,0,IF($F60=4,0,IF($F60=3,0,IF(OR(76&gt;$R60,DP60&lt;=$I60),DP60,DP60-MIN(INT(ROUND(IF($F60=1,$C60*$J60,IF(HO60&gt;0,HO60*$K60,DP60*$J60))*IF(76=$R60,$S60,12)/12,6)+$B$4),DP60-$I60)))))</f>
        <v/>
      </c>
      <c r="DR60" s="68">
        <f>IF($U60=0,0,IF($F60=4,0,IF($F60=3,0,IF(OR(77&gt;$R60,DQ60&lt;=$I60),DQ60,DQ60-MIN(INT(ROUND(IF($F60=1,$C60*$J60,IF(HP60&gt;0,HP60*$K60,DQ60*$J60))*IF(77=$R60,$S60,12)/12,6)+$B$4),DQ60-$I60)))))</f>
        <v/>
      </c>
      <c r="DS60" s="68">
        <f>IF($U60=0,0,IF($F60=4,0,IF($F60=3,0,IF(OR(78&gt;$R60,DR60&lt;=$I60),DR60,DR60-MIN(INT(ROUND(IF($F60=1,$C60*$J60,IF(HQ60&gt;0,HQ60*$K60,DR60*$J60))*IF(78=$R60,$S60,12)/12,6)+$B$4),DR60-$I60)))))</f>
        <v/>
      </c>
      <c r="DT60" s="68">
        <f>IF($U60=0,0,IF($F60=4,0,IF($F60=3,0,IF(OR(79&gt;$R60,DS60&lt;=$I60),DS60,DS60-MIN(INT(ROUND(IF($F60=1,$C60*$J60,IF(HR60&gt;0,HR60*$K60,DS60*$J60))*IF(79=$R60,$S60,12)/12,6)+$B$4),DS60-$I60)))))</f>
        <v/>
      </c>
      <c r="DU60" s="68">
        <f>IF($U60=0,0,IF($F60=4,0,IF($F60=3,0,IF(OR(80&gt;$R60,DT60&lt;=$I60),DT60,DT60-MIN(INT(ROUND(IF($F60=1,$C60*$J60,IF(HS60&gt;0,HS60*$K60,DT60*$J60))*IF(80=$R60,$S60,12)/12,6)+$B$4),DT60-$I60)))))</f>
        <v/>
      </c>
      <c r="DV60" s="68">
        <f>IF($U60=0,0,IF($F60=4,0,IF($F60=3,0,IF(OR(81&gt;$R60,DU60&lt;=$I60),DU60,DU60-MIN(INT(ROUND(IF($F60=1,$C60*$J60,IF(HT60&gt;0,HT60*$K60,DU60*$J60))*IF(81=$R60,$S60,12)/12,6)+$B$4),DU60-$I60)))))</f>
        <v/>
      </c>
      <c r="DW60" s="68">
        <f>IF($U60=0,0,IF($F60=4,0,IF($F60=3,0,IF(OR(82&gt;$R60,DV60&lt;=$I60),DV60,DV60-MIN(INT(ROUND(IF($F60=1,$C60*$J60,IF(HU60&gt;0,HU60*$K60,DV60*$J60))*IF(82=$R60,$S60,12)/12,6)+$B$4),DV60-$I60)))))</f>
        <v/>
      </c>
      <c r="DX60" s="68">
        <f>IF($U60=0,0,IF($F60=4,0,IF($F60=3,0,IF(OR(83&gt;$R60,DW60&lt;=$I60),DW60,DW60-MIN(INT(ROUND(IF($F60=1,$C60*$J60,IF(HV60&gt;0,HV60*$K60,DW60*$J60))*IF(83=$R60,$S60,12)/12,6)+$B$4),DW60-$I60)))))</f>
        <v/>
      </c>
      <c r="DY60" s="68">
        <f>IF($U60=0,0,IF($F60=4,0,IF($F60=3,0,IF(OR(84&gt;$R60,DX60&lt;=$I60),DX60,DX60-MIN(INT(ROUND(IF($F60=1,$C60*$J60,IF(HW60&gt;0,HW60*$K60,DX60*$J60))*IF(84=$R60,$S60,12)/12,6)+$B$4),DX60-$I60)))))</f>
        <v/>
      </c>
      <c r="DZ60" s="68">
        <f>IF($U60=0,0,IF($F60=4,0,IF($F60=3,0,IF(OR(85&gt;$R60,DY60&lt;=$I60),DY60,DY60-MIN(INT(ROUND(IF($F60=1,$C60*$J60,IF(HX60&gt;0,HX60*$K60,DY60*$J60))*IF(85=$R60,$S60,12)/12,6)+$B$4),DY60-$I60)))))</f>
        <v/>
      </c>
      <c r="EA60" s="68">
        <f>IF($U60=0,0,IF($F60=4,0,IF($F60=3,0,IF(OR(86&gt;$R60,DZ60&lt;=$I60),DZ60,DZ60-MIN(INT(ROUND(IF($F60=1,$C60*$J60,IF(HY60&gt;0,HY60*$K60,DZ60*$J60))*IF(86=$R60,$S60,12)/12,6)+$B$4),DZ60-$I60)))))</f>
        <v/>
      </c>
      <c r="EB60" s="68">
        <f>IF($U60=0,0,IF($F60=4,0,IF($F60=3,0,IF(OR(87&gt;$R60,EA60&lt;=$I60),EA60,EA60-MIN(INT(ROUND(IF($F60=1,$C60*$J60,IF(HZ60&gt;0,HZ60*$K60,EA60*$J60))*IF(87=$R60,$S60,12)/12,6)+$B$4),EA60-$I60)))))</f>
        <v/>
      </c>
      <c r="EC60" s="68">
        <f>IF($U60=0,0,IF($F60=4,0,IF($F60=3,0,IF(OR(88&gt;$R60,EB60&lt;=$I60),EB60,EB60-MIN(INT(ROUND(IF($F60=1,$C60*$J60,IF(IA60&gt;0,IA60*$K60,EB60*$J60))*IF(88=$R60,$S60,12)/12,6)+$B$4),EB60-$I60)))))</f>
        <v/>
      </c>
      <c r="ED60" s="68">
        <f>IF($U60=0,0,IF($F60=4,0,IF($F60=3,0,IF(OR(89&gt;$R60,EC60&lt;=$I60),EC60,EC60-MIN(INT(ROUND(IF($F60=1,$C60*$J60,IF(IB60&gt;0,IB60*$K60,EC60*$J60))*IF(89=$R60,$S60,12)/12,6)+$B$4),EC60-$I60)))))</f>
        <v/>
      </c>
      <c r="EE60" s="68">
        <f>IF($U60=0,0,IF($F60=4,0,IF($F60=3,0,IF(OR(90&gt;$R60,ED60&lt;=$I60),ED60,ED60-MIN(INT(ROUND(IF($F60=1,$C60*$J60,IF(IC60&gt;0,IC60*$K60,ED60*$J60))*IF(90=$R60,$S60,12)/12,6)+$B$4),ED60-$I60)))))</f>
        <v/>
      </c>
      <c r="EF60" s="68">
        <f>IF($U60=0,0,IF($F60=4,0,IF($F60=3,0,IF(OR(91&gt;$R60,EE60&lt;=$I60),EE60,EE60-MIN(INT(ROUND(IF($F60=1,$C60*$J60,IF(ID60&gt;0,ID60*$K60,EE60*$J60))*IF(91=$R60,$S60,12)/12,6)+$B$4),EE60-$I60)))))</f>
        <v/>
      </c>
      <c r="EG60" s="68">
        <f>IF($U60=0,0,IF($F60=4,0,IF($F60=3,0,IF(OR(92&gt;$R60,EF60&lt;=$I60),EF60,EF60-MIN(INT(ROUND(IF($F60=1,$C60*$J60,IF(IE60&gt;0,IE60*$K60,EF60*$J60))*IF(92=$R60,$S60,12)/12,6)+$B$4),EF60-$I60)))))</f>
        <v/>
      </c>
      <c r="EH60" s="68">
        <f>IF($U60=0,0,IF($F60=4,0,IF($F60=3,0,IF(OR(93&gt;$R60,EG60&lt;=$I60),EG60,EG60-MIN(INT(ROUND(IF($F60=1,$C60*$J60,IF(IF60&gt;0,IF60*$K60,EG60*$J60))*IF(93=$R60,$S60,12)/12,6)+$B$4),EG60-$I60)))))</f>
        <v/>
      </c>
      <c r="EI60" s="68">
        <f>IF($U60=0,0,IF($F60=4,0,IF($F60=3,0,IF(OR(94&gt;$R60,EH60&lt;=$I60),EH60,EH60-MIN(INT(ROUND(IF($F60=1,$C60*$J60,IF(IG60&gt;0,IG60*$K60,EH60*$J60))*IF(94=$R60,$S60,12)/12,6)+$B$4),EH60-$I60)))))</f>
        <v/>
      </c>
      <c r="EJ60" s="68">
        <f>IF($U60=0,0,IF($F60=4,0,IF($F60=3,0,IF(OR(95&gt;$R60,EI60&lt;=$I60),EI60,EI60-MIN(INT(ROUND(IF($F60=1,$C60*$J60,IF(IH60&gt;0,IH60*$K60,EI60*$J60))*IF(95=$R60,$S60,12)/12,6)+$B$4),EI60-$I60)))))</f>
        <v/>
      </c>
      <c r="EK60" s="68">
        <f>IF($U60=0,0,IF($F60=4,0,IF($F60=3,0,IF(OR(96&gt;$R60,EJ60&lt;=$I60),EJ60,EJ60-MIN(INT(ROUND(IF($F60=1,$C60*$J60,IF(II60&gt;0,II60*$K60,EJ60*$J60))*IF(96=$R60,$S60,12)/12,6)+$B$4),EJ60-$I60)))))</f>
        <v/>
      </c>
      <c r="EL60" s="68">
        <f>IF($U60=0,0,IF($F60=4,0,IF($F60=3,0,IF(OR(97&gt;$R60,EK60&lt;=$I60),EK60,EK60-MIN(INT(ROUND(IF($F60=1,$C60*$J60,IF(IJ60&gt;0,IJ60*$K60,EK60*$J60))*IF(97=$R60,$S60,12)/12,6)+$B$4),EK60-$I60)))))</f>
        <v/>
      </c>
      <c r="EM60" s="68">
        <f>IF($U60=0,0,IF($F60=4,0,IF($F60=3,0,IF(OR(98&gt;$R60,EL60&lt;=$I60),EL60,EL60-MIN(INT(ROUND(IF($F60=1,$C60*$J60,IF(IK60&gt;0,IK60*$K60,EL60*$J60))*IF(98=$R60,$S60,12)/12,6)+$B$4),EL60-$I60)))))</f>
        <v/>
      </c>
      <c r="EN60" s="68">
        <f>IF($U60=0,0,IF($F60=4,0,IF($F60=3,0,IF(OR(99&gt;$R60,EM60&lt;=$I60),EM60,EM60-MIN(INT(ROUND(IF($F60=1,$C60*$J60,IF(IL60&gt;0,IL60*$K60,EM60*$J60))*IF(99=$R60,$S60,12)/12,6)+$B$4),EM60-$I60)))))</f>
        <v/>
      </c>
      <c r="EO60" s="68">
        <f>IF($U60=0,0,IF($F60=4,0,IF($F60=3,0,IF(OR(100&gt;$R60,EN60&lt;=$I60),EN60,EN60-MIN(INT(ROUND(IF($F60=1,$C60*$J60,IF(IM60&gt;0,IM60*$K60,EN60*$J60))*IF(100=$R60,$S60,12)/12,6)+$B$4),EN60-$I60)))))</f>
        <v/>
      </c>
      <c r="EP60" s="68">
        <f>IF($U60=0,0,IF($F60=4,0,IF($F60=3,0,IF(OR(101&gt;$R60,EO60&lt;=$I60),EO60,EO60-MIN(INT(ROUND(IF($F60=1,$C60*$J60,IF(IN60&gt;0,IN60*$K60,EO60*$J60))*IF(101=$R60,$S60,12)/12,6)+$B$4),EO60-$I60)))))</f>
        <v/>
      </c>
      <c r="EQ60" s="68" t="n"/>
      <c r="ER60" s="68">
        <f>IF(OR($U60=0,$F60&lt;&gt;2),0,IF(ROUND(AS60*$J60,6)&lt;ROUND($M60,6),AS60,0))</f>
        <v/>
      </c>
      <c r="ES60" s="68">
        <f>IF(OR($U60=0,$F60&lt;&gt;2),0,IF(ER60&gt;0,ER60,IF(ROUND(AT60*$J60,6)&lt;ROUND($M60,6),AT60,0)))</f>
        <v/>
      </c>
      <c r="ET60" s="68">
        <f>IF(OR($U60=0,$F60&lt;&gt;2),0,IF(ES60&gt;0,ES60,IF(ROUND(AU60*$J60,6)&lt;ROUND($M60,6),AU60,0)))</f>
        <v/>
      </c>
      <c r="EU60" s="68">
        <f>IF(OR($U60=0,$F60&lt;&gt;2),0,IF(ET60&gt;0,ET60,IF(ROUND(AV60*$J60,6)&lt;ROUND($M60,6),AV60,0)))</f>
        <v/>
      </c>
      <c r="EV60" s="68">
        <f>IF(OR($U60=0,$F60&lt;&gt;2),0,IF(EU60&gt;0,EU60,IF(ROUND(AW60*$J60,6)&lt;ROUND($M60,6),AW60,0)))</f>
        <v/>
      </c>
      <c r="EW60" s="68">
        <f>IF(OR($U60=0,$F60&lt;&gt;2),0,IF(EV60&gt;0,EV60,IF(ROUND(AX60*$J60,6)&lt;ROUND($M60,6),AX60,0)))</f>
        <v/>
      </c>
      <c r="EX60" s="68">
        <f>IF(OR($U60=0,$F60&lt;&gt;2),0,IF(EW60&gt;0,EW60,IF(ROUND(AY60*$J60,6)&lt;ROUND($M60,6),AY60,0)))</f>
        <v/>
      </c>
      <c r="EY60" s="68">
        <f>IF(OR($U60=0,$F60&lt;&gt;2),0,IF(EX60&gt;0,EX60,IF(ROUND(AZ60*$J60,6)&lt;ROUND($M60,6),AZ60,0)))</f>
        <v/>
      </c>
      <c r="EZ60" s="68">
        <f>IF(OR($U60=0,$F60&lt;&gt;2),0,IF(EY60&gt;0,EY60,IF(ROUND(BA60*$J60,6)&lt;ROUND($M60,6),BA60,0)))</f>
        <v/>
      </c>
      <c r="FA60" s="68">
        <f>IF(OR($U60=0,$F60&lt;&gt;2),0,IF(EZ60&gt;0,EZ60,IF(ROUND(BB60*$J60,6)&lt;ROUND($M60,6),BB60,0)))</f>
        <v/>
      </c>
      <c r="FB60" s="68">
        <f>IF(OR($U60=0,$F60&lt;&gt;2),0,IF(FA60&gt;0,FA60,IF(ROUND(BC60*$J60,6)&lt;ROUND($M60,6),BC60,0)))</f>
        <v/>
      </c>
      <c r="FC60" s="68">
        <f>IF(OR($U60=0,$F60&lt;&gt;2),0,IF(FB60&gt;0,FB60,IF(ROUND(BD60*$J60,6)&lt;ROUND($M60,6),BD60,0)))</f>
        <v/>
      </c>
      <c r="FD60" s="68">
        <f>IF(OR($U60=0,$F60&lt;&gt;2),0,IF(FC60&gt;0,FC60,IF(ROUND(BE60*$J60,6)&lt;ROUND($M60,6),BE60,0)))</f>
        <v/>
      </c>
      <c r="FE60" s="68">
        <f>IF(OR($U60=0,$F60&lt;&gt;2),0,IF(FD60&gt;0,FD60,IF(ROUND(BF60*$J60,6)&lt;ROUND($M60,6),BF60,0)))</f>
        <v/>
      </c>
      <c r="FF60" s="68">
        <f>IF(OR($U60=0,$F60&lt;&gt;2),0,IF(FE60&gt;0,FE60,IF(ROUND(BG60*$J60,6)&lt;ROUND($M60,6),BG60,0)))</f>
        <v/>
      </c>
      <c r="FG60" s="68">
        <f>IF(OR($U60=0,$F60&lt;&gt;2),0,IF(FF60&gt;0,FF60,IF(ROUND(BH60*$J60,6)&lt;ROUND($M60,6),BH60,0)))</f>
        <v/>
      </c>
      <c r="FH60" s="68">
        <f>IF(OR($U60=0,$F60&lt;&gt;2),0,IF(FG60&gt;0,FG60,IF(ROUND(BI60*$J60,6)&lt;ROUND($M60,6),BI60,0)))</f>
        <v/>
      </c>
      <c r="FI60" s="68">
        <f>IF(OR($U60=0,$F60&lt;&gt;2),0,IF(FH60&gt;0,FH60,IF(ROUND(BJ60*$J60,6)&lt;ROUND($M60,6),BJ60,0)))</f>
        <v/>
      </c>
      <c r="FJ60" s="68">
        <f>IF(OR($U60=0,$F60&lt;&gt;2),0,IF(FI60&gt;0,FI60,IF(ROUND(BK60*$J60,6)&lt;ROUND($M60,6),BK60,0)))</f>
        <v/>
      </c>
      <c r="FK60" s="68">
        <f>IF(OR($U60=0,$F60&lt;&gt;2),0,IF(FJ60&gt;0,FJ60,IF(ROUND(BL60*$J60,6)&lt;ROUND($M60,6),BL60,0)))</f>
        <v/>
      </c>
      <c r="FL60" s="68">
        <f>IF(OR($U60=0,$F60&lt;&gt;2),0,IF(FK60&gt;0,FK60,IF(ROUND(BM60*$J60,6)&lt;ROUND($M60,6),BM60,0)))</f>
        <v/>
      </c>
      <c r="FM60" s="68">
        <f>IF(OR($U60=0,$F60&lt;&gt;2),0,IF(FL60&gt;0,FL60,IF(ROUND(BN60*$J60,6)&lt;ROUND($M60,6),BN60,0)))</f>
        <v/>
      </c>
      <c r="FN60" s="68">
        <f>IF(OR($U60=0,$F60&lt;&gt;2),0,IF(FM60&gt;0,FM60,IF(ROUND(BO60*$J60,6)&lt;ROUND($M60,6),BO60,0)))</f>
        <v/>
      </c>
      <c r="FO60" s="68">
        <f>IF(OR($U60=0,$F60&lt;&gt;2),0,IF(FN60&gt;0,FN60,IF(ROUND(BP60*$J60,6)&lt;ROUND($M60,6),BP60,0)))</f>
        <v/>
      </c>
      <c r="FP60" s="68">
        <f>IF(OR($U60=0,$F60&lt;&gt;2),0,IF(FO60&gt;0,FO60,IF(ROUND(BQ60*$J60,6)&lt;ROUND($M60,6),BQ60,0)))</f>
        <v/>
      </c>
      <c r="FQ60" s="68">
        <f>IF(OR($U60=0,$F60&lt;&gt;2),0,IF(FP60&gt;0,FP60,IF(ROUND(BR60*$J60,6)&lt;ROUND($M60,6),BR60,0)))</f>
        <v/>
      </c>
      <c r="FR60" s="68">
        <f>IF(OR($U60=0,$F60&lt;&gt;2),0,IF(FQ60&gt;0,FQ60,IF(ROUND(BS60*$J60,6)&lt;ROUND($M60,6),BS60,0)))</f>
        <v/>
      </c>
      <c r="FS60" s="68">
        <f>IF(OR($U60=0,$F60&lt;&gt;2),0,IF(FR60&gt;0,FR60,IF(ROUND(BT60*$J60,6)&lt;ROUND($M60,6),BT60,0)))</f>
        <v/>
      </c>
      <c r="FT60" s="68">
        <f>IF(OR($U60=0,$F60&lt;&gt;2),0,IF(FS60&gt;0,FS60,IF(ROUND(BU60*$J60,6)&lt;ROUND($M60,6),BU60,0)))</f>
        <v/>
      </c>
      <c r="FU60" s="68">
        <f>IF(OR($U60=0,$F60&lt;&gt;2),0,IF(FT60&gt;0,FT60,IF(ROUND(BV60*$J60,6)&lt;ROUND($M60,6),BV60,0)))</f>
        <v/>
      </c>
      <c r="FV60" s="68">
        <f>IF(OR($U60=0,$F60&lt;&gt;2),0,IF(FU60&gt;0,FU60,IF(ROUND(BW60*$J60,6)&lt;ROUND($M60,6),BW60,0)))</f>
        <v/>
      </c>
      <c r="FW60" s="68">
        <f>IF(OR($U60=0,$F60&lt;&gt;2),0,IF(FV60&gt;0,FV60,IF(ROUND(BX60*$J60,6)&lt;ROUND($M60,6),BX60,0)))</f>
        <v/>
      </c>
      <c r="FX60" s="68">
        <f>IF(OR($U60=0,$F60&lt;&gt;2),0,IF(FW60&gt;0,FW60,IF(ROUND(BY60*$J60,6)&lt;ROUND($M60,6),BY60,0)))</f>
        <v/>
      </c>
      <c r="FY60" s="68">
        <f>IF(OR($U60=0,$F60&lt;&gt;2),0,IF(FX60&gt;0,FX60,IF(ROUND(BZ60*$J60,6)&lt;ROUND($M60,6),BZ60,0)))</f>
        <v/>
      </c>
      <c r="FZ60" s="68">
        <f>IF(OR($U60=0,$F60&lt;&gt;2),0,IF(FY60&gt;0,FY60,IF(ROUND(CA60*$J60,6)&lt;ROUND($M60,6),CA60,0)))</f>
        <v/>
      </c>
      <c r="GA60" s="68">
        <f>IF(OR($U60=0,$F60&lt;&gt;2),0,IF(FZ60&gt;0,FZ60,IF(ROUND(CB60*$J60,6)&lt;ROUND($M60,6),CB60,0)))</f>
        <v/>
      </c>
      <c r="GB60" s="68">
        <f>IF(OR($U60=0,$F60&lt;&gt;2),0,IF(GA60&gt;0,GA60,IF(ROUND(CC60*$J60,6)&lt;ROUND($M60,6),CC60,0)))</f>
        <v/>
      </c>
      <c r="GC60" s="68">
        <f>IF(OR($U60=0,$F60&lt;&gt;2),0,IF(GB60&gt;0,GB60,IF(ROUND(CD60*$J60,6)&lt;ROUND($M60,6),CD60,0)))</f>
        <v/>
      </c>
      <c r="GD60" s="68">
        <f>IF(OR($U60=0,$F60&lt;&gt;2),0,IF(GC60&gt;0,GC60,IF(ROUND(CE60*$J60,6)&lt;ROUND($M60,6),CE60,0)))</f>
        <v/>
      </c>
      <c r="GE60" s="68">
        <f>IF(OR($U60=0,$F60&lt;&gt;2),0,IF(GD60&gt;0,GD60,IF(ROUND(CF60*$J60,6)&lt;ROUND($M60,6),CF60,0)))</f>
        <v/>
      </c>
      <c r="GF60" s="68">
        <f>IF(OR($U60=0,$F60&lt;&gt;2),0,IF(GE60&gt;0,GE60,IF(ROUND(CG60*$J60,6)&lt;ROUND($M60,6),CG60,0)))</f>
        <v/>
      </c>
      <c r="GG60" s="68">
        <f>IF(OR($U60=0,$F60&lt;&gt;2),0,IF(GF60&gt;0,GF60,IF(ROUND(CH60*$J60,6)&lt;ROUND($M60,6),CH60,0)))</f>
        <v/>
      </c>
      <c r="GH60" s="68">
        <f>IF(OR($U60=0,$F60&lt;&gt;2),0,IF(GG60&gt;0,GG60,IF(ROUND(CI60*$J60,6)&lt;ROUND($M60,6),CI60,0)))</f>
        <v/>
      </c>
      <c r="GI60" s="68">
        <f>IF(OR($U60=0,$F60&lt;&gt;2),0,IF(GH60&gt;0,GH60,IF(ROUND(CJ60*$J60,6)&lt;ROUND($M60,6),CJ60,0)))</f>
        <v/>
      </c>
      <c r="GJ60" s="68">
        <f>IF(OR($U60=0,$F60&lt;&gt;2),0,IF(GI60&gt;0,GI60,IF(ROUND(CK60*$J60,6)&lt;ROUND($M60,6),CK60,0)))</f>
        <v/>
      </c>
      <c r="GK60" s="68">
        <f>IF(OR($U60=0,$F60&lt;&gt;2),0,IF(GJ60&gt;0,GJ60,IF(ROUND(CL60*$J60,6)&lt;ROUND($M60,6),CL60,0)))</f>
        <v/>
      </c>
      <c r="GL60" s="68">
        <f>IF(OR($U60=0,$F60&lt;&gt;2),0,IF(GK60&gt;0,GK60,IF(ROUND(CM60*$J60,6)&lt;ROUND($M60,6),CM60,0)))</f>
        <v/>
      </c>
      <c r="GM60" s="68">
        <f>IF(OR($U60=0,$F60&lt;&gt;2),0,IF(GL60&gt;0,GL60,IF(ROUND(CN60*$J60,6)&lt;ROUND($M60,6),CN60,0)))</f>
        <v/>
      </c>
      <c r="GN60" s="68">
        <f>IF(OR($U60=0,$F60&lt;&gt;2),0,IF(GM60&gt;0,GM60,IF(ROUND(CO60*$J60,6)&lt;ROUND($M60,6),CO60,0)))</f>
        <v/>
      </c>
      <c r="GO60" s="68">
        <f>IF(OR($U60=0,$F60&lt;&gt;2),0,IF(GN60&gt;0,GN60,IF(ROUND(CP60*$J60,6)&lt;ROUND($M60,6),CP60,0)))</f>
        <v/>
      </c>
      <c r="GP60" s="68">
        <f>IF(OR($U60=0,$F60&lt;&gt;2),0,IF(GO60&gt;0,GO60,IF(ROUND(CQ60*$J60,6)&lt;ROUND($M60,6),CQ60,0)))</f>
        <v/>
      </c>
      <c r="GQ60" s="68">
        <f>IF(OR($U60=0,$F60&lt;&gt;2),0,IF(GP60&gt;0,GP60,IF(ROUND(CR60*$J60,6)&lt;ROUND($M60,6),CR60,0)))</f>
        <v/>
      </c>
      <c r="GR60" s="68">
        <f>IF(OR($U60=0,$F60&lt;&gt;2),0,IF(GQ60&gt;0,GQ60,IF(ROUND(CS60*$J60,6)&lt;ROUND($M60,6),CS60,0)))</f>
        <v/>
      </c>
      <c r="GS60" s="68">
        <f>IF(OR($U60=0,$F60&lt;&gt;2),0,IF(GR60&gt;0,GR60,IF(ROUND(CT60*$J60,6)&lt;ROUND($M60,6),CT60,0)))</f>
        <v/>
      </c>
      <c r="GT60" s="68">
        <f>IF(OR($U60=0,$F60&lt;&gt;2),0,IF(GS60&gt;0,GS60,IF(ROUND(CU60*$J60,6)&lt;ROUND($M60,6),CU60,0)))</f>
        <v/>
      </c>
      <c r="GU60" s="68">
        <f>IF(OR($U60=0,$F60&lt;&gt;2),0,IF(GT60&gt;0,GT60,IF(ROUND(CV60*$J60,6)&lt;ROUND($M60,6),CV60,0)))</f>
        <v/>
      </c>
      <c r="GV60" s="68">
        <f>IF(OR($U60=0,$F60&lt;&gt;2),0,IF(GU60&gt;0,GU60,IF(ROUND(CW60*$J60,6)&lt;ROUND($M60,6),CW60,0)))</f>
        <v/>
      </c>
      <c r="GW60" s="68">
        <f>IF(OR($U60=0,$F60&lt;&gt;2),0,IF(GV60&gt;0,GV60,IF(ROUND(CX60*$J60,6)&lt;ROUND($M60,6),CX60,0)))</f>
        <v/>
      </c>
      <c r="GX60" s="68">
        <f>IF(OR($U60=0,$F60&lt;&gt;2),0,IF(GW60&gt;0,GW60,IF(ROUND(CY60*$J60,6)&lt;ROUND($M60,6),CY60,0)))</f>
        <v/>
      </c>
      <c r="GY60" s="68">
        <f>IF(OR($U60=0,$F60&lt;&gt;2),0,IF(GX60&gt;0,GX60,IF(ROUND(CZ60*$J60,6)&lt;ROUND($M60,6),CZ60,0)))</f>
        <v/>
      </c>
      <c r="GZ60" s="68">
        <f>IF(OR($U60=0,$F60&lt;&gt;2),0,IF(GY60&gt;0,GY60,IF(ROUND(DA60*$J60,6)&lt;ROUND($M60,6),DA60,0)))</f>
        <v/>
      </c>
      <c r="HA60" s="68">
        <f>IF(OR($U60=0,$F60&lt;&gt;2),0,IF(GZ60&gt;0,GZ60,IF(ROUND(DB60*$J60,6)&lt;ROUND($M60,6),DB60,0)))</f>
        <v/>
      </c>
      <c r="HB60" s="68">
        <f>IF(OR($U60=0,$F60&lt;&gt;2),0,IF(HA60&gt;0,HA60,IF(ROUND(DC60*$J60,6)&lt;ROUND($M60,6),DC60,0)))</f>
        <v/>
      </c>
      <c r="HC60" s="68">
        <f>IF(OR($U60=0,$F60&lt;&gt;2),0,IF(HB60&gt;0,HB60,IF(ROUND(DD60*$J60,6)&lt;ROUND($M60,6),DD60,0)))</f>
        <v/>
      </c>
      <c r="HD60" s="68">
        <f>IF(OR($U60=0,$F60&lt;&gt;2),0,IF(HC60&gt;0,HC60,IF(ROUND(DE60*$J60,6)&lt;ROUND($M60,6),DE60,0)))</f>
        <v/>
      </c>
      <c r="HE60" s="68">
        <f>IF(OR($U60=0,$F60&lt;&gt;2),0,IF(HD60&gt;0,HD60,IF(ROUND(DF60*$J60,6)&lt;ROUND($M60,6),DF60,0)))</f>
        <v/>
      </c>
      <c r="HF60" s="68">
        <f>IF(OR($U60=0,$F60&lt;&gt;2),0,IF(HE60&gt;0,HE60,IF(ROUND(DG60*$J60,6)&lt;ROUND($M60,6),DG60,0)))</f>
        <v/>
      </c>
      <c r="HG60" s="68">
        <f>IF(OR($U60=0,$F60&lt;&gt;2),0,IF(HF60&gt;0,HF60,IF(ROUND(DH60*$J60,6)&lt;ROUND($M60,6),DH60,0)))</f>
        <v/>
      </c>
      <c r="HH60" s="68">
        <f>IF(OR($U60=0,$F60&lt;&gt;2),0,IF(HG60&gt;0,HG60,IF(ROUND(DI60*$J60,6)&lt;ROUND($M60,6),DI60,0)))</f>
        <v/>
      </c>
      <c r="HI60" s="68">
        <f>IF(OR($U60=0,$F60&lt;&gt;2),0,IF(HH60&gt;0,HH60,IF(ROUND(DJ60*$J60,6)&lt;ROUND($M60,6),DJ60,0)))</f>
        <v/>
      </c>
      <c r="HJ60" s="68">
        <f>IF(OR($U60=0,$F60&lt;&gt;2),0,IF(HI60&gt;0,HI60,IF(ROUND(DK60*$J60,6)&lt;ROUND($M60,6),DK60,0)))</f>
        <v/>
      </c>
      <c r="HK60" s="68">
        <f>IF(OR($U60=0,$F60&lt;&gt;2),0,IF(HJ60&gt;0,HJ60,IF(ROUND(DL60*$J60,6)&lt;ROUND($M60,6),DL60,0)))</f>
        <v/>
      </c>
      <c r="HL60" s="68">
        <f>IF(OR($U60=0,$F60&lt;&gt;2),0,IF(HK60&gt;0,HK60,IF(ROUND(DM60*$J60,6)&lt;ROUND($M60,6),DM60,0)))</f>
        <v/>
      </c>
      <c r="HM60" s="68">
        <f>IF(OR($U60=0,$F60&lt;&gt;2),0,IF(HL60&gt;0,HL60,IF(ROUND(DN60*$J60,6)&lt;ROUND($M60,6),DN60,0)))</f>
        <v/>
      </c>
      <c r="HN60" s="68">
        <f>IF(OR($U60=0,$F60&lt;&gt;2),0,IF(HM60&gt;0,HM60,IF(ROUND(DO60*$J60,6)&lt;ROUND($M60,6),DO60,0)))</f>
        <v/>
      </c>
      <c r="HO60" s="68">
        <f>IF(OR($U60=0,$F60&lt;&gt;2),0,IF(HN60&gt;0,HN60,IF(ROUND(DP60*$J60,6)&lt;ROUND($M60,6),DP60,0)))</f>
        <v/>
      </c>
      <c r="HP60" s="68">
        <f>IF(OR($U60=0,$F60&lt;&gt;2),0,IF(HO60&gt;0,HO60,IF(ROUND(DQ60*$J60,6)&lt;ROUND($M60,6),DQ60,0)))</f>
        <v/>
      </c>
      <c r="HQ60" s="68">
        <f>IF(OR($U60=0,$F60&lt;&gt;2),0,IF(HP60&gt;0,HP60,IF(ROUND(DR60*$J60,6)&lt;ROUND($M60,6),DR60,0)))</f>
        <v/>
      </c>
      <c r="HR60" s="68">
        <f>IF(OR($U60=0,$F60&lt;&gt;2),0,IF(HQ60&gt;0,HQ60,IF(ROUND(DS60*$J60,6)&lt;ROUND($M60,6),DS60,0)))</f>
        <v/>
      </c>
      <c r="HS60" s="68">
        <f>IF(OR($U60=0,$F60&lt;&gt;2),0,IF(HR60&gt;0,HR60,IF(ROUND(DT60*$J60,6)&lt;ROUND($M60,6),DT60,0)))</f>
        <v/>
      </c>
      <c r="HT60" s="68">
        <f>IF(OR($U60=0,$F60&lt;&gt;2),0,IF(HS60&gt;0,HS60,IF(ROUND(DU60*$J60,6)&lt;ROUND($M60,6),DU60,0)))</f>
        <v/>
      </c>
      <c r="HU60" s="68">
        <f>IF(OR($U60=0,$F60&lt;&gt;2),0,IF(HT60&gt;0,HT60,IF(ROUND(DV60*$J60,6)&lt;ROUND($M60,6),DV60,0)))</f>
        <v/>
      </c>
      <c r="HV60" s="68">
        <f>IF(OR($U60=0,$F60&lt;&gt;2),0,IF(HU60&gt;0,HU60,IF(ROUND(DW60*$J60,6)&lt;ROUND($M60,6),DW60,0)))</f>
        <v/>
      </c>
      <c r="HW60" s="68">
        <f>IF(OR($U60=0,$F60&lt;&gt;2),0,IF(HV60&gt;0,HV60,IF(ROUND(DX60*$J60,6)&lt;ROUND($M60,6),DX60,0)))</f>
        <v/>
      </c>
      <c r="HX60" s="68">
        <f>IF(OR($U60=0,$F60&lt;&gt;2),0,IF(HW60&gt;0,HW60,IF(ROUND(DY60*$J60,6)&lt;ROUND($M60,6),DY60,0)))</f>
        <v/>
      </c>
      <c r="HY60" s="68">
        <f>IF(OR($U60=0,$F60&lt;&gt;2),0,IF(HX60&gt;0,HX60,IF(ROUND(DZ60*$J60,6)&lt;ROUND($M60,6),DZ60,0)))</f>
        <v/>
      </c>
      <c r="HZ60" s="68">
        <f>IF(OR($U60=0,$F60&lt;&gt;2),0,IF(HY60&gt;0,HY60,IF(ROUND(EA60*$J60,6)&lt;ROUND($M60,6),EA60,0)))</f>
        <v/>
      </c>
      <c r="IA60" s="68">
        <f>IF(OR($U60=0,$F60&lt;&gt;2),0,IF(HZ60&gt;0,HZ60,IF(ROUND(EB60*$J60,6)&lt;ROUND($M60,6),EB60,0)))</f>
        <v/>
      </c>
      <c r="IB60" s="68">
        <f>IF(OR($U60=0,$F60&lt;&gt;2),0,IF(IA60&gt;0,IA60,IF(ROUND(EC60*$J60,6)&lt;ROUND($M60,6),EC60,0)))</f>
        <v/>
      </c>
      <c r="IC60" s="68">
        <f>IF(OR($U60=0,$F60&lt;&gt;2),0,IF(IB60&gt;0,IB60,IF(ROUND(ED60*$J60,6)&lt;ROUND($M60,6),ED60,0)))</f>
        <v/>
      </c>
      <c r="ID60" s="68">
        <f>IF(OR($U60=0,$F60&lt;&gt;2),0,IF(IC60&gt;0,IC60,IF(ROUND(EE60*$J60,6)&lt;ROUND($M60,6),EE60,0)))</f>
        <v/>
      </c>
      <c r="IE60" s="68">
        <f>IF(OR($U60=0,$F60&lt;&gt;2),0,IF(ID60&gt;0,ID60,IF(ROUND(EF60*$J60,6)&lt;ROUND($M60,6),EF60,0)))</f>
        <v/>
      </c>
      <c r="IF60" s="68">
        <f>IF(OR($U60=0,$F60&lt;&gt;2),0,IF(IE60&gt;0,IE60,IF(ROUND(EG60*$J60,6)&lt;ROUND($M60,6),EG60,0)))</f>
        <v/>
      </c>
      <c r="IG60" s="68">
        <f>IF(OR($U60=0,$F60&lt;&gt;2),0,IF(IF60&gt;0,IF60,IF(ROUND(EH60*$J60,6)&lt;ROUND($M60,6),EH60,0)))</f>
        <v/>
      </c>
      <c r="IH60" s="68">
        <f>IF(OR($U60=0,$F60&lt;&gt;2),0,IF(IG60&gt;0,IG60,IF(ROUND(EI60*$J60,6)&lt;ROUND($M60,6),EI60,0)))</f>
        <v/>
      </c>
      <c r="II60" s="68">
        <f>IF(OR($U60=0,$F60&lt;&gt;2),0,IF(IH60&gt;0,IH60,IF(ROUND(EJ60*$J60,6)&lt;ROUND($M60,6),EJ60,0)))</f>
        <v/>
      </c>
      <c r="IJ60" s="68">
        <f>IF(OR($U60=0,$F60&lt;&gt;2),0,IF(II60&gt;0,II60,IF(ROUND(EK60*$J60,6)&lt;ROUND($M60,6),EK60,0)))</f>
        <v/>
      </c>
      <c r="IK60" s="68">
        <f>IF(OR($U60=0,$F60&lt;&gt;2),0,IF(IJ60&gt;0,IJ60,IF(ROUND(EL60*$J60,6)&lt;ROUND($M60,6),EL60,0)))</f>
        <v/>
      </c>
      <c r="IL60" s="68">
        <f>IF(OR($U60=0,$F60&lt;&gt;2),0,IF(IK60&gt;0,IK60,IF(ROUND(EM60*$J60,6)&lt;ROUND($M60,6),EM60,0)))</f>
        <v/>
      </c>
      <c r="IM60" s="68">
        <f>IF(OR($U60=0,$F60&lt;&gt;2),0,IF(IL60&gt;0,IL60,IF(ROUND(EN60*$J60,6)&lt;ROUND($M60,6),EN60,0)))</f>
        <v/>
      </c>
      <c r="IN60" s="68">
        <f>IF(OR($U60=0,$F60&lt;&gt;2),0,IF(IM60&gt;0,IM60,IF(ROUND(EO60*$J60,6)&lt;ROUND($M60,6),EO60,0)))</f>
        <v/>
      </c>
    </row>
    <row r="61">
      <c r="A61" s="68" t="n">
        <v>56</v>
      </c>
      <c r="B61" s="68">
        <f>IF(OR(TRIM('固定資産台帳'!$B61)&lt;&gt;"",'固定資産台帳'!$E61&lt;&gt;"",'固定資産台帳'!$G61&lt;&gt;"",'固定資産台帳'!$H61&lt;&gt;""),1,0)</f>
        <v/>
      </c>
      <c r="C61" s="68">
        <f>IF(ISNUMBER('固定資産台帳'!$G61),MAX(ROUND('固定資産台帳'!$G61,0),0),0)</f>
        <v/>
      </c>
      <c r="D61" s="84">
        <f>IF(ISNUMBER('固定資産台帳'!$E61),INT('固定資産台帳'!$E61),0)</f>
        <v/>
      </c>
      <c r="E61" s="84">
        <f>IF(ISNUMBER('固定資産台帳'!$F61),INT('固定資産台帳'!$F61),$D61)</f>
        <v/>
      </c>
      <c r="F61" s="68">
        <f>IF('固定資産台帳'!$H61="定額法",1,IF(OR('固定資産台帳'!$H61="定率法",'固定資産台帳'!$H61="定率法（200%）",'固定資産台帳'!$H61="定率法（250%）"),2,IF('固定資産台帳'!$H61="一括償却（3年）",3,IF('固定資産台帳'!$H61="少額特例",4,0))))</f>
        <v/>
      </c>
      <c r="G61" s="68">
        <f>IF('固定資産台帳'!$H61="定率法（250%）",250,IF('固定資産台帳'!$H61="定率法（200%）",200,IF($D61&gt;=DATE(2012,4,1),200,250)))</f>
        <v/>
      </c>
      <c r="H61" s="68">
        <f>IF(ISNUMBER('固定資産台帳'!$I61),IF(AND('固定資産台帳'!$I61&gt;=2,'固定資産台帳'!$I61&lt;=100,'固定資産台帳'!$I61=INT('固定資産台帳'!$I61)),'固定資産台帳'!$I61,0),0)</f>
        <v/>
      </c>
      <c r="I61" s="68">
        <f>IF('固定資産台帳'!$C61="無形固定資産",0,1)</f>
        <v/>
      </c>
      <c r="J61" s="68">
        <f>IF(OR($H61=0,$F61=0,$F61&gt;2),0,IF($F61=1,INDEX('償却率表'!$B$6:$B$104,$H61-1),IF($G61=200,INDEX('償却率表'!$C$6:$C$104,$H61-1),INDEX('償却率表'!$F$6:$F$104,$H61-1))))</f>
        <v/>
      </c>
      <c r="K61" s="68">
        <f>IF(AND($F61=2,$H61&gt;0),IF($G61=200,INDEX('償却率表'!$D$6:$D$104,$H61-1),INDEX('償却率表'!$G$6:$G$104,$H61-1)),0)</f>
        <v/>
      </c>
      <c r="L61" s="68">
        <f>IF(AND($F61=2,$H61&gt;0),IF($G61=200,INDEX('償却率表'!$E$6:$E$104,$H61-1),INDEX('償却率表'!$H$6:$H$104,$H61-1)),0)</f>
        <v/>
      </c>
      <c r="M61" s="68">
        <f>$C61*$L61</f>
        <v/>
      </c>
      <c r="N61" s="68">
        <f>IF($B$1=1,1,IF('固定資産台帳'!$J61="",1,IF(ISNUMBER('固定資産台帳'!$J61),IF(AND('固定資産台帳'!$J61&gt;0,'固定資産台帳'!$J61&lt;=1),'固定資産台帳'!$J61,0),0)))</f>
        <v/>
      </c>
      <c r="O61" s="68">
        <f>IF($E61=0,0,YEAR($E61)-IF(MONTH($E61)&lt;$B$2,1,0))</f>
        <v/>
      </c>
      <c r="P61" s="68">
        <f>IF($E61=0,0,12-MOD(MONTH($E61)-$B$2,12))</f>
        <v/>
      </c>
      <c r="Q61" s="84">
        <f>IF(ISNUMBER('固定資産台帳'!$K61),INT('固定資産台帳'!$K61),0)</f>
        <v/>
      </c>
      <c r="R61" s="68">
        <f>IF(OR($Q61=0,$E61=0),999,YEAR($Q61)-IF(MONTH($Q61)&lt;$B$2,1,0)-$O61)</f>
        <v/>
      </c>
      <c r="S61" s="68">
        <f>IF($R61=999,0,MOD(MONTH($Q61)-$B$2,12)+1-IF($R61=0,12-$P61,0))</f>
        <v/>
      </c>
      <c r="T61" s="68">
        <f>IF($B61=0,0,IF($C61&lt;=0,1,IF($D61=0,2,IF($F61=0,3,IF(AND($F61&lt;=2,$H61=0),4,IF(AND($F61&lt;=2,$D61&lt;DATE(2007,4,1)),5,IF($E61&lt;$D61,6,IF(AND($Q61&gt;0,$Q61&lt;$E61),7,IF($N61=0,8,IF($B$3=0,9,0))))))))))</f>
        <v/>
      </c>
      <c r="U61" s="68">
        <f>IF(AND($B61=1,$T61=0),1,0)</f>
        <v/>
      </c>
      <c r="V61" s="68">
        <f>$B$3-$O61</f>
        <v/>
      </c>
      <c r="W61" s="68">
        <f>IF(AND($U61=1,$V61&gt;=0),1,0)</f>
        <v/>
      </c>
      <c r="X61" s="68">
        <f>IF($W61=0,0,IF($V61=0,$C61,INDEX($AS61:$EP61,MIN($V61,102))))</f>
        <v/>
      </c>
      <c r="Y61" s="68">
        <f>IF($W61=0,0,INDEX($AS61:$EP61,MIN($V61,101)+1))</f>
        <v/>
      </c>
      <c r="Z61" s="68">
        <f>$X61-$Y61</f>
        <v/>
      </c>
      <c r="AA61" s="68">
        <f>IF(AND($W61=1,$F61=2,$V61&gt;=1),INDEX($ER61:$IN61,MIN($V61,101)),0)</f>
        <v/>
      </c>
      <c r="AB61" s="68">
        <f>IF(OR($W61=0,$F61&gt;2,$Z61=0),0,IF($V61=0,IF($R61=0,$S61,$P61),IF($V61=$R61,$S61,12)))</f>
        <v/>
      </c>
      <c r="AC61" s="68">
        <f>IF($W61=0,0,INT(ROUND($Z61*$N61,6)+$B$4))</f>
        <v/>
      </c>
      <c r="AD61" s="68">
        <f>IF(AND($W61=1,$F61&lt;=2,$V61=$R61),1,0)</f>
        <v/>
      </c>
      <c r="AE61" s="68">
        <f>IF(AND($W61=1,$F61&lt;=2,$V61&gt;$R61),1,0)</f>
        <v/>
      </c>
      <c r="AF61" s="68">
        <f>IF(AND($W61=1,$AE61=0,OR($Z61&gt;0,$AD61=1)),1,0)</f>
        <v/>
      </c>
      <c r="AG61" s="68">
        <f>IF($AF61=1,SUM($AF$6:$AF61),0)</f>
        <v/>
      </c>
      <c r="AH61" s="68">
        <f>IF($T61=0,"",CHOOSE($T61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61" s="68">
        <f>IF(AND($F61=2,OR('固定資産台帳'!$C61="建物",'固定資産台帳'!$C61="無形固定資産",AND(OR('固定資産台帳'!$C61="建物附属設備",'固定資産台帳'!$C61="構築物"),$D61&gt;=DATE(2016,4,1)))),"この資産は定額法だけです（定率法は使えません）。","")&amp;IF(AND($F61=3,$C61&gt;=200000),"一括償却は20万円未満の資産だけです。","")&amp;IF(AND($F61=3,$B$1=0,$C61&lt;100000),"10万円未満は一括償却にせず、全額をその年の経費にします。","")&amp;IF(AND($F61=4,$C61&lt;100000),"10万円未満は少額特例ではなく、全額をその年の経費にします。","")&amp;IF(AND($F61=4,$D61&lt;DATE(2026,4,1),$C61&gt;=300000),"2026年3月31日までの取得で少額特例が使えるのは30万円未満です。","")&amp;IF(AND($F61=4,$D61&gt;=DATE(2026,4,1),$C61&gt;=400000),"少額特例は40万円未満の資産だけです。","")&amp;IF(AND($F61=4,OR($D61&lt;DATE(2006,4,1),$D61&gt;DATE(2029,3,31))),"少額特例は2006年4月1日〜2029年3月31日に取得した資産だけです。","")&amp;IF(AND($F61=2,$G61=250,$D61&gt;DATE(2012,12,31)),"250%定率法は2012年12月31日までの取得だけです。","")</f>
        <v/>
      </c>
      <c r="AJ61" s="68">
        <f>IF(AND($F61=2,'固定資産台帳'!$H61="定率法（200%）",$D61&lt;DATE(2012,4,1)),"2012年3月31日までの取得に200%を使うのは、経過措置の届出をした場合です。","")&amp;IF(AND($F61=2,'固定資産台帳'!$H61="定率法（250%）",$D61&gt;=DATE(2012,4,1),$D61&lt;=DATE(2012,12,31)),"2012年4〜12月の取得に250%を使うのは、経過措置を選んだ場合です。","")</f>
        <v/>
      </c>
      <c r="AK61" s="68">
        <f>IF($U61=0,"",IF($V61&lt;0,"表示している年より後に使い始める資産です。",IF($AE61=1,"売却・除却済みです。",IF($AD61=1,"この年に売却・除却。期末の帳簿価額 "&amp;TEXT($Y61,"#,##0")&amp;"円を帳簿から外します。",IF($F61=4,IF($V61=0,"少額特例：この年に全額を経費にします。","少額特例で経費にした資産です。"),IF($F61=3,IF($V61&gt;2,"一括償却は終わっています。","一括償却 "&amp;($V61+1)&amp;"年目（3年のうち）。"),IF($Z61=0,"償却済み（帳簿価額 "&amp;TEXT($Y61,"#,##0")&amp;"円）。",IF($AA61&gt;0,"改定償却率で計算（改定取得価額 "&amp;TEXT($AA61,"#,##0")&amp;"円）。",IF($V61=0,"この年に使い始め（"&amp;$AB61&amp;"か月分）。","")))))))))</f>
        <v/>
      </c>
      <c r="AL61" s="68">
        <f>IF(AND($U61=1,$F61=4,$V61=0),$C61,0)</f>
        <v/>
      </c>
      <c r="AM61" s="68">
        <f>IF($F61=2,INT(ROUND($M61,6)+$B$4),0)</f>
        <v/>
      </c>
      <c r="AN61" s="68">
        <f>IF($W61=0,0,IF($F61=2,IF($AA61&gt;0,$AA61,$X61),$C61))</f>
        <v/>
      </c>
      <c r="AO61" s="68">
        <f>IF($W61=0,"",IF($F61=3,"1/3",IF($F61=4,"―",IF($AA61&gt;0,$K61,$J61))))</f>
        <v/>
      </c>
      <c r="AP61" s="68" t="n"/>
      <c r="AQ61" s="68" t="n"/>
      <c r="AR61" s="68" t="n"/>
      <c r="AS61" s="68">
        <f>IF($U61=0,0,IF($F61=4,0,IF($F61=3,MAX($C61-INT(ROUND($C61/3,6)+$B$4),0),$C61-MIN(INT(ROUND($C61*$J61*IF($R61=0,$S61,$P61)/12,6)+$B$4),MAX($C61-$I61,0)))))</f>
        <v/>
      </c>
      <c r="AT61" s="68">
        <f>IF($U61=0,0,IF($F61=4,0,IF($F61=3,AS61-MIN(INT(ROUND($C61/3,6)+$B$4),AS61),IF(OR(1&gt;$R61,AS61&lt;=$I61),AS61,AS61-MIN(INT(ROUND(IF($F61=1,$C61*$J61,IF(ER61&gt;0,ER61*$K61,AS61*$J61))*IF(1=$R61,$S61,12)/12,6)+$B$4),AS61-$I61)))))</f>
        <v/>
      </c>
      <c r="AU61" s="68">
        <f>IF($U61=0,0,IF($F61=4,0,IF($F61=3,0,IF(OR(2&gt;$R61,AT61&lt;=$I61),AT61,AT61-MIN(INT(ROUND(IF($F61=1,$C61*$J61,IF(ES61&gt;0,ES61*$K61,AT61*$J61))*IF(2=$R61,$S61,12)/12,6)+$B$4),AT61-$I61)))))</f>
        <v/>
      </c>
      <c r="AV61" s="68">
        <f>IF($U61=0,0,IF($F61=4,0,IF($F61=3,0,IF(OR(3&gt;$R61,AU61&lt;=$I61),AU61,AU61-MIN(INT(ROUND(IF($F61=1,$C61*$J61,IF(ET61&gt;0,ET61*$K61,AU61*$J61))*IF(3=$R61,$S61,12)/12,6)+$B$4),AU61-$I61)))))</f>
        <v/>
      </c>
      <c r="AW61" s="68">
        <f>IF($U61=0,0,IF($F61=4,0,IF($F61=3,0,IF(OR(4&gt;$R61,AV61&lt;=$I61),AV61,AV61-MIN(INT(ROUND(IF($F61=1,$C61*$J61,IF(EU61&gt;0,EU61*$K61,AV61*$J61))*IF(4=$R61,$S61,12)/12,6)+$B$4),AV61-$I61)))))</f>
        <v/>
      </c>
      <c r="AX61" s="68">
        <f>IF($U61=0,0,IF($F61=4,0,IF($F61=3,0,IF(OR(5&gt;$R61,AW61&lt;=$I61),AW61,AW61-MIN(INT(ROUND(IF($F61=1,$C61*$J61,IF(EV61&gt;0,EV61*$K61,AW61*$J61))*IF(5=$R61,$S61,12)/12,6)+$B$4),AW61-$I61)))))</f>
        <v/>
      </c>
      <c r="AY61" s="68">
        <f>IF($U61=0,0,IF($F61=4,0,IF($F61=3,0,IF(OR(6&gt;$R61,AX61&lt;=$I61),AX61,AX61-MIN(INT(ROUND(IF($F61=1,$C61*$J61,IF(EW61&gt;0,EW61*$K61,AX61*$J61))*IF(6=$R61,$S61,12)/12,6)+$B$4),AX61-$I61)))))</f>
        <v/>
      </c>
      <c r="AZ61" s="68">
        <f>IF($U61=0,0,IF($F61=4,0,IF($F61=3,0,IF(OR(7&gt;$R61,AY61&lt;=$I61),AY61,AY61-MIN(INT(ROUND(IF($F61=1,$C61*$J61,IF(EX61&gt;0,EX61*$K61,AY61*$J61))*IF(7=$R61,$S61,12)/12,6)+$B$4),AY61-$I61)))))</f>
        <v/>
      </c>
      <c r="BA61" s="68">
        <f>IF($U61=0,0,IF($F61=4,0,IF($F61=3,0,IF(OR(8&gt;$R61,AZ61&lt;=$I61),AZ61,AZ61-MIN(INT(ROUND(IF($F61=1,$C61*$J61,IF(EY61&gt;0,EY61*$K61,AZ61*$J61))*IF(8=$R61,$S61,12)/12,6)+$B$4),AZ61-$I61)))))</f>
        <v/>
      </c>
      <c r="BB61" s="68">
        <f>IF($U61=0,0,IF($F61=4,0,IF($F61=3,0,IF(OR(9&gt;$R61,BA61&lt;=$I61),BA61,BA61-MIN(INT(ROUND(IF($F61=1,$C61*$J61,IF(EZ61&gt;0,EZ61*$K61,BA61*$J61))*IF(9=$R61,$S61,12)/12,6)+$B$4),BA61-$I61)))))</f>
        <v/>
      </c>
      <c r="BC61" s="68">
        <f>IF($U61=0,0,IF($F61=4,0,IF($F61=3,0,IF(OR(10&gt;$R61,BB61&lt;=$I61),BB61,BB61-MIN(INT(ROUND(IF($F61=1,$C61*$J61,IF(FA61&gt;0,FA61*$K61,BB61*$J61))*IF(10=$R61,$S61,12)/12,6)+$B$4),BB61-$I61)))))</f>
        <v/>
      </c>
      <c r="BD61" s="68">
        <f>IF($U61=0,0,IF($F61=4,0,IF($F61=3,0,IF(OR(11&gt;$R61,BC61&lt;=$I61),BC61,BC61-MIN(INT(ROUND(IF($F61=1,$C61*$J61,IF(FB61&gt;0,FB61*$K61,BC61*$J61))*IF(11=$R61,$S61,12)/12,6)+$B$4),BC61-$I61)))))</f>
        <v/>
      </c>
      <c r="BE61" s="68">
        <f>IF($U61=0,0,IF($F61=4,0,IF($F61=3,0,IF(OR(12&gt;$R61,BD61&lt;=$I61),BD61,BD61-MIN(INT(ROUND(IF($F61=1,$C61*$J61,IF(FC61&gt;0,FC61*$K61,BD61*$J61))*IF(12=$R61,$S61,12)/12,6)+$B$4),BD61-$I61)))))</f>
        <v/>
      </c>
      <c r="BF61" s="68">
        <f>IF($U61=0,0,IF($F61=4,0,IF($F61=3,0,IF(OR(13&gt;$R61,BE61&lt;=$I61),BE61,BE61-MIN(INT(ROUND(IF($F61=1,$C61*$J61,IF(FD61&gt;0,FD61*$K61,BE61*$J61))*IF(13=$R61,$S61,12)/12,6)+$B$4),BE61-$I61)))))</f>
        <v/>
      </c>
      <c r="BG61" s="68">
        <f>IF($U61=0,0,IF($F61=4,0,IF($F61=3,0,IF(OR(14&gt;$R61,BF61&lt;=$I61),BF61,BF61-MIN(INT(ROUND(IF($F61=1,$C61*$J61,IF(FE61&gt;0,FE61*$K61,BF61*$J61))*IF(14=$R61,$S61,12)/12,6)+$B$4),BF61-$I61)))))</f>
        <v/>
      </c>
      <c r="BH61" s="68">
        <f>IF($U61=0,0,IF($F61=4,0,IF($F61=3,0,IF(OR(15&gt;$R61,BG61&lt;=$I61),BG61,BG61-MIN(INT(ROUND(IF($F61=1,$C61*$J61,IF(FF61&gt;0,FF61*$K61,BG61*$J61))*IF(15=$R61,$S61,12)/12,6)+$B$4),BG61-$I61)))))</f>
        <v/>
      </c>
      <c r="BI61" s="68">
        <f>IF($U61=0,0,IF($F61=4,0,IF($F61=3,0,IF(OR(16&gt;$R61,BH61&lt;=$I61),BH61,BH61-MIN(INT(ROUND(IF($F61=1,$C61*$J61,IF(FG61&gt;0,FG61*$K61,BH61*$J61))*IF(16=$R61,$S61,12)/12,6)+$B$4),BH61-$I61)))))</f>
        <v/>
      </c>
      <c r="BJ61" s="68">
        <f>IF($U61=0,0,IF($F61=4,0,IF($F61=3,0,IF(OR(17&gt;$R61,BI61&lt;=$I61),BI61,BI61-MIN(INT(ROUND(IF($F61=1,$C61*$J61,IF(FH61&gt;0,FH61*$K61,BI61*$J61))*IF(17=$R61,$S61,12)/12,6)+$B$4),BI61-$I61)))))</f>
        <v/>
      </c>
      <c r="BK61" s="68">
        <f>IF($U61=0,0,IF($F61=4,0,IF($F61=3,0,IF(OR(18&gt;$R61,BJ61&lt;=$I61),BJ61,BJ61-MIN(INT(ROUND(IF($F61=1,$C61*$J61,IF(FI61&gt;0,FI61*$K61,BJ61*$J61))*IF(18=$R61,$S61,12)/12,6)+$B$4),BJ61-$I61)))))</f>
        <v/>
      </c>
      <c r="BL61" s="68">
        <f>IF($U61=0,0,IF($F61=4,0,IF($F61=3,0,IF(OR(19&gt;$R61,BK61&lt;=$I61),BK61,BK61-MIN(INT(ROUND(IF($F61=1,$C61*$J61,IF(FJ61&gt;0,FJ61*$K61,BK61*$J61))*IF(19=$R61,$S61,12)/12,6)+$B$4),BK61-$I61)))))</f>
        <v/>
      </c>
      <c r="BM61" s="68">
        <f>IF($U61=0,0,IF($F61=4,0,IF($F61=3,0,IF(OR(20&gt;$R61,BL61&lt;=$I61),BL61,BL61-MIN(INT(ROUND(IF($F61=1,$C61*$J61,IF(FK61&gt;0,FK61*$K61,BL61*$J61))*IF(20=$R61,$S61,12)/12,6)+$B$4),BL61-$I61)))))</f>
        <v/>
      </c>
      <c r="BN61" s="68">
        <f>IF($U61=0,0,IF($F61=4,0,IF($F61=3,0,IF(OR(21&gt;$R61,BM61&lt;=$I61),BM61,BM61-MIN(INT(ROUND(IF($F61=1,$C61*$J61,IF(FL61&gt;0,FL61*$K61,BM61*$J61))*IF(21=$R61,$S61,12)/12,6)+$B$4),BM61-$I61)))))</f>
        <v/>
      </c>
      <c r="BO61" s="68">
        <f>IF($U61=0,0,IF($F61=4,0,IF($F61=3,0,IF(OR(22&gt;$R61,BN61&lt;=$I61),BN61,BN61-MIN(INT(ROUND(IF($F61=1,$C61*$J61,IF(FM61&gt;0,FM61*$K61,BN61*$J61))*IF(22=$R61,$S61,12)/12,6)+$B$4),BN61-$I61)))))</f>
        <v/>
      </c>
      <c r="BP61" s="68">
        <f>IF($U61=0,0,IF($F61=4,0,IF($F61=3,0,IF(OR(23&gt;$R61,BO61&lt;=$I61),BO61,BO61-MIN(INT(ROUND(IF($F61=1,$C61*$J61,IF(FN61&gt;0,FN61*$K61,BO61*$J61))*IF(23=$R61,$S61,12)/12,6)+$B$4),BO61-$I61)))))</f>
        <v/>
      </c>
      <c r="BQ61" s="68">
        <f>IF($U61=0,0,IF($F61=4,0,IF($F61=3,0,IF(OR(24&gt;$R61,BP61&lt;=$I61),BP61,BP61-MIN(INT(ROUND(IF($F61=1,$C61*$J61,IF(FO61&gt;0,FO61*$K61,BP61*$J61))*IF(24=$R61,$S61,12)/12,6)+$B$4),BP61-$I61)))))</f>
        <v/>
      </c>
      <c r="BR61" s="68">
        <f>IF($U61=0,0,IF($F61=4,0,IF($F61=3,0,IF(OR(25&gt;$R61,BQ61&lt;=$I61),BQ61,BQ61-MIN(INT(ROUND(IF($F61=1,$C61*$J61,IF(FP61&gt;0,FP61*$K61,BQ61*$J61))*IF(25=$R61,$S61,12)/12,6)+$B$4),BQ61-$I61)))))</f>
        <v/>
      </c>
      <c r="BS61" s="68">
        <f>IF($U61=0,0,IF($F61=4,0,IF($F61=3,0,IF(OR(26&gt;$R61,BR61&lt;=$I61),BR61,BR61-MIN(INT(ROUND(IF($F61=1,$C61*$J61,IF(FQ61&gt;0,FQ61*$K61,BR61*$J61))*IF(26=$R61,$S61,12)/12,6)+$B$4),BR61-$I61)))))</f>
        <v/>
      </c>
      <c r="BT61" s="68">
        <f>IF($U61=0,0,IF($F61=4,0,IF($F61=3,0,IF(OR(27&gt;$R61,BS61&lt;=$I61),BS61,BS61-MIN(INT(ROUND(IF($F61=1,$C61*$J61,IF(FR61&gt;0,FR61*$K61,BS61*$J61))*IF(27=$R61,$S61,12)/12,6)+$B$4),BS61-$I61)))))</f>
        <v/>
      </c>
      <c r="BU61" s="68">
        <f>IF($U61=0,0,IF($F61=4,0,IF($F61=3,0,IF(OR(28&gt;$R61,BT61&lt;=$I61),BT61,BT61-MIN(INT(ROUND(IF($F61=1,$C61*$J61,IF(FS61&gt;0,FS61*$K61,BT61*$J61))*IF(28=$R61,$S61,12)/12,6)+$B$4),BT61-$I61)))))</f>
        <v/>
      </c>
      <c r="BV61" s="68">
        <f>IF($U61=0,0,IF($F61=4,0,IF($F61=3,0,IF(OR(29&gt;$R61,BU61&lt;=$I61),BU61,BU61-MIN(INT(ROUND(IF($F61=1,$C61*$J61,IF(FT61&gt;0,FT61*$K61,BU61*$J61))*IF(29=$R61,$S61,12)/12,6)+$B$4),BU61-$I61)))))</f>
        <v/>
      </c>
      <c r="BW61" s="68">
        <f>IF($U61=0,0,IF($F61=4,0,IF($F61=3,0,IF(OR(30&gt;$R61,BV61&lt;=$I61),BV61,BV61-MIN(INT(ROUND(IF($F61=1,$C61*$J61,IF(FU61&gt;0,FU61*$K61,BV61*$J61))*IF(30=$R61,$S61,12)/12,6)+$B$4),BV61-$I61)))))</f>
        <v/>
      </c>
      <c r="BX61" s="68">
        <f>IF($U61=0,0,IF($F61=4,0,IF($F61=3,0,IF(OR(31&gt;$R61,BW61&lt;=$I61),BW61,BW61-MIN(INT(ROUND(IF($F61=1,$C61*$J61,IF(FV61&gt;0,FV61*$K61,BW61*$J61))*IF(31=$R61,$S61,12)/12,6)+$B$4),BW61-$I61)))))</f>
        <v/>
      </c>
      <c r="BY61" s="68">
        <f>IF($U61=0,0,IF($F61=4,0,IF($F61=3,0,IF(OR(32&gt;$R61,BX61&lt;=$I61),BX61,BX61-MIN(INT(ROUND(IF($F61=1,$C61*$J61,IF(FW61&gt;0,FW61*$K61,BX61*$J61))*IF(32=$R61,$S61,12)/12,6)+$B$4),BX61-$I61)))))</f>
        <v/>
      </c>
      <c r="BZ61" s="68">
        <f>IF($U61=0,0,IF($F61=4,0,IF($F61=3,0,IF(OR(33&gt;$R61,BY61&lt;=$I61),BY61,BY61-MIN(INT(ROUND(IF($F61=1,$C61*$J61,IF(FX61&gt;0,FX61*$K61,BY61*$J61))*IF(33=$R61,$S61,12)/12,6)+$B$4),BY61-$I61)))))</f>
        <v/>
      </c>
      <c r="CA61" s="68">
        <f>IF($U61=0,0,IF($F61=4,0,IF($F61=3,0,IF(OR(34&gt;$R61,BZ61&lt;=$I61),BZ61,BZ61-MIN(INT(ROUND(IF($F61=1,$C61*$J61,IF(FY61&gt;0,FY61*$K61,BZ61*$J61))*IF(34=$R61,$S61,12)/12,6)+$B$4),BZ61-$I61)))))</f>
        <v/>
      </c>
      <c r="CB61" s="68">
        <f>IF($U61=0,0,IF($F61=4,0,IF($F61=3,0,IF(OR(35&gt;$R61,CA61&lt;=$I61),CA61,CA61-MIN(INT(ROUND(IF($F61=1,$C61*$J61,IF(FZ61&gt;0,FZ61*$K61,CA61*$J61))*IF(35=$R61,$S61,12)/12,6)+$B$4),CA61-$I61)))))</f>
        <v/>
      </c>
      <c r="CC61" s="68">
        <f>IF($U61=0,0,IF($F61=4,0,IF($F61=3,0,IF(OR(36&gt;$R61,CB61&lt;=$I61),CB61,CB61-MIN(INT(ROUND(IF($F61=1,$C61*$J61,IF(GA61&gt;0,GA61*$K61,CB61*$J61))*IF(36=$R61,$S61,12)/12,6)+$B$4),CB61-$I61)))))</f>
        <v/>
      </c>
      <c r="CD61" s="68">
        <f>IF($U61=0,0,IF($F61=4,0,IF($F61=3,0,IF(OR(37&gt;$R61,CC61&lt;=$I61),CC61,CC61-MIN(INT(ROUND(IF($F61=1,$C61*$J61,IF(GB61&gt;0,GB61*$K61,CC61*$J61))*IF(37=$R61,$S61,12)/12,6)+$B$4),CC61-$I61)))))</f>
        <v/>
      </c>
      <c r="CE61" s="68">
        <f>IF($U61=0,0,IF($F61=4,0,IF($F61=3,0,IF(OR(38&gt;$R61,CD61&lt;=$I61),CD61,CD61-MIN(INT(ROUND(IF($F61=1,$C61*$J61,IF(GC61&gt;0,GC61*$K61,CD61*$J61))*IF(38=$R61,$S61,12)/12,6)+$B$4),CD61-$I61)))))</f>
        <v/>
      </c>
      <c r="CF61" s="68">
        <f>IF($U61=0,0,IF($F61=4,0,IF($F61=3,0,IF(OR(39&gt;$R61,CE61&lt;=$I61),CE61,CE61-MIN(INT(ROUND(IF($F61=1,$C61*$J61,IF(GD61&gt;0,GD61*$K61,CE61*$J61))*IF(39=$R61,$S61,12)/12,6)+$B$4),CE61-$I61)))))</f>
        <v/>
      </c>
      <c r="CG61" s="68">
        <f>IF($U61=0,0,IF($F61=4,0,IF($F61=3,0,IF(OR(40&gt;$R61,CF61&lt;=$I61),CF61,CF61-MIN(INT(ROUND(IF($F61=1,$C61*$J61,IF(GE61&gt;0,GE61*$K61,CF61*$J61))*IF(40=$R61,$S61,12)/12,6)+$B$4),CF61-$I61)))))</f>
        <v/>
      </c>
      <c r="CH61" s="68">
        <f>IF($U61=0,0,IF($F61=4,0,IF($F61=3,0,IF(OR(41&gt;$R61,CG61&lt;=$I61),CG61,CG61-MIN(INT(ROUND(IF($F61=1,$C61*$J61,IF(GF61&gt;0,GF61*$K61,CG61*$J61))*IF(41=$R61,$S61,12)/12,6)+$B$4),CG61-$I61)))))</f>
        <v/>
      </c>
      <c r="CI61" s="68">
        <f>IF($U61=0,0,IF($F61=4,0,IF($F61=3,0,IF(OR(42&gt;$R61,CH61&lt;=$I61),CH61,CH61-MIN(INT(ROUND(IF($F61=1,$C61*$J61,IF(GG61&gt;0,GG61*$K61,CH61*$J61))*IF(42=$R61,$S61,12)/12,6)+$B$4),CH61-$I61)))))</f>
        <v/>
      </c>
      <c r="CJ61" s="68">
        <f>IF($U61=0,0,IF($F61=4,0,IF($F61=3,0,IF(OR(43&gt;$R61,CI61&lt;=$I61),CI61,CI61-MIN(INT(ROUND(IF($F61=1,$C61*$J61,IF(GH61&gt;0,GH61*$K61,CI61*$J61))*IF(43=$R61,$S61,12)/12,6)+$B$4),CI61-$I61)))))</f>
        <v/>
      </c>
      <c r="CK61" s="68">
        <f>IF($U61=0,0,IF($F61=4,0,IF($F61=3,0,IF(OR(44&gt;$R61,CJ61&lt;=$I61),CJ61,CJ61-MIN(INT(ROUND(IF($F61=1,$C61*$J61,IF(GI61&gt;0,GI61*$K61,CJ61*$J61))*IF(44=$R61,$S61,12)/12,6)+$B$4),CJ61-$I61)))))</f>
        <v/>
      </c>
      <c r="CL61" s="68">
        <f>IF($U61=0,0,IF($F61=4,0,IF($F61=3,0,IF(OR(45&gt;$R61,CK61&lt;=$I61),CK61,CK61-MIN(INT(ROUND(IF($F61=1,$C61*$J61,IF(GJ61&gt;0,GJ61*$K61,CK61*$J61))*IF(45=$R61,$S61,12)/12,6)+$B$4),CK61-$I61)))))</f>
        <v/>
      </c>
      <c r="CM61" s="68">
        <f>IF($U61=0,0,IF($F61=4,0,IF($F61=3,0,IF(OR(46&gt;$R61,CL61&lt;=$I61),CL61,CL61-MIN(INT(ROUND(IF($F61=1,$C61*$J61,IF(GK61&gt;0,GK61*$K61,CL61*$J61))*IF(46=$R61,$S61,12)/12,6)+$B$4),CL61-$I61)))))</f>
        <v/>
      </c>
      <c r="CN61" s="68">
        <f>IF($U61=0,0,IF($F61=4,0,IF($F61=3,0,IF(OR(47&gt;$R61,CM61&lt;=$I61),CM61,CM61-MIN(INT(ROUND(IF($F61=1,$C61*$J61,IF(GL61&gt;0,GL61*$K61,CM61*$J61))*IF(47=$R61,$S61,12)/12,6)+$B$4),CM61-$I61)))))</f>
        <v/>
      </c>
      <c r="CO61" s="68">
        <f>IF($U61=0,0,IF($F61=4,0,IF($F61=3,0,IF(OR(48&gt;$R61,CN61&lt;=$I61),CN61,CN61-MIN(INT(ROUND(IF($F61=1,$C61*$J61,IF(GM61&gt;0,GM61*$K61,CN61*$J61))*IF(48=$R61,$S61,12)/12,6)+$B$4),CN61-$I61)))))</f>
        <v/>
      </c>
      <c r="CP61" s="68">
        <f>IF($U61=0,0,IF($F61=4,0,IF($F61=3,0,IF(OR(49&gt;$R61,CO61&lt;=$I61),CO61,CO61-MIN(INT(ROUND(IF($F61=1,$C61*$J61,IF(GN61&gt;0,GN61*$K61,CO61*$J61))*IF(49=$R61,$S61,12)/12,6)+$B$4),CO61-$I61)))))</f>
        <v/>
      </c>
      <c r="CQ61" s="68">
        <f>IF($U61=0,0,IF($F61=4,0,IF($F61=3,0,IF(OR(50&gt;$R61,CP61&lt;=$I61),CP61,CP61-MIN(INT(ROUND(IF($F61=1,$C61*$J61,IF(GO61&gt;0,GO61*$K61,CP61*$J61))*IF(50=$R61,$S61,12)/12,6)+$B$4),CP61-$I61)))))</f>
        <v/>
      </c>
      <c r="CR61" s="68">
        <f>IF($U61=0,0,IF($F61=4,0,IF($F61=3,0,IF(OR(51&gt;$R61,CQ61&lt;=$I61),CQ61,CQ61-MIN(INT(ROUND(IF($F61=1,$C61*$J61,IF(GP61&gt;0,GP61*$K61,CQ61*$J61))*IF(51=$R61,$S61,12)/12,6)+$B$4),CQ61-$I61)))))</f>
        <v/>
      </c>
      <c r="CS61" s="68">
        <f>IF($U61=0,0,IF($F61=4,0,IF($F61=3,0,IF(OR(52&gt;$R61,CR61&lt;=$I61),CR61,CR61-MIN(INT(ROUND(IF($F61=1,$C61*$J61,IF(GQ61&gt;0,GQ61*$K61,CR61*$J61))*IF(52=$R61,$S61,12)/12,6)+$B$4),CR61-$I61)))))</f>
        <v/>
      </c>
      <c r="CT61" s="68">
        <f>IF($U61=0,0,IF($F61=4,0,IF($F61=3,0,IF(OR(53&gt;$R61,CS61&lt;=$I61),CS61,CS61-MIN(INT(ROUND(IF($F61=1,$C61*$J61,IF(GR61&gt;0,GR61*$K61,CS61*$J61))*IF(53=$R61,$S61,12)/12,6)+$B$4),CS61-$I61)))))</f>
        <v/>
      </c>
      <c r="CU61" s="68">
        <f>IF($U61=0,0,IF($F61=4,0,IF($F61=3,0,IF(OR(54&gt;$R61,CT61&lt;=$I61),CT61,CT61-MIN(INT(ROUND(IF($F61=1,$C61*$J61,IF(GS61&gt;0,GS61*$K61,CT61*$J61))*IF(54=$R61,$S61,12)/12,6)+$B$4),CT61-$I61)))))</f>
        <v/>
      </c>
      <c r="CV61" s="68">
        <f>IF($U61=0,0,IF($F61=4,0,IF($F61=3,0,IF(OR(55&gt;$R61,CU61&lt;=$I61),CU61,CU61-MIN(INT(ROUND(IF($F61=1,$C61*$J61,IF(GT61&gt;0,GT61*$K61,CU61*$J61))*IF(55=$R61,$S61,12)/12,6)+$B$4),CU61-$I61)))))</f>
        <v/>
      </c>
      <c r="CW61" s="68">
        <f>IF($U61=0,0,IF($F61=4,0,IF($F61=3,0,IF(OR(56&gt;$R61,CV61&lt;=$I61),CV61,CV61-MIN(INT(ROUND(IF($F61=1,$C61*$J61,IF(GU61&gt;0,GU61*$K61,CV61*$J61))*IF(56=$R61,$S61,12)/12,6)+$B$4),CV61-$I61)))))</f>
        <v/>
      </c>
      <c r="CX61" s="68">
        <f>IF($U61=0,0,IF($F61=4,0,IF($F61=3,0,IF(OR(57&gt;$R61,CW61&lt;=$I61),CW61,CW61-MIN(INT(ROUND(IF($F61=1,$C61*$J61,IF(GV61&gt;0,GV61*$K61,CW61*$J61))*IF(57=$R61,$S61,12)/12,6)+$B$4),CW61-$I61)))))</f>
        <v/>
      </c>
      <c r="CY61" s="68">
        <f>IF($U61=0,0,IF($F61=4,0,IF($F61=3,0,IF(OR(58&gt;$R61,CX61&lt;=$I61),CX61,CX61-MIN(INT(ROUND(IF($F61=1,$C61*$J61,IF(GW61&gt;0,GW61*$K61,CX61*$J61))*IF(58=$R61,$S61,12)/12,6)+$B$4),CX61-$I61)))))</f>
        <v/>
      </c>
      <c r="CZ61" s="68">
        <f>IF($U61=0,0,IF($F61=4,0,IF($F61=3,0,IF(OR(59&gt;$R61,CY61&lt;=$I61),CY61,CY61-MIN(INT(ROUND(IF($F61=1,$C61*$J61,IF(GX61&gt;0,GX61*$K61,CY61*$J61))*IF(59=$R61,$S61,12)/12,6)+$B$4),CY61-$I61)))))</f>
        <v/>
      </c>
      <c r="DA61" s="68">
        <f>IF($U61=0,0,IF($F61=4,0,IF($F61=3,0,IF(OR(60&gt;$R61,CZ61&lt;=$I61),CZ61,CZ61-MIN(INT(ROUND(IF($F61=1,$C61*$J61,IF(GY61&gt;0,GY61*$K61,CZ61*$J61))*IF(60=$R61,$S61,12)/12,6)+$B$4),CZ61-$I61)))))</f>
        <v/>
      </c>
      <c r="DB61" s="68">
        <f>IF($U61=0,0,IF($F61=4,0,IF($F61=3,0,IF(OR(61&gt;$R61,DA61&lt;=$I61),DA61,DA61-MIN(INT(ROUND(IF($F61=1,$C61*$J61,IF(GZ61&gt;0,GZ61*$K61,DA61*$J61))*IF(61=$R61,$S61,12)/12,6)+$B$4),DA61-$I61)))))</f>
        <v/>
      </c>
      <c r="DC61" s="68">
        <f>IF($U61=0,0,IF($F61=4,0,IF($F61=3,0,IF(OR(62&gt;$R61,DB61&lt;=$I61),DB61,DB61-MIN(INT(ROUND(IF($F61=1,$C61*$J61,IF(HA61&gt;0,HA61*$K61,DB61*$J61))*IF(62=$R61,$S61,12)/12,6)+$B$4),DB61-$I61)))))</f>
        <v/>
      </c>
      <c r="DD61" s="68">
        <f>IF($U61=0,0,IF($F61=4,0,IF($F61=3,0,IF(OR(63&gt;$R61,DC61&lt;=$I61),DC61,DC61-MIN(INT(ROUND(IF($F61=1,$C61*$J61,IF(HB61&gt;0,HB61*$K61,DC61*$J61))*IF(63=$R61,$S61,12)/12,6)+$B$4),DC61-$I61)))))</f>
        <v/>
      </c>
      <c r="DE61" s="68">
        <f>IF($U61=0,0,IF($F61=4,0,IF($F61=3,0,IF(OR(64&gt;$R61,DD61&lt;=$I61),DD61,DD61-MIN(INT(ROUND(IF($F61=1,$C61*$J61,IF(HC61&gt;0,HC61*$K61,DD61*$J61))*IF(64=$R61,$S61,12)/12,6)+$B$4),DD61-$I61)))))</f>
        <v/>
      </c>
      <c r="DF61" s="68">
        <f>IF($U61=0,0,IF($F61=4,0,IF($F61=3,0,IF(OR(65&gt;$R61,DE61&lt;=$I61),DE61,DE61-MIN(INT(ROUND(IF($F61=1,$C61*$J61,IF(HD61&gt;0,HD61*$K61,DE61*$J61))*IF(65=$R61,$S61,12)/12,6)+$B$4),DE61-$I61)))))</f>
        <v/>
      </c>
      <c r="DG61" s="68">
        <f>IF($U61=0,0,IF($F61=4,0,IF($F61=3,0,IF(OR(66&gt;$R61,DF61&lt;=$I61),DF61,DF61-MIN(INT(ROUND(IF($F61=1,$C61*$J61,IF(HE61&gt;0,HE61*$K61,DF61*$J61))*IF(66=$R61,$S61,12)/12,6)+$B$4),DF61-$I61)))))</f>
        <v/>
      </c>
      <c r="DH61" s="68">
        <f>IF($U61=0,0,IF($F61=4,0,IF($F61=3,0,IF(OR(67&gt;$R61,DG61&lt;=$I61),DG61,DG61-MIN(INT(ROUND(IF($F61=1,$C61*$J61,IF(HF61&gt;0,HF61*$K61,DG61*$J61))*IF(67=$R61,$S61,12)/12,6)+$B$4),DG61-$I61)))))</f>
        <v/>
      </c>
      <c r="DI61" s="68">
        <f>IF($U61=0,0,IF($F61=4,0,IF($F61=3,0,IF(OR(68&gt;$R61,DH61&lt;=$I61),DH61,DH61-MIN(INT(ROUND(IF($F61=1,$C61*$J61,IF(HG61&gt;0,HG61*$K61,DH61*$J61))*IF(68=$R61,$S61,12)/12,6)+$B$4),DH61-$I61)))))</f>
        <v/>
      </c>
      <c r="DJ61" s="68">
        <f>IF($U61=0,0,IF($F61=4,0,IF($F61=3,0,IF(OR(69&gt;$R61,DI61&lt;=$I61),DI61,DI61-MIN(INT(ROUND(IF($F61=1,$C61*$J61,IF(HH61&gt;0,HH61*$K61,DI61*$J61))*IF(69=$R61,$S61,12)/12,6)+$B$4),DI61-$I61)))))</f>
        <v/>
      </c>
      <c r="DK61" s="68">
        <f>IF($U61=0,0,IF($F61=4,0,IF($F61=3,0,IF(OR(70&gt;$R61,DJ61&lt;=$I61),DJ61,DJ61-MIN(INT(ROUND(IF($F61=1,$C61*$J61,IF(HI61&gt;0,HI61*$K61,DJ61*$J61))*IF(70=$R61,$S61,12)/12,6)+$B$4),DJ61-$I61)))))</f>
        <v/>
      </c>
      <c r="DL61" s="68">
        <f>IF($U61=0,0,IF($F61=4,0,IF($F61=3,0,IF(OR(71&gt;$R61,DK61&lt;=$I61),DK61,DK61-MIN(INT(ROUND(IF($F61=1,$C61*$J61,IF(HJ61&gt;0,HJ61*$K61,DK61*$J61))*IF(71=$R61,$S61,12)/12,6)+$B$4),DK61-$I61)))))</f>
        <v/>
      </c>
      <c r="DM61" s="68">
        <f>IF($U61=0,0,IF($F61=4,0,IF($F61=3,0,IF(OR(72&gt;$R61,DL61&lt;=$I61),DL61,DL61-MIN(INT(ROUND(IF($F61=1,$C61*$J61,IF(HK61&gt;0,HK61*$K61,DL61*$J61))*IF(72=$R61,$S61,12)/12,6)+$B$4),DL61-$I61)))))</f>
        <v/>
      </c>
      <c r="DN61" s="68">
        <f>IF($U61=0,0,IF($F61=4,0,IF($F61=3,0,IF(OR(73&gt;$R61,DM61&lt;=$I61),DM61,DM61-MIN(INT(ROUND(IF($F61=1,$C61*$J61,IF(HL61&gt;0,HL61*$K61,DM61*$J61))*IF(73=$R61,$S61,12)/12,6)+$B$4),DM61-$I61)))))</f>
        <v/>
      </c>
      <c r="DO61" s="68">
        <f>IF($U61=0,0,IF($F61=4,0,IF($F61=3,0,IF(OR(74&gt;$R61,DN61&lt;=$I61),DN61,DN61-MIN(INT(ROUND(IF($F61=1,$C61*$J61,IF(HM61&gt;0,HM61*$K61,DN61*$J61))*IF(74=$R61,$S61,12)/12,6)+$B$4),DN61-$I61)))))</f>
        <v/>
      </c>
      <c r="DP61" s="68">
        <f>IF($U61=0,0,IF($F61=4,0,IF($F61=3,0,IF(OR(75&gt;$R61,DO61&lt;=$I61),DO61,DO61-MIN(INT(ROUND(IF($F61=1,$C61*$J61,IF(HN61&gt;0,HN61*$K61,DO61*$J61))*IF(75=$R61,$S61,12)/12,6)+$B$4),DO61-$I61)))))</f>
        <v/>
      </c>
      <c r="DQ61" s="68">
        <f>IF($U61=0,0,IF($F61=4,0,IF($F61=3,0,IF(OR(76&gt;$R61,DP61&lt;=$I61),DP61,DP61-MIN(INT(ROUND(IF($F61=1,$C61*$J61,IF(HO61&gt;0,HO61*$K61,DP61*$J61))*IF(76=$R61,$S61,12)/12,6)+$B$4),DP61-$I61)))))</f>
        <v/>
      </c>
      <c r="DR61" s="68">
        <f>IF($U61=0,0,IF($F61=4,0,IF($F61=3,0,IF(OR(77&gt;$R61,DQ61&lt;=$I61),DQ61,DQ61-MIN(INT(ROUND(IF($F61=1,$C61*$J61,IF(HP61&gt;0,HP61*$K61,DQ61*$J61))*IF(77=$R61,$S61,12)/12,6)+$B$4),DQ61-$I61)))))</f>
        <v/>
      </c>
      <c r="DS61" s="68">
        <f>IF($U61=0,0,IF($F61=4,0,IF($F61=3,0,IF(OR(78&gt;$R61,DR61&lt;=$I61),DR61,DR61-MIN(INT(ROUND(IF($F61=1,$C61*$J61,IF(HQ61&gt;0,HQ61*$K61,DR61*$J61))*IF(78=$R61,$S61,12)/12,6)+$B$4),DR61-$I61)))))</f>
        <v/>
      </c>
      <c r="DT61" s="68">
        <f>IF($U61=0,0,IF($F61=4,0,IF($F61=3,0,IF(OR(79&gt;$R61,DS61&lt;=$I61),DS61,DS61-MIN(INT(ROUND(IF($F61=1,$C61*$J61,IF(HR61&gt;0,HR61*$K61,DS61*$J61))*IF(79=$R61,$S61,12)/12,6)+$B$4),DS61-$I61)))))</f>
        <v/>
      </c>
      <c r="DU61" s="68">
        <f>IF($U61=0,0,IF($F61=4,0,IF($F61=3,0,IF(OR(80&gt;$R61,DT61&lt;=$I61),DT61,DT61-MIN(INT(ROUND(IF($F61=1,$C61*$J61,IF(HS61&gt;0,HS61*$K61,DT61*$J61))*IF(80=$R61,$S61,12)/12,6)+$B$4),DT61-$I61)))))</f>
        <v/>
      </c>
      <c r="DV61" s="68">
        <f>IF($U61=0,0,IF($F61=4,0,IF($F61=3,0,IF(OR(81&gt;$R61,DU61&lt;=$I61),DU61,DU61-MIN(INT(ROUND(IF($F61=1,$C61*$J61,IF(HT61&gt;0,HT61*$K61,DU61*$J61))*IF(81=$R61,$S61,12)/12,6)+$B$4),DU61-$I61)))))</f>
        <v/>
      </c>
      <c r="DW61" s="68">
        <f>IF($U61=0,0,IF($F61=4,0,IF($F61=3,0,IF(OR(82&gt;$R61,DV61&lt;=$I61),DV61,DV61-MIN(INT(ROUND(IF($F61=1,$C61*$J61,IF(HU61&gt;0,HU61*$K61,DV61*$J61))*IF(82=$R61,$S61,12)/12,6)+$B$4),DV61-$I61)))))</f>
        <v/>
      </c>
      <c r="DX61" s="68">
        <f>IF($U61=0,0,IF($F61=4,0,IF($F61=3,0,IF(OR(83&gt;$R61,DW61&lt;=$I61),DW61,DW61-MIN(INT(ROUND(IF($F61=1,$C61*$J61,IF(HV61&gt;0,HV61*$K61,DW61*$J61))*IF(83=$R61,$S61,12)/12,6)+$B$4),DW61-$I61)))))</f>
        <v/>
      </c>
      <c r="DY61" s="68">
        <f>IF($U61=0,0,IF($F61=4,0,IF($F61=3,0,IF(OR(84&gt;$R61,DX61&lt;=$I61),DX61,DX61-MIN(INT(ROUND(IF($F61=1,$C61*$J61,IF(HW61&gt;0,HW61*$K61,DX61*$J61))*IF(84=$R61,$S61,12)/12,6)+$B$4),DX61-$I61)))))</f>
        <v/>
      </c>
      <c r="DZ61" s="68">
        <f>IF($U61=0,0,IF($F61=4,0,IF($F61=3,0,IF(OR(85&gt;$R61,DY61&lt;=$I61),DY61,DY61-MIN(INT(ROUND(IF($F61=1,$C61*$J61,IF(HX61&gt;0,HX61*$K61,DY61*$J61))*IF(85=$R61,$S61,12)/12,6)+$B$4),DY61-$I61)))))</f>
        <v/>
      </c>
      <c r="EA61" s="68">
        <f>IF($U61=0,0,IF($F61=4,0,IF($F61=3,0,IF(OR(86&gt;$R61,DZ61&lt;=$I61),DZ61,DZ61-MIN(INT(ROUND(IF($F61=1,$C61*$J61,IF(HY61&gt;0,HY61*$K61,DZ61*$J61))*IF(86=$R61,$S61,12)/12,6)+$B$4),DZ61-$I61)))))</f>
        <v/>
      </c>
      <c r="EB61" s="68">
        <f>IF($U61=0,0,IF($F61=4,0,IF($F61=3,0,IF(OR(87&gt;$R61,EA61&lt;=$I61),EA61,EA61-MIN(INT(ROUND(IF($F61=1,$C61*$J61,IF(HZ61&gt;0,HZ61*$K61,EA61*$J61))*IF(87=$R61,$S61,12)/12,6)+$B$4),EA61-$I61)))))</f>
        <v/>
      </c>
      <c r="EC61" s="68">
        <f>IF($U61=0,0,IF($F61=4,0,IF($F61=3,0,IF(OR(88&gt;$R61,EB61&lt;=$I61),EB61,EB61-MIN(INT(ROUND(IF($F61=1,$C61*$J61,IF(IA61&gt;0,IA61*$K61,EB61*$J61))*IF(88=$R61,$S61,12)/12,6)+$B$4),EB61-$I61)))))</f>
        <v/>
      </c>
      <c r="ED61" s="68">
        <f>IF($U61=0,0,IF($F61=4,0,IF($F61=3,0,IF(OR(89&gt;$R61,EC61&lt;=$I61),EC61,EC61-MIN(INT(ROUND(IF($F61=1,$C61*$J61,IF(IB61&gt;0,IB61*$K61,EC61*$J61))*IF(89=$R61,$S61,12)/12,6)+$B$4),EC61-$I61)))))</f>
        <v/>
      </c>
      <c r="EE61" s="68">
        <f>IF($U61=0,0,IF($F61=4,0,IF($F61=3,0,IF(OR(90&gt;$R61,ED61&lt;=$I61),ED61,ED61-MIN(INT(ROUND(IF($F61=1,$C61*$J61,IF(IC61&gt;0,IC61*$K61,ED61*$J61))*IF(90=$R61,$S61,12)/12,6)+$B$4),ED61-$I61)))))</f>
        <v/>
      </c>
      <c r="EF61" s="68">
        <f>IF($U61=0,0,IF($F61=4,0,IF($F61=3,0,IF(OR(91&gt;$R61,EE61&lt;=$I61),EE61,EE61-MIN(INT(ROUND(IF($F61=1,$C61*$J61,IF(ID61&gt;0,ID61*$K61,EE61*$J61))*IF(91=$R61,$S61,12)/12,6)+$B$4),EE61-$I61)))))</f>
        <v/>
      </c>
      <c r="EG61" s="68">
        <f>IF($U61=0,0,IF($F61=4,0,IF($F61=3,0,IF(OR(92&gt;$R61,EF61&lt;=$I61),EF61,EF61-MIN(INT(ROUND(IF($F61=1,$C61*$J61,IF(IE61&gt;0,IE61*$K61,EF61*$J61))*IF(92=$R61,$S61,12)/12,6)+$B$4),EF61-$I61)))))</f>
        <v/>
      </c>
      <c r="EH61" s="68">
        <f>IF($U61=0,0,IF($F61=4,0,IF($F61=3,0,IF(OR(93&gt;$R61,EG61&lt;=$I61),EG61,EG61-MIN(INT(ROUND(IF($F61=1,$C61*$J61,IF(IF61&gt;0,IF61*$K61,EG61*$J61))*IF(93=$R61,$S61,12)/12,6)+$B$4),EG61-$I61)))))</f>
        <v/>
      </c>
      <c r="EI61" s="68">
        <f>IF($U61=0,0,IF($F61=4,0,IF($F61=3,0,IF(OR(94&gt;$R61,EH61&lt;=$I61),EH61,EH61-MIN(INT(ROUND(IF($F61=1,$C61*$J61,IF(IG61&gt;0,IG61*$K61,EH61*$J61))*IF(94=$R61,$S61,12)/12,6)+$B$4),EH61-$I61)))))</f>
        <v/>
      </c>
      <c r="EJ61" s="68">
        <f>IF($U61=0,0,IF($F61=4,0,IF($F61=3,0,IF(OR(95&gt;$R61,EI61&lt;=$I61),EI61,EI61-MIN(INT(ROUND(IF($F61=1,$C61*$J61,IF(IH61&gt;0,IH61*$K61,EI61*$J61))*IF(95=$R61,$S61,12)/12,6)+$B$4),EI61-$I61)))))</f>
        <v/>
      </c>
      <c r="EK61" s="68">
        <f>IF($U61=0,0,IF($F61=4,0,IF($F61=3,0,IF(OR(96&gt;$R61,EJ61&lt;=$I61),EJ61,EJ61-MIN(INT(ROUND(IF($F61=1,$C61*$J61,IF(II61&gt;0,II61*$K61,EJ61*$J61))*IF(96=$R61,$S61,12)/12,6)+$B$4),EJ61-$I61)))))</f>
        <v/>
      </c>
      <c r="EL61" s="68">
        <f>IF($U61=0,0,IF($F61=4,0,IF($F61=3,0,IF(OR(97&gt;$R61,EK61&lt;=$I61),EK61,EK61-MIN(INT(ROUND(IF($F61=1,$C61*$J61,IF(IJ61&gt;0,IJ61*$K61,EK61*$J61))*IF(97=$R61,$S61,12)/12,6)+$B$4),EK61-$I61)))))</f>
        <v/>
      </c>
      <c r="EM61" s="68">
        <f>IF($U61=0,0,IF($F61=4,0,IF($F61=3,0,IF(OR(98&gt;$R61,EL61&lt;=$I61),EL61,EL61-MIN(INT(ROUND(IF($F61=1,$C61*$J61,IF(IK61&gt;0,IK61*$K61,EL61*$J61))*IF(98=$R61,$S61,12)/12,6)+$B$4),EL61-$I61)))))</f>
        <v/>
      </c>
      <c r="EN61" s="68">
        <f>IF($U61=0,0,IF($F61=4,0,IF($F61=3,0,IF(OR(99&gt;$R61,EM61&lt;=$I61),EM61,EM61-MIN(INT(ROUND(IF($F61=1,$C61*$J61,IF(IL61&gt;0,IL61*$K61,EM61*$J61))*IF(99=$R61,$S61,12)/12,6)+$B$4),EM61-$I61)))))</f>
        <v/>
      </c>
      <c r="EO61" s="68">
        <f>IF($U61=0,0,IF($F61=4,0,IF($F61=3,0,IF(OR(100&gt;$R61,EN61&lt;=$I61),EN61,EN61-MIN(INT(ROUND(IF($F61=1,$C61*$J61,IF(IM61&gt;0,IM61*$K61,EN61*$J61))*IF(100=$R61,$S61,12)/12,6)+$B$4),EN61-$I61)))))</f>
        <v/>
      </c>
      <c r="EP61" s="68">
        <f>IF($U61=0,0,IF($F61=4,0,IF($F61=3,0,IF(OR(101&gt;$R61,EO61&lt;=$I61),EO61,EO61-MIN(INT(ROUND(IF($F61=1,$C61*$J61,IF(IN61&gt;0,IN61*$K61,EO61*$J61))*IF(101=$R61,$S61,12)/12,6)+$B$4),EO61-$I61)))))</f>
        <v/>
      </c>
      <c r="EQ61" s="68" t="n"/>
      <c r="ER61" s="68">
        <f>IF(OR($U61=0,$F61&lt;&gt;2),0,IF(ROUND(AS61*$J61,6)&lt;ROUND($M61,6),AS61,0))</f>
        <v/>
      </c>
      <c r="ES61" s="68">
        <f>IF(OR($U61=0,$F61&lt;&gt;2),0,IF(ER61&gt;0,ER61,IF(ROUND(AT61*$J61,6)&lt;ROUND($M61,6),AT61,0)))</f>
        <v/>
      </c>
      <c r="ET61" s="68">
        <f>IF(OR($U61=0,$F61&lt;&gt;2),0,IF(ES61&gt;0,ES61,IF(ROUND(AU61*$J61,6)&lt;ROUND($M61,6),AU61,0)))</f>
        <v/>
      </c>
      <c r="EU61" s="68">
        <f>IF(OR($U61=0,$F61&lt;&gt;2),0,IF(ET61&gt;0,ET61,IF(ROUND(AV61*$J61,6)&lt;ROUND($M61,6),AV61,0)))</f>
        <v/>
      </c>
      <c r="EV61" s="68">
        <f>IF(OR($U61=0,$F61&lt;&gt;2),0,IF(EU61&gt;0,EU61,IF(ROUND(AW61*$J61,6)&lt;ROUND($M61,6),AW61,0)))</f>
        <v/>
      </c>
      <c r="EW61" s="68">
        <f>IF(OR($U61=0,$F61&lt;&gt;2),0,IF(EV61&gt;0,EV61,IF(ROUND(AX61*$J61,6)&lt;ROUND($M61,6),AX61,0)))</f>
        <v/>
      </c>
      <c r="EX61" s="68">
        <f>IF(OR($U61=0,$F61&lt;&gt;2),0,IF(EW61&gt;0,EW61,IF(ROUND(AY61*$J61,6)&lt;ROUND($M61,6),AY61,0)))</f>
        <v/>
      </c>
      <c r="EY61" s="68">
        <f>IF(OR($U61=0,$F61&lt;&gt;2),0,IF(EX61&gt;0,EX61,IF(ROUND(AZ61*$J61,6)&lt;ROUND($M61,6),AZ61,0)))</f>
        <v/>
      </c>
      <c r="EZ61" s="68">
        <f>IF(OR($U61=0,$F61&lt;&gt;2),0,IF(EY61&gt;0,EY61,IF(ROUND(BA61*$J61,6)&lt;ROUND($M61,6),BA61,0)))</f>
        <v/>
      </c>
      <c r="FA61" s="68">
        <f>IF(OR($U61=0,$F61&lt;&gt;2),0,IF(EZ61&gt;0,EZ61,IF(ROUND(BB61*$J61,6)&lt;ROUND($M61,6),BB61,0)))</f>
        <v/>
      </c>
      <c r="FB61" s="68">
        <f>IF(OR($U61=0,$F61&lt;&gt;2),0,IF(FA61&gt;0,FA61,IF(ROUND(BC61*$J61,6)&lt;ROUND($M61,6),BC61,0)))</f>
        <v/>
      </c>
      <c r="FC61" s="68">
        <f>IF(OR($U61=0,$F61&lt;&gt;2),0,IF(FB61&gt;0,FB61,IF(ROUND(BD61*$J61,6)&lt;ROUND($M61,6),BD61,0)))</f>
        <v/>
      </c>
      <c r="FD61" s="68">
        <f>IF(OR($U61=0,$F61&lt;&gt;2),0,IF(FC61&gt;0,FC61,IF(ROUND(BE61*$J61,6)&lt;ROUND($M61,6),BE61,0)))</f>
        <v/>
      </c>
      <c r="FE61" s="68">
        <f>IF(OR($U61=0,$F61&lt;&gt;2),0,IF(FD61&gt;0,FD61,IF(ROUND(BF61*$J61,6)&lt;ROUND($M61,6),BF61,0)))</f>
        <v/>
      </c>
      <c r="FF61" s="68">
        <f>IF(OR($U61=0,$F61&lt;&gt;2),0,IF(FE61&gt;0,FE61,IF(ROUND(BG61*$J61,6)&lt;ROUND($M61,6),BG61,0)))</f>
        <v/>
      </c>
      <c r="FG61" s="68">
        <f>IF(OR($U61=0,$F61&lt;&gt;2),0,IF(FF61&gt;0,FF61,IF(ROUND(BH61*$J61,6)&lt;ROUND($M61,6),BH61,0)))</f>
        <v/>
      </c>
      <c r="FH61" s="68">
        <f>IF(OR($U61=0,$F61&lt;&gt;2),0,IF(FG61&gt;0,FG61,IF(ROUND(BI61*$J61,6)&lt;ROUND($M61,6),BI61,0)))</f>
        <v/>
      </c>
      <c r="FI61" s="68">
        <f>IF(OR($U61=0,$F61&lt;&gt;2),0,IF(FH61&gt;0,FH61,IF(ROUND(BJ61*$J61,6)&lt;ROUND($M61,6),BJ61,0)))</f>
        <v/>
      </c>
      <c r="FJ61" s="68">
        <f>IF(OR($U61=0,$F61&lt;&gt;2),0,IF(FI61&gt;0,FI61,IF(ROUND(BK61*$J61,6)&lt;ROUND($M61,6),BK61,0)))</f>
        <v/>
      </c>
      <c r="FK61" s="68">
        <f>IF(OR($U61=0,$F61&lt;&gt;2),0,IF(FJ61&gt;0,FJ61,IF(ROUND(BL61*$J61,6)&lt;ROUND($M61,6),BL61,0)))</f>
        <v/>
      </c>
      <c r="FL61" s="68">
        <f>IF(OR($U61=0,$F61&lt;&gt;2),0,IF(FK61&gt;0,FK61,IF(ROUND(BM61*$J61,6)&lt;ROUND($M61,6),BM61,0)))</f>
        <v/>
      </c>
      <c r="FM61" s="68">
        <f>IF(OR($U61=0,$F61&lt;&gt;2),0,IF(FL61&gt;0,FL61,IF(ROUND(BN61*$J61,6)&lt;ROUND($M61,6),BN61,0)))</f>
        <v/>
      </c>
      <c r="FN61" s="68">
        <f>IF(OR($U61=0,$F61&lt;&gt;2),0,IF(FM61&gt;0,FM61,IF(ROUND(BO61*$J61,6)&lt;ROUND($M61,6),BO61,0)))</f>
        <v/>
      </c>
      <c r="FO61" s="68">
        <f>IF(OR($U61=0,$F61&lt;&gt;2),0,IF(FN61&gt;0,FN61,IF(ROUND(BP61*$J61,6)&lt;ROUND($M61,6),BP61,0)))</f>
        <v/>
      </c>
      <c r="FP61" s="68">
        <f>IF(OR($U61=0,$F61&lt;&gt;2),0,IF(FO61&gt;0,FO61,IF(ROUND(BQ61*$J61,6)&lt;ROUND($M61,6),BQ61,0)))</f>
        <v/>
      </c>
      <c r="FQ61" s="68">
        <f>IF(OR($U61=0,$F61&lt;&gt;2),0,IF(FP61&gt;0,FP61,IF(ROUND(BR61*$J61,6)&lt;ROUND($M61,6),BR61,0)))</f>
        <v/>
      </c>
      <c r="FR61" s="68">
        <f>IF(OR($U61=0,$F61&lt;&gt;2),0,IF(FQ61&gt;0,FQ61,IF(ROUND(BS61*$J61,6)&lt;ROUND($M61,6),BS61,0)))</f>
        <v/>
      </c>
      <c r="FS61" s="68">
        <f>IF(OR($U61=0,$F61&lt;&gt;2),0,IF(FR61&gt;0,FR61,IF(ROUND(BT61*$J61,6)&lt;ROUND($M61,6),BT61,0)))</f>
        <v/>
      </c>
      <c r="FT61" s="68">
        <f>IF(OR($U61=0,$F61&lt;&gt;2),0,IF(FS61&gt;0,FS61,IF(ROUND(BU61*$J61,6)&lt;ROUND($M61,6),BU61,0)))</f>
        <v/>
      </c>
      <c r="FU61" s="68">
        <f>IF(OR($U61=0,$F61&lt;&gt;2),0,IF(FT61&gt;0,FT61,IF(ROUND(BV61*$J61,6)&lt;ROUND($M61,6),BV61,0)))</f>
        <v/>
      </c>
      <c r="FV61" s="68">
        <f>IF(OR($U61=0,$F61&lt;&gt;2),0,IF(FU61&gt;0,FU61,IF(ROUND(BW61*$J61,6)&lt;ROUND($M61,6),BW61,0)))</f>
        <v/>
      </c>
      <c r="FW61" s="68">
        <f>IF(OR($U61=0,$F61&lt;&gt;2),0,IF(FV61&gt;0,FV61,IF(ROUND(BX61*$J61,6)&lt;ROUND($M61,6),BX61,0)))</f>
        <v/>
      </c>
      <c r="FX61" s="68">
        <f>IF(OR($U61=0,$F61&lt;&gt;2),0,IF(FW61&gt;0,FW61,IF(ROUND(BY61*$J61,6)&lt;ROUND($M61,6),BY61,0)))</f>
        <v/>
      </c>
      <c r="FY61" s="68">
        <f>IF(OR($U61=0,$F61&lt;&gt;2),0,IF(FX61&gt;0,FX61,IF(ROUND(BZ61*$J61,6)&lt;ROUND($M61,6),BZ61,0)))</f>
        <v/>
      </c>
      <c r="FZ61" s="68">
        <f>IF(OR($U61=0,$F61&lt;&gt;2),0,IF(FY61&gt;0,FY61,IF(ROUND(CA61*$J61,6)&lt;ROUND($M61,6),CA61,0)))</f>
        <v/>
      </c>
      <c r="GA61" s="68">
        <f>IF(OR($U61=0,$F61&lt;&gt;2),0,IF(FZ61&gt;0,FZ61,IF(ROUND(CB61*$J61,6)&lt;ROUND($M61,6),CB61,0)))</f>
        <v/>
      </c>
      <c r="GB61" s="68">
        <f>IF(OR($U61=0,$F61&lt;&gt;2),0,IF(GA61&gt;0,GA61,IF(ROUND(CC61*$J61,6)&lt;ROUND($M61,6),CC61,0)))</f>
        <v/>
      </c>
      <c r="GC61" s="68">
        <f>IF(OR($U61=0,$F61&lt;&gt;2),0,IF(GB61&gt;0,GB61,IF(ROUND(CD61*$J61,6)&lt;ROUND($M61,6),CD61,0)))</f>
        <v/>
      </c>
      <c r="GD61" s="68">
        <f>IF(OR($U61=0,$F61&lt;&gt;2),0,IF(GC61&gt;0,GC61,IF(ROUND(CE61*$J61,6)&lt;ROUND($M61,6),CE61,0)))</f>
        <v/>
      </c>
      <c r="GE61" s="68">
        <f>IF(OR($U61=0,$F61&lt;&gt;2),0,IF(GD61&gt;0,GD61,IF(ROUND(CF61*$J61,6)&lt;ROUND($M61,6),CF61,0)))</f>
        <v/>
      </c>
      <c r="GF61" s="68">
        <f>IF(OR($U61=0,$F61&lt;&gt;2),0,IF(GE61&gt;0,GE61,IF(ROUND(CG61*$J61,6)&lt;ROUND($M61,6),CG61,0)))</f>
        <v/>
      </c>
      <c r="GG61" s="68">
        <f>IF(OR($U61=0,$F61&lt;&gt;2),0,IF(GF61&gt;0,GF61,IF(ROUND(CH61*$J61,6)&lt;ROUND($M61,6),CH61,0)))</f>
        <v/>
      </c>
      <c r="GH61" s="68">
        <f>IF(OR($U61=0,$F61&lt;&gt;2),0,IF(GG61&gt;0,GG61,IF(ROUND(CI61*$J61,6)&lt;ROUND($M61,6),CI61,0)))</f>
        <v/>
      </c>
      <c r="GI61" s="68">
        <f>IF(OR($U61=0,$F61&lt;&gt;2),0,IF(GH61&gt;0,GH61,IF(ROUND(CJ61*$J61,6)&lt;ROUND($M61,6),CJ61,0)))</f>
        <v/>
      </c>
      <c r="GJ61" s="68">
        <f>IF(OR($U61=0,$F61&lt;&gt;2),0,IF(GI61&gt;0,GI61,IF(ROUND(CK61*$J61,6)&lt;ROUND($M61,6),CK61,0)))</f>
        <v/>
      </c>
      <c r="GK61" s="68">
        <f>IF(OR($U61=0,$F61&lt;&gt;2),0,IF(GJ61&gt;0,GJ61,IF(ROUND(CL61*$J61,6)&lt;ROUND($M61,6),CL61,0)))</f>
        <v/>
      </c>
      <c r="GL61" s="68">
        <f>IF(OR($U61=0,$F61&lt;&gt;2),0,IF(GK61&gt;0,GK61,IF(ROUND(CM61*$J61,6)&lt;ROUND($M61,6),CM61,0)))</f>
        <v/>
      </c>
      <c r="GM61" s="68">
        <f>IF(OR($U61=0,$F61&lt;&gt;2),0,IF(GL61&gt;0,GL61,IF(ROUND(CN61*$J61,6)&lt;ROUND($M61,6),CN61,0)))</f>
        <v/>
      </c>
      <c r="GN61" s="68">
        <f>IF(OR($U61=0,$F61&lt;&gt;2),0,IF(GM61&gt;0,GM61,IF(ROUND(CO61*$J61,6)&lt;ROUND($M61,6),CO61,0)))</f>
        <v/>
      </c>
      <c r="GO61" s="68">
        <f>IF(OR($U61=0,$F61&lt;&gt;2),0,IF(GN61&gt;0,GN61,IF(ROUND(CP61*$J61,6)&lt;ROUND($M61,6),CP61,0)))</f>
        <v/>
      </c>
      <c r="GP61" s="68">
        <f>IF(OR($U61=0,$F61&lt;&gt;2),0,IF(GO61&gt;0,GO61,IF(ROUND(CQ61*$J61,6)&lt;ROUND($M61,6),CQ61,0)))</f>
        <v/>
      </c>
      <c r="GQ61" s="68">
        <f>IF(OR($U61=0,$F61&lt;&gt;2),0,IF(GP61&gt;0,GP61,IF(ROUND(CR61*$J61,6)&lt;ROUND($M61,6),CR61,0)))</f>
        <v/>
      </c>
      <c r="GR61" s="68">
        <f>IF(OR($U61=0,$F61&lt;&gt;2),0,IF(GQ61&gt;0,GQ61,IF(ROUND(CS61*$J61,6)&lt;ROUND($M61,6),CS61,0)))</f>
        <v/>
      </c>
      <c r="GS61" s="68">
        <f>IF(OR($U61=0,$F61&lt;&gt;2),0,IF(GR61&gt;0,GR61,IF(ROUND(CT61*$J61,6)&lt;ROUND($M61,6),CT61,0)))</f>
        <v/>
      </c>
      <c r="GT61" s="68">
        <f>IF(OR($U61=0,$F61&lt;&gt;2),0,IF(GS61&gt;0,GS61,IF(ROUND(CU61*$J61,6)&lt;ROUND($M61,6),CU61,0)))</f>
        <v/>
      </c>
      <c r="GU61" s="68">
        <f>IF(OR($U61=0,$F61&lt;&gt;2),0,IF(GT61&gt;0,GT61,IF(ROUND(CV61*$J61,6)&lt;ROUND($M61,6),CV61,0)))</f>
        <v/>
      </c>
      <c r="GV61" s="68">
        <f>IF(OR($U61=0,$F61&lt;&gt;2),0,IF(GU61&gt;0,GU61,IF(ROUND(CW61*$J61,6)&lt;ROUND($M61,6),CW61,0)))</f>
        <v/>
      </c>
      <c r="GW61" s="68">
        <f>IF(OR($U61=0,$F61&lt;&gt;2),0,IF(GV61&gt;0,GV61,IF(ROUND(CX61*$J61,6)&lt;ROUND($M61,6),CX61,0)))</f>
        <v/>
      </c>
      <c r="GX61" s="68">
        <f>IF(OR($U61=0,$F61&lt;&gt;2),0,IF(GW61&gt;0,GW61,IF(ROUND(CY61*$J61,6)&lt;ROUND($M61,6),CY61,0)))</f>
        <v/>
      </c>
      <c r="GY61" s="68">
        <f>IF(OR($U61=0,$F61&lt;&gt;2),0,IF(GX61&gt;0,GX61,IF(ROUND(CZ61*$J61,6)&lt;ROUND($M61,6),CZ61,0)))</f>
        <v/>
      </c>
      <c r="GZ61" s="68">
        <f>IF(OR($U61=0,$F61&lt;&gt;2),0,IF(GY61&gt;0,GY61,IF(ROUND(DA61*$J61,6)&lt;ROUND($M61,6),DA61,0)))</f>
        <v/>
      </c>
      <c r="HA61" s="68">
        <f>IF(OR($U61=0,$F61&lt;&gt;2),0,IF(GZ61&gt;0,GZ61,IF(ROUND(DB61*$J61,6)&lt;ROUND($M61,6),DB61,0)))</f>
        <v/>
      </c>
      <c r="HB61" s="68">
        <f>IF(OR($U61=0,$F61&lt;&gt;2),0,IF(HA61&gt;0,HA61,IF(ROUND(DC61*$J61,6)&lt;ROUND($M61,6),DC61,0)))</f>
        <v/>
      </c>
      <c r="HC61" s="68">
        <f>IF(OR($U61=0,$F61&lt;&gt;2),0,IF(HB61&gt;0,HB61,IF(ROUND(DD61*$J61,6)&lt;ROUND($M61,6),DD61,0)))</f>
        <v/>
      </c>
      <c r="HD61" s="68">
        <f>IF(OR($U61=0,$F61&lt;&gt;2),0,IF(HC61&gt;0,HC61,IF(ROUND(DE61*$J61,6)&lt;ROUND($M61,6),DE61,0)))</f>
        <v/>
      </c>
      <c r="HE61" s="68">
        <f>IF(OR($U61=0,$F61&lt;&gt;2),0,IF(HD61&gt;0,HD61,IF(ROUND(DF61*$J61,6)&lt;ROUND($M61,6),DF61,0)))</f>
        <v/>
      </c>
      <c r="HF61" s="68">
        <f>IF(OR($U61=0,$F61&lt;&gt;2),0,IF(HE61&gt;0,HE61,IF(ROUND(DG61*$J61,6)&lt;ROUND($M61,6),DG61,0)))</f>
        <v/>
      </c>
      <c r="HG61" s="68">
        <f>IF(OR($U61=0,$F61&lt;&gt;2),0,IF(HF61&gt;0,HF61,IF(ROUND(DH61*$J61,6)&lt;ROUND($M61,6),DH61,0)))</f>
        <v/>
      </c>
      <c r="HH61" s="68">
        <f>IF(OR($U61=0,$F61&lt;&gt;2),0,IF(HG61&gt;0,HG61,IF(ROUND(DI61*$J61,6)&lt;ROUND($M61,6),DI61,0)))</f>
        <v/>
      </c>
      <c r="HI61" s="68">
        <f>IF(OR($U61=0,$F61&lt;&gt;2),0,IF(HH61&gt;0,HH61,IF(ROUND(DJ61*$J61,6)&lt;ROUND($M61,6),DJ61,0)))</f>
        <v/>
      </c>
      <c r="HJ61" s="68">
        <f>IF(OR($U61=0,$F61&lt;&gt;2),0,IF(HI61&gt;0,HI61,IF(ROUND(DK61*$J61,6)&lt;ROUND($M61,6),DK61,0)))</f>
        <v/>
      </c>
      <c r="HK61" s="68">
        <f>IF(OR($U61=0,$F61&lt;&gt;2),0,IF(HJ61&gt;0,HJ61,IF(ROUND(DL61*$J61,6)&lt;ROUND($M61,6),DL61,0)))</f>
        <v/>
      </c>
      <c r="HL61" s="68">
        <f>IF(OR($U61=0,$F61&lt;&gt;2),0,IF(HK61&gt;0,HK61,IF(ROUND(DM61*$J61,6)&lt;ROUND($M61,6),DM61,0)))</f>
        <v/>
      </c>
      <c r="HM61" s="68">
        <f>IF(OR($U61=0,$F61&lt;&gt;2),0,IF(HL61&gt;0,HL61,IF(ROUND(DN61*$J61,6)&lt;ROUND($M61,6),DN61,0)))</f>
        <v/>
      </c>
      <c r="HN61" s="68">
        <f>IF(OR($U61=0,$F61&lt;&gt;2),0,IF(HM61&gt;0,HM61,IF(ROUND(DO61*$J61,6)&lt;ROUND($M61,6),DO61,0)))</f>
        <v/>
      </c>
      <c r="HO61" s="68">
        <f>IF(OR($U61=0,$F61&lt;&gt;2),0,IF(HN61&gt;0,HN61,IF(ROUND(DP61*$J61,6)&lt;ROUND($M61,6),DP61,0)))</f>
        <v/>
      </c>
      <c r="HP61" s="68">
        <f>IF(OR($U61=0,$F61&lt;&gt;2),0,IF(HO61&gt;0,HO61,IF(ROUND(DQ61*$J61,6)&lt;ROUND($M61,6),DQ61,0)))</f>
        <v/>
      </c>
      <c r="HQ61" s="68">
        <f>IF(OR($U61=0,$F61&lt;&gt;2),0,IF(HP61&gt;0,HP61,IF(ROUND(DR61*$J61,6)&lt;ROUND($M61,6),DR61,0)))</f>
        <v/>
      </c>
      <c r="HR61" s="68">
        <f>IF(OR($U61=0,$F61&lt;&gt;2),0,IF(HQ61&gt;0,HQ61,IF(ROUND(DS61*$J61,6)&lt;ROUND($M61,6),DS61,0)))</f>
        <v/>
      </c>
      <c r="HS61" s="68">
        <f>IF(OR($U61=0,$F61&lt;&gt;2),0,IF(HR61&gt;0,HR61,IF(ROUND(DT61*$J61,6)&lt;ROUND($M61,6),DT61,0)))</f>
        <v/>
      </c>
      <c r="HT61" s="68">
        <f>IF(OR($U61=0,$F61&lt;&gt;2),0,IF(HS61&gt;0,HS61,IF(ROUND(DU61*$J61,6)&lt;ROUND($M61,6),DU61,0)))</f>
        <v/>
      </c>
      <c r="HU61" s="68">
        <f>IF(OR($U61=0,$F61&lt;&gt;2),0,IF(HT61&gt;0,HT61,IF(ROUND(DV61*$J61,6)&lt;ROUND($M61,6),DV61,0)))</f>
        <v/>
      </c>
      <c r="HV61" s="68">
        <f>IF(OR($U61=0,$F61&lt;&gt;2),0,IF(HU61&gt;0,HU61,IF(ROUND(DW61*$J61,6)&lt;ROUND($M61,6),DW61,0)))</f>
        <v/>
      </c>
      <c r="HW61" s="68">
        <f>IF(OR($U61=0,$F61&lt;&gt;2),0,IF(HV61&gt;0,HV61,IF(ROUND(DX61*$J61,6)&lt;ROUND($M61,6),DX61,0)))</f>
        <v/>
      </c>
      <c r="HX61" s="68">
        <f>IF(OR($U61=0,$F61&lt;&gt;2),0,IF(HW61&gt;0,HW61,IF(ROUND(DY61*$J61,6)&lt;ROUND($M61,6),DY61,0)))</f>
        <v/>
      </c>
      <c r="HY61" s="68">
        <f>IF(OR($U61=0,$F61&lt;&gt;2),0,IF(HX61&gt;0,HX61,IF(ROUND(DZ61*$J61,6)&lt;ROUND($M61,6),DZ61,0)))</f>
        <v/>
      </c>
      <c r="HZ61" s="68">
        <f>IF(OR($U61=0,$F61&lt;&gt;2),0,IF(HY61&gt;0,HY61,IF(ROUND(EA61*$J61,6)&lt;ROUND($M61,6),EA61,0)))</f>
        <v/>
      </c>
      <c r="IA61" s="68">
        <f>IF(OR($U61=0,$F61&lt;&gt;2),0,IF(HZ61&gt;0,HZ61,IF(ROUND(EB61*$J61,6)&lt;ROUND($M61,6),EB61,0)))</f>
        <v/>
      </c>
      <c r="IB61" s="68">
        <f>IF(OR($U61=0,$F61&lt;&gt;2),0,IF(IA61&gt;0,IA61,IF(ROUND(EC61*$J61,6)&lt;ROUND($M61,6),EC61,0)))</f>
        <v/>
      </c>
      <c r="IC61" s="68">
        <f>IF(OR($U61=0,$F61&lt;&gt;2),0,IF(IB61&gt;0,IB61,IF(ROUND(ED61*$J61,6)&lt;ROUND($M61,6),ED61,0)))</f>
        <v/>
      </c>
      <c r="ID61" s="68">
        <f>IF(OR($U61=0,$F61&lt;&gt;2),0,IF(IC61&gt;0,IC61,IF(ROUND(EE61*$J61,6)&lt;ROUND($M61,6),EE61,0)))</f>
        <v/>
      </c>
      <c r="IE61" s="68">
        <f>IF(OR($U61=0,$F61&lt;&gt;2),0,IF(ID61&gt;0,ID61,IF(ROUND(EF61*$J61,6)&lt;ROUND($M61,6),EF61,0)))</f>
        <v/>
      </c>
      <c r="IF61" s="68">
        <f>IF(OR($U61=0,$F61&lt;&gt;2),0,IF(IE61&gt;0,IE61,IF(ROUND(EG61*$J61,6)&lt;ROUND($M61,6),EG61,0)))</f>
        <v/>
      </c>
      <c r="IG61" s="68">
        <f>IF(OR($U61=0,$F61&lt;&gt;2),0,IF(IF61&gt;0,IF61,IF(ROUND(EH61*$J61,6)&lt;ROUND($M61,6),EH61,0)))</f>
        <v/>
      </c>
      <c r="IH61" s="68">
        <f>IF(OR($U61=0,$F61&lt;&gt;2),0,IF(IG61&gt;0,IG61,IF(ROUND(EI61*$J61,6)&lt;ROUND($M61,6),EI61,0)))</f>
        <v/>
      </c>
      <c r="II61" s="68">
        <f>IF(OR($U61=0,$F61&lt;&gt;2),0,IF(IH61&gt;0,IH61,IF(ROUND(EJ61*$J61,6)&lt;ROUND($M61,6),EJ61,0)))</f>
        <v/>
      </c>
      <c r="IJ61" s="68">
        <f>IF(OR($U61=0,$F61&lt;&gt;2),0,IF(II61&gt;0,II61,IF(ROUND(EK61*$J61,6)&lt;ROUND($M61,6),EK61,0)))</f>
        <v/>
      </c>
      <c r="IK61" s="68">
        <f>IF(OR($U61=0,$F61&lt;&gt;2),0,IF(IJ61&gt;0,IJ61,IF(ROUND(EL61*$J61,6)&lt;ROUND($M61,6),EL61,0)))</f>
        <v/>
      </c>
      <c r="IL61" s="68">
        <f>IF(OR($U61=0,$F61&lt;&gt;2),0,IF(IK61&gt;0,IK61,IF(ROUND(EM61*$J61,6)&lt;ROUND($M61,6),EM61,0)))</f>
        <v/>
      </c>
      <c r="IM61" s="68">
        <f>IF(OR($U61=0,$F61&lt;&gt;2),0,IF(IL61&gt;0,IL61,IF(ROUND(EN61*$J61,6)&lt;ROUND($M61,6),EN61,0)))</f>
        <v/>
      </c>
      <c r="IN61" s="68">
        <f>IF(OR($U61=0,$F61&lt;&gt;2),0,IF(IM61&gt;0,IM61,IF(ROUND(EO61*$J61,6)&lt;ROUND($M61,6),EO61,0)))</f>
        <v/>
      </c>
    </row>
    <row r="62">
      <c r="A62" s="68" t="n">
        <v>57</v>
      </c>
      <c r="B62" s="68">
        <f>IF(OR(TRIM('固定資産台帳'!$B62)&lt;&gt;"",'固定資産台帳'!$E62&lt;&gt;"",'固定資産台帳'!$G62&lt;&gt;"",'固定資産台帳'!$H62&lt;&gt;""),1,0)</f>
        <v/>
      </c>
      <c r="C62" s="68">
        <f>IF(ISNUMBER('固定資産台帳'!$G62),MAX(ROUND('固定資産台帳'!$G62,0),0),0)</f>
        <v/>
      </c>
      <c r="D62" s="84">
        <f>IF(ISNUMBER('固定資産台帳'!$E62),INT('固定資産台帳'!$E62),0)</f>
        <v/>
      </c>
      <c r="E62" s="84">
        <f>IF(ISNUMBER('固定資産台帳'!$F62),INT('固定資産台帳'!$F62),$D62)</f>
        <v/>
      </c>
      <c r="F62" s="68">
        <f>IF('固定資産台帳'!$H62="定額法",1,IF(OR('固定資産台帳'!$H62="定率法",'固定資産台帳'!$H62="定率法（200%）",'固定資産台帳'!$H62="定率法（250%）"),2,IF('固定資産台帳'!$H62="一括償却（3年）",3,IF('固定資産台帳'!$H62="少額特例",4,0))))</f>
        <v/>
      </c>
      <c r="G62" s="68">
        <f>IF('固定資産台帳'!$H62="定率法（250%）",250,IF('固定資産台帳'!$H62="定率法（200%）",200,IF($D62&gt;=DATE(2012,4,1),200,250)))</f>
        <v/>
      </c>
      <c r="H62" s="68">
        <f>IF(ISNUMBER('固定資産台帳'!$I62),IF(AND('固定資産台帳'!$I62&gt;=2,'固定資産台帳'!$I62&lt;=100,'固定資産台帳'!$I62=INT('固定資産台帳'!$I62)),'固定資産台帳'!$I62,0),0)</f>
        <v/>
      </c>
      <c r="I62" s="68">
        <f>IF('固定資産台帳'!$C62="無形固定資産",0,1)</f>
        <v/>
      </c>
      <c r="J62" s="68">
        <f>IF(OR($H62=0,$F62=0,$F62&gt;2),0,IF($F62=1,INDEX('償却率表'!$B$6:$B$104,$H62-1),IF($G62=200,INDEX('償却率表'!$C$6:$C$104,$H62-1),INDEX('償却率表'!$F$6:$F$104,$H62-1))))</f>
        <v/>
      </c>
      <c r="K62" s="68">
        <f>IF(AND($F62=2,$H62&gt;0),IF($G62=200,INDEX('償却率表'!$D$6:$D$104,$H62-1),INDEX('償却率表'!$G$6:$G$104,$H62-1)),0)</f>
        <v/>
      </c>
      <c r="L62" s="68">
        <f>IF(AND($F62=2,$H62&gt;0),IF($G62=200,INDEX('償却率表'!$E$6:$E$104,$H62-1),INDEX('償却率表'!$H$6:$H$104,$H62-1)),0)</f>
        <v/>
      </c>
      <c r="M62" s="68">
        <f>$C62*$L62</f>
        <v/>
      </c>
      <c r="N62" s="68">
        <f>IF($B$1=1,1,IF('固定資産台帳'!$J62="",1,IF(ISNUMBER('固定資産台帳'!$J62),IF(AND('固定資産台帳'!$J62&gt;0,'固定資産台帳'!$J62&lt;=1),'固定資産台帳'!$J62,0),0)))</f>
        <v/>
      </c>
      <c r="O62" s="68">
        <f>IF($E62=0,0,YEAR($E62)-IF(MONTH($E62)&lt;$B$2,1,0))</f>
        <v/>
      </c>
      <c r="P62" s="68">
        <f>IF($E62=0,0,12-MOD(MONTH($E62)-$B$2,12))</f>
        <v/>
      </c>
      <c r="Q62" s="84">
        <f>IF(ISNUMBER('固定資産台帳'!$K62),INT('固定資産台帳'!$K62),0)</f>
        <v/>
      </c>
      <c r="R62" s="68">
        <f>IF(OR($Q62=0,$E62=0),999,YEAR($Q62)-IF(MONTH($Q62)&lt;$B$2,1,0)-$O62)</f>
        <v/>
      </c>
      <c r="S62" s="68">
        <f>IF($R62=999,0,MOD(MONTH($Q62)-$B$2,12)+1-IF($R62=0,12-$P62,0))</f>
        <v/>
      </c>
      <c r="T62" s="68">
        <f>IF($B62=0,0,IF($C62&lt;=0,1,IF($D62=0,2,IF($F62=0,3,IF(AND($F62&lt;=2,$H62=0),4,IF(AND($F62&lt;=2,$D62&lt;DATE(2007,4,1)),5,IF($E62&lt;$D62,6,IF(AND($Q62&gt;0,$Q62&lt;$E62),7,IF($N62=0,8,IF($B$3=0,9,0))))))))))</f>
        <v/>
      </c>
      <c r="U62" s="68">
        <f>IF(AND($B62=1,$T62=0),1,0)</f>
        <v/>
      </c>
      <c r="V62" s="68">
        <f>$B$3-$O62</f>
        <v/>
      </c>
      <c r="W62" s="68">
        <f>IF(AND($U62=1,$V62&gt;=0),1,0)</f>
        <v/>
      </c>
      <c r="X62" s="68">
        <f>IF($W62=0,0,IF($V62=0,$C62,INDEX($AS62:$EP62,MIN($V62,102))))</f>
        <v/>
      </c>
      <c r="Y62" s="68">
        <f>IF($W62=0,0,INDEX($AS62:$EP62,MIN($V62,101)+1))</f>
        <v/>
      </c>
      <c r="Z62" s="68">
        <f>$X62-$Y62</f>
        <v/>
      </c>
      <c r="AA62" s="68">
        <f>IF(AND($W62=1,$F62=2,$V62&gt;=1),INDEX($ER62:$IN62,MIN($V62,101)),0)</f>
        <v/>
      </c>
      <c r="AB62" s="68">
        <f>IF(OR($W62=0,$F62&gt;2,$Z62=0),0,IF($V62=0,IF($R62=0,$S62,$P62),IF($V62=$R62,$S62,12)))</f>
        <v/>
      </c>
      <c r="AC62" s="68">
        <f>IF($W62=0,0,INT(ROUND($Z62*$N62,6)+$B$4))</f>
        <v/>
      </c>
      <c r="AD62" s="68">
        <f>IF(AND($W62=1,$F62&lt;=2,$V62=$R62),1,0)</f>
        <v/>
      </c>
      <c r="AE62" s="68">
        <f>IF(AND($W62=1,$F62&lt;=2,$V62&gt;$R62),1,0)</f>
        <v/>
      </c>
      <c r="AF62" s="68">
        <f>IF(AND($W62=1,$AE62=0,OR($Z62&gt;0,$AD62=1)),1,0)</f>
        <v/>
      </c>
      <c r="AG62" s="68">
        <f>IF($AF62=1,SUM($AF$6:$AF62),0)</f>
        <v/>
      </c>
      <c r="AH62" s="68">
        <f>IF($T62=0,"",CHOOSE($T62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62" s="68">
        <f>IF(AND($F62=2,OR('固定資産台帳'!$C62="建物",'固定資産台帳'!$C62="無形固定資産",AND(OR('固定資産台帳'!$C62="建物附属設備",'固定資産台帳'!$C62="構築物"),$D62&gt;=DATE(2016,4,1)))),"この資産は定額法だけです（定率法は使えません）。","")&amp;IF(AND($F62=3,$C62&gt;=200000),"一括償却は20万円未満の資産だけです。","")&amp;IF(AND($F62=3,$B$1=0,$C62&lt;100000),"10万円未満は一括償却にせず、全額をその年の経費にします。","")&amp;IF(AND($F62=4,$C62&lt;100000),"10万円未満は少額特例ではなく、全額をその年の経費にします。","")&amp;IF(AND($F62=4,$D62&lt;DATE(2026,4,1),$C62&gt;=300000),"2026年3月31日までの取得で少額特例が使えるのは30万円未満です。","")&amp;IF(AND($F62=4,$D62&gt;=DATE(2026,4,1),$C62&gt;=400000),"少額特例は40万円未満の資産だけです。","")&amp;IF(AND($F62=4,OR($D62&lt;DATE(2006,4,1),$D62&gt;DATE(2029,3,31))),"少額特例は2006年4月1日〜2029年3月31日に取得した資産だけです。","")&amp;IF(AND($F62=2,$G62=250,$D62&gt;DATE(2012,12,31)),"250%定率法は2012年12月31日までの取得だけです。","")</f>
        <v/>
      </c>
      <c r="AJ62" s="68">
        <f>IF(AND($F62=2,'固定資産台帳'!$H62="定率法（200%）",$D62&lt;DATE(2012,4,1)),"2012年3月31日までの取得に200%を使うのは、経過措置の届出をした場合です。","")&amp;IF(AND($F62=2,'固定資産台帳'!$H62="定率法（250%）",$D62&gt;=DATE(2012,4,1),$D62&lt;=DATE(2012,12,31)),"2012年4〜12月の取得に250%を使うのは、経過措置を選んだ場合です。","")</f>
        <v/>
      </c>
      <c r="AK62" s="68">
        <f>IF($U62=0,"",IF($V62&lt;0,"表示している年より後に使い始める資産です。",IF($AE62=1,"売却・除却済みです。",IF($AD62=1,"この年に売却・除却。期末の帳簿価額 "&amp;TEXT($Y62,"#,##0")&amp;"円を帳簿から外します。",IF($F62=4,IF($V62=0,"少額特例：この年に全額を経費にします。","少額特例で経費にした資産です。"),IF($F62=3,IF($V62&gt;2,"一括償却は終わっています。","一括償却 "&amp;($V62+1)&amp;"年目（3年のうち）。"),IF($Z62=0,"償却済み（帳簿価額 "&amp;TEXT($Y62,"#,##0")&amp;"円）。",IF($AA62&gt;0,"改定償却率で計算（改定取得価額 "&amp;TEXT($AA62,"#,##0")&amp;"円）。",IF($V62=0,"この年に使い始め（"&amp;$AB62&amp;"か月分）。","")))))))))</f>
        <v/>
      </c>
      <c r="AL62" s="68">
        <f>IF(AND($U62=1,$F62=4,$V62=0),$C62,0)</f>
        <v/>
      </c>
      <c r="AM62" s="68">
        <f>IF($F62=2,INT(ROUND($M62,6)+$B$4),0)</f>
        <v/>
      </c>
      <c r="AN62" s="68">
        <f>IF($W62=0,0,IF($F62=2,IF($AA62&gt;0,$AA62,$X62),$C62))</f>
        <v/>
      </c>
      <c r="AO62" s="68">
        <f>IF($W62=0,"",IF($F62=3,"1/3",IF($F62=4,"―",IF($AA62&gt;0,$K62,$J62))))</f>
        <v/>
      </c>
      <c r="AP62" s="68" t="n"/>
      <c r="AQ62" s="68" t="n"/>
      <c r="AR62" s="68" t="n"/>
      <c r="AS62" s="68">
        <f>IF($U62=0,0,IF($F62=4,0,IF($F62=3,MAX($C62-INT(ROUND($C62/3,6)+$B$4),0),$C62-MIN(INT(ROUND($C62*$J62*IF($R62=0,$S62,$P62)/12,6)+$B$4),MAX($C62-$I62,0)))))</f>
        <v/>
      </c>
      <c r="AT62" s="68">
        <f>IF($U62=0,0,IF($F62=4,0,IF($F62=3,AS62-MIN(INT(ROUND($C62/3,6)+$B$4),AS62),IF(OR(1&gt;$R62,AS62&lt;=$I62),AS62,AS62-MIN(INT(ROUND(IF($F62=1,$C62*$J62,IF(ER62&gt;0,ER62*$K62,AS62*$J62))*IF(1=$R62,$S62,12)/12,6)+$B$4),AS62-$I62)))))</f>
        <v/>
      </c>
      <c r="AU62" s="68">
        <f>IF($U62=0,0,IF($F62=4,0,IF($F62=3,0,IF(OR(2&gt;$R62,AT62&lt;=$I62),AT62,AT62-MIN(INT(ROUND(IF($F62=1,$C62*$J62,IF(ES62&gt;0,ES62*$K62,AT62*$J62))*IF(2=$R62,$S62,12)/12,6)+$B$4),AT62-$I62)))))</f>
        <v/>
      </c>
      <c r="AV62" s="68">
        <f>IF($U62=0,0,IF($F62=4,0,IF($F62=3,0,IF(OR(3&gt;$R62,AU62&lt;=$I62),AU62,AU62-MIN(INT(ROUND(IF($F62=1,$C62*$J62,IF(ET62&gt;0,ET62*$K62,AU62*$J62))*IF(3=$R62,$S62,12)/12,6)+$B$4),AU62-$I62)))))</f>
        <v/>
      </c>
      <c r="AW62" s="68">
        <f>IF($U62=0,0,IF($F62=4,0,IF($F62=3,0,IF(OR(4&gt;$R62,AV62&lt;=$I62),AV62,AV62-MIN(INT(ROUND(IF($F62=1,$C62*$J62,IF(EU62&gt;0,EU62*$K62,AV62*$J62))*IF(4=$R62,$S62,12)/12,6)+$B$4),AV62-$I62)))))</f>
        <v/>
      </c>
      <c r="AX62" s="68">
        <f>IF($U62=0,0,IF($F62=4,0,IF($F62=3,0,IF(OR(5&gt;$R62,AW62&lt;=$I62),AW62,AW62-MIN(INT(ROUND(IF($F62=1,$C62*$J62,IF(EV62&gt;0,EV62*$K62,AW62*$J62))*IF(5=$R62,$S62,12)/12,6)+$B$4),AW62-$I62)))))</f>
        <v/>
      </c>
      <c r="AY62" s="68">
        <f>IF($U62=0,0,IF($F62=4,0,IF($F62=3,0,IF(OR(6&gt;$R62,AX62&lt;=$I62),AX62,AX62-MIN(INT(ROUND(IF($F62=1,$C62*$J62,IF(EW62&gt;0,EW62*$K62,AX62*$J62))*IF(6=$R62,$S62,12)/12,6)+$B$4),AX62-$I62)))))</f>
        <v/>
      </c>
      <c r="AZ62" s="68">
        <f>IF($U62=0,0,IF($F62=4,0,IF($F62=3,0,IF(OR(7&gt;$R62,AY62&lt;=$I62),AY62,AY62-MIN(INT(ROUND(IF($F62=1,$C62*$J62,IF(EX62&gt;0,EX62*$K62,AY62*$J62))*IF(7=$R62,$S62,12)/12,6)+$B$4),AY62-$I62)))))</f>
        <v/>
      </c>
      <c r="BA62" s="68">
        <f>IF($U62=0,0,IF($F62=4,0,IF($F62=3,0,IF(OR(8&gt;$R62,AZ62&lt;=$I62),AZ62,AZ62-MIN(INT(ROUND(IF($F62=1,$C62*$J62,IF(EY62&gt;0,EY62*$K62,AZ62*$J62))*IF(8=$R62,$S62,12)/12,6)+$B$4),AZ62-$I62)))))</f>
        <v/>
      </c>
      <c r="BB62" s="68">
        <f>IF($U62=0,0,IF($F62=4,0,IF($F62=3,0,IF(OR(9&gt;$R62,BA62&lt;=$I62),BA62,BA62-MIN(INT(ROUND(IF($F62=1,$C62*$J62,IF(EZ62&gt;0,EZ62*$K62,BA62*$J62))*IF(9=$R62,$S62,12)/12,6)+$B$4),BA62-$I62)))))</f>
        <v/>
      </c>
      <c r="BC62" s="68">
        <f>IF($U62=0,0,IF($F62=4,0,IF($F62=3,0,IF(OR(10&gt;$R62,BB62&lt;=$I62),BB62,BB62-MIN(INT(ROUND(IF($F62=1,$C62*$J62,IF(FA62&gt;0,FA62*$K62,BB62*$J62))*IF(10=$R62,$S62,12)/12,6)+$B$4),BB62-$I62)))))</f>
        <v/>
      </c>
      <c r="BD62" s="68">
        <f>IF($U62=0,0,IF($F62=4,0,IF($F62=3,0,IF(OR(11&gt;$R62,BC62&lt;=$I62),BC62,BC62-MIN(INT(ROUND(IF($F62=1,$C62*$J62,IF(FB62&gt;0,FB62*$K62,BC62*$J62))*IF(11=$R62,$S62,12)/12,6)+$B$4),BC62-$I62)))))</f>
        <v/>
      </c>
      <c r="BE62" s="68">
        <f>IF($U62=0,0,IF($F62=4,0,IF($F62=3,0,IF(OR(12&gt;$R62,BD62&lt;=$I62),BD62,BD62-MIN(INT(ROUND(IF($F62=1,$C62*$J62,IF(FC62&gt;0,FC62*$K62,BD62*$J62))*IF(12=$R62,$S62,12)/12,6)+$B$4),BD62-$I62)))))</f>
        <v/>
      </c>
      <c r="BF62" s="68">
        <f>IF($U62=0,0,IF($F62=4,0,IF($F62=3,0,IF(OR(13&gt;$R62,BE62&lt;=$I62),BE62,BE62-MIN(INT(ROUND(IF($F62=1,$C62*$J62,IF(FD62&gt;0,FD62*$K62,BE62*$J62))*IF(13=$R62,$S62,12)/12,6)+$B$4),BE62-$I62)))))</f>
        <v/>
      </c>
      <c r="BG62" s="68">
        <f>IF($U62=0,0,IF($F62=4,0,IF($F62=3,0,IF(OR(14&gt;$R62,BF62&lt;=$I62),BF62,BF62-MIN(INT(ROUND(IF($F62=1,$C62*$J62,IF(FE62&gt;0,FE62*$K62,BF62*$J62))*IF(14=$R62,$S62,12)/12,6)+$B$4),BF62-$I62)))))</f>
        <v/>
      </c>
      <c r="BH62" s="68">
        <f>IF($U62=0,0,IF($F62=4,0,IF($F62=3,0,IF(OR(15&gt;$R62,BG62&lt;=$I62),BG62,BG62-MIN(INT(ROUND(IF($F62=1,$C62*$J62,IF(FF62&gt;0,FF62*$K62,BG62*$J62))*IF(15=$R62,$S62,12)/12,6)+$B$4),BG62-$I62)))))</f>
        <v/>
      </c>
      <c r="BI62" s="68">
        <f>IF($U62=0,0,IF($F62=4,0,IF($F62=3,0,IF(OR(16&gt;$R62,BH62&lt;=$I62),BH62,BH62-MIN(INT(ROUND(IF($F62=1,$C62*$J62,IF(FG62&gt;0,FG62*$K62,BH62*$J62))*IF(16=$R62,$S62,12)/12,6)+$B$4),BH62-$I62)))))</f>
        <v/>
      </c>
      <c r="BJ62" s="68">
        <f>IF($U62=0,0,IF($F62=4,0,IF($F62=3,0,IF(OR(17&gt;$R62,BI62&lt;=$I62),BI62,BI62-MIN(INT(ROUND(IF($F62=1,$C62*$J62,IF(FH62&gt;0,FH62*$K62,BI62*$J62))*IF(17=$R62,$S62,12)/12,6)+$B$4),BI62-$I62)))))</f>
        <v/>
      </c>
      <c r="BK62" s="68">
        <f>IF($U62=0,0,IF($F62=4,0,IF($F62=3,0,IF(OR(18&gt;$R62,BJ62&lt;=$I62),BJ62,BJ62-MIN(INT(ROUND(IF($F62=1,$C62*$J62,IF(FI62&gt;0,FI62*$K62,BJ62*$J62))*IF(18=$R62,$S62,12)/12,6)+$B$4),BJ62-$I62)))))</f>
        <v/>
      </c>
      <c r="BL62" s="68">
        <f>IF($U62=0,0,IF($F62=4,0,IF($F62=3,0,IF(OR(19&gt;$R62,BK62&lt;=$I62),BK62,BK62-MIN(INT(ROUND(IF($F62=1,$C62*$J62,IF(FJ62&gt;0,FJ62*$K62,BK62*$J62))*IF(19=$R62,$S62,12)/12,6)+$B$4),BK62-$I62)))))</f>
        <v/>
      </c>
      <c r="BM62" s="68">
        <f>IF($U62=0,0,IF($F62=4,0,IF($F62=3,0,IF(OR(20&gt;$R62,BL62&lt;=$I62),BL62,BL62-MIN(INT(ROUND(IF($F62=1,$C62*$J62,IF(FK62&gt;0,FK62*$K62,BL62*$J62))*IF(20=$R62,$S62,12)/12,6)+$B$4),BL62-$I62)))))</f>
        <v/>
      </c>
      <c r="BN62" s="68">
        <f>IF($U62=0,0,IF($F62=4,0,IF($F62=3,0,IF(OR(21&gt;$R62,BM62&lt;=$I62),BM62,BM62-MIN(INT(ROUND(IF($F62=1,$C62*$J62,IF(FL62&gt;0,FL62*$K62,BM62*$J62))*IF(21=$R62,$S62,12)/12,6)+$B$4),BM62-$I62)))))</f>
        <v/>
      </c>
      <c r="BO62" s="68">
        <f>IF($U62=0,0,IF($F62=4,0,IF($F62=3,0,IF(OR(22&gt;$R62,BN62&lt;=$I62),BN62,BN62-MIN(INT(ROUND(IF($F62=1,$C62*$J62,IF(FM62&gt;0,FM62*$K62,BN62*$J62))*IF(22=$R62,$S62,12)/12,6)+$B$4),BN62-$I62)))))</f>
        <v/>
      </c>
      <c r="BP62" s="68">
        <f>IF($U62=0,0,IF($F62=4,0,IF($F62=3,0,IF(OR(23&gt;$R62,BO62&lt;=$I62),BO62,BO62-MIN(INT(ROUND(IF($F62=1,$C62*$J62,IF(FN62&gt;0,FN62*$K62,BO62*$J62))*IF(23=$R62,$S62,12)/12,6)+$B$4),BO62-$I62)))))</f>
        <v/>
      </c>
      <c r="BQ62" s="68">
        <f>IF($U62=0,0,IF($F62=4,0,IF($F62=3,0,IF(OR(24&gt;$R62,BP62&lt;=$I62),BP62,BP62-MIN(INT(ROUND(IF($F62=1,$C62*$J62,IF(FO62&gt;0,FO62*$K62,BP62*$J62))*IF(24=$R62,$S62,12)/12,6)+$B$4),BP62-$I62)))))</f>
        <v/>
      </c>
      <c r="BR62" s="68">
        <f>IF($U62=0,0,IF($F62=4,0,IF($F62=3,0,IF(OR(25&gt;$R62,BQ62&lt;=$I62),BQ62,BQ62-MIN(INT(ROUND(IF($F62=1,$C62*$J62,IF(FP62&gt;0,FP62*$K62,BQ62*$J62))*IF(25=$R62,$S62,12)/12,6)+$B$4),BQ62-$I62)))))</f>
        <v/>
      </c>
      <c r="BS62" s="68">
        <f>IF($U62=0,0,IF($F62=4,0,IF($F62=3,0,IF(OR(26&gt;$R62,BR62&lt;=$I62),BR62,BR62-MIN(INT(ROUND(IF($F62=1,$C62*$J62,IF(FQ62&gt;0,FQ62*$K62,BR62*$J62))*IF(26=$R62,$S62,12)/12,6)+$B$4),BR62-$I62)))))</f>
        <v/>
      </c>
      <c r="BT62" s="68">
        <f>IF($U62=0,0,IF($F62=4,0,IF($F62=3,0,IF(OR(27&gt;$R62,BS62&lt;=$I62),BS62,BS62-MIN(INT(ROUND(IF($F62=1,$C62*$J62,IF(FR62&gt;0,FR62*$K62,BS62*$J62))*IF(27=$R62,$S62,12)/12,6)+$B$4),BS62-$I62)))))</f>
        <v/>
      </c>
      <c r="BU62" s="68">
        <f>IF($U62=0,0,IF($F62=4,0,IF($F62=3,0,IF(OR(28&gt;$R62,BT62&lt;=$I62),BT62,BT62-MIN(INT(ROUND(IF($F62=1,$C62*$J62,IF(FS62&gt;0,FS62*$K62,BT62*$J62))*IF(28=$R62,$S62,12)/12,6)+$B$4),BT62-$I62)))))</f>
        <v/>
      </c>
      <c r="BV62" s="68">
        <f>IF($U62=0,0,IF($F62=4,0,IF($F62=3,0,IF(OR(29&gt;$R62,BU62&lt;=$I62),BU62,BU62-MIN(INT(ROUND(IF($F62=1,$C62*$J62,IF(FT62&gt;0,FT62*$K62,BU62*$J62))*IF(29=$R62,$S62,12)/12,6)+$B$4),BU62-$I62)))))</f>
        <v/>
      </c>
      <c r="BW62" s="68">
        <f>IF($U62=0,0,IF($F62=4,0,IF($F62=3,0,IF(OR(30&gt;$R62,BV62&lt;=$I62),BV62,BV62-MIN(INT(ROUND(IF($F62=1,$C62*$J62,IF(FU62&gt;0,FU62*$K62,BV62*$J62))*IF(30=$R62,$S62,12)/12,6)+$B$4),BV62-$I62)))))</f>
        <v/>
      </c>
      <c r="BX62" s="68">
        <f>IF($U62=0,0,IF($F62=4,0,IF($F62=3,0,IF(OR(31&gt;$R62,BW62&lt;=$I62),BW62,BW62-MIN(INT(ROUND(IF($F62=1,$C62*$J62,IF(FV62&gt;0,FV62*$K62,BW62*$J62))*IF(31=$R62,$S62,12)/12,6)+$B$4),BW62-$I62)))))</f>
        <v/>
      </c>
      <c r="BY62" s="68">
        <f>IF($U62=0,0,IF($F62=4,0,IF($F62=3,0,IF(OR(32&gt;$R62,BX62&lt;=$I62),BX62,BX62-MIN(INT(ROUND(IF($F62=1,$C62*$J62,IF(FW62&gt;0,FW62*$K62,BX62*$J62))*IF(32=$R62,$S62,12)/12,6)+$B$4),BX62-$I62)))))</f>
        <v/>
      </c>
      <c r="BZ62" s="68">
        <f>IF($U62=0,0,IF($F62=4,0,IF($F62=3,0,IF(OR(33&gt;$R62,BY62&lt;=$I62),BY62,BY62-MIN(INT(ROUND(IF($F62=1,$C62*$J62,IF(FX62&gt;0,FX62*$K62,BY62*$J62))*IF(33=$R62,$S62,12)/12,6)+$B$4),BY62-$I62)))))</f>
        <v/>
      </c>
      <c r="CA62" s="68">
        <f>IF($U62=0,0,IF($F62=4,0,IF($F62=3,0,IF(OR(34&gt;$R62,BZ62&lt;=$I62),BZ62,BZ62-MIN(INT(ROUND(IF($F62=1,$C62*$J62,IF(FY62&gt;0,FY62*$K62,BZ62*$J62))*IF(34=$R62,$S62,12)/12,6)+$B$4),BZ62-$I62)))))</f>
        <v/>
      </c>
      <c r="CB62" s="68">
        <f>IF($U62=0,0,IF($F62=4,0,IF($F62=3,0,IF(OR(35&gt;$R62,CA62&lt;=$I62),CA62,CA62-MIN(INT(ROUND(IF($F62=1,$C62*$J62,IF(FZ62&gt;0,FZ62*$K62,CA62*$J62))*IF(35=$R62,$S62,12)/12,6)+$B$4),CA62-$I62)))))</f>
        <v/>
      </c>
      <c r="CC62" s="68">
        <f>IF($U62=0,0,IF($F62=4,0,IF($F62=3,0,IF(OR(36&gt;$R62,CB62&lt;=$I62),CB62,CB62-MIN(INT(ROUND(IF($F62=1,$C62*$J62,IF(GA62&gt;0,GA62*$K62,CB62*$J62))*IF(36=$R62,$S62,12)/12,6)+$B$4),CB62-$I62)))))</f>
        <v/>
      </c>
      <c r="CD62" s="68">
        <f>IF($U62=0,0,IF($F62=4,0,IF($F62=3,0,IF(OR(37&gt;$R62,CC62&lt;=$I62),CC62,CC62-MIN(INT(ROUND(IF($F62=1,$C62*$J62,IF(GB62&gt;0,GB62*$K62,CC62*$J62))*IF(37=$R62,$S62,12)/12,6)+$B$4),CC62-$I62)))))</f>
        <v/>
      </c>
      <c r="CE62" s="68">
        <f>IF($U62=0,0,IF($F62=4,0,IF($F62=3,0,IF(OR(38&gt;$R62,CD62&lt;=$I62),CD62,CD62-MIN(INT(ROUND(IF($F62=1,$C62*$J62,IF(GC62&gt;0,GC62*$K62,CD62*$J62))*IF(38=$R62,$S62,12)/12,6)+$B$4),CD62-$I62)))))</f>
        <v/>
      </c>
      <c r="CF62" s="68">
        <f>IF($U62=0,0,IF($F62=4,0,IF($F62=3,0,IF(OR(39&gt;$R62,CE62&lt;=$I62),CE62,CE62-MIN(INT(ROUND(IF($F62=1,$C62*$J62,IF(GD62&gt;0,GD62*$K62,CE62*$J62))*IF(39=$R62,$S62,12)/12,6)+$B$4),CE62-$I62)))))</f>
        <v/>
      </c>
      <c r="CG62" s="68">
        <f>IF($U62=0,0,IF($F62=4,0,IF($F62=3,0,IF(OR(40&gt;$R62,CF62&lt;=$I62),CF62,CF62-MIN(INT(ROUND(IF($F62=1,$C62*$J62,IF(GE62&gt;0,GE62*$K62,CF62*$J62))*IF(40=$R62,$S62,12)/12,6)+$B$4),CF62-$I62)))))</f>
        <v/>
      </c>
      <c r="CH62" s="68">
        <f>IF($U62=0,0,IF($F62=4,0,IF($F62=3,0,IF(OR(41&gt;$R62,CG62&lt;=$I62),CG62,CG62-MIN(INT(ROUND(IF($F62=1,$C62*$J62,IF(GF62&gt;0,GF62*$K62,CG62*$J62))*IF(41=$R62,$S62,12)/12,6)+$B$4),CG62-$I62)))))</f>
        <v/>
      </c>
      <c r="CI62" s="68">
        <f>IF($U62=0,0,IF($F62=4,0,IF($F62=3,0,IF(OR(42&gt;$R62,CH62&lt;=$I62),CH62,CH62-MIN(INT(ROUND(IF($F62=1,$C62*$J62,IF(GG62&gt;0,GG62*$K62,CH62*$J62))*IF(42=$R62,$S62,12)/12,6)+$B$4),CH62-$I62)))))</f>
        <v/>
      </c>
      <c r="CJ62" s="68">
        <f>IF($U62=0,0,IF($F62=4,0,IF($F62=3,0,IF(OR(43&gt;$R62,CI62&lt;=$I62),CI62,CI62-MIN(INT(ROUND(IF($F62=1,$C62*$J62,IF(GH62&gt;0,GH62*$K62,CI62*$J62))*IF(43=$R62,$S62,12)/12,6)+$B$4),CI62-$I62)))))</f>
        <v/>
      </c>
      <c r="CK62" s="68">
        <f>IF($U62=0,0,IF($F62=4,0,IF($F62=3,0,IF(OR(44&gt;$R62,CJ62&lt;=$I62),CJ62,CJ62-MIN(INT(ROUND(IF($F62=1,$C62*$J62,IF(GI62&gt;0,GI62*$K62,CJ62*$J62))*IF(44=$R62,$S62,12)/12,6)+$B$4),CJ62-$I62)))))</f>
        <v/>
      </c>
      <c r="CL62" s="68">
        <f>IF($U62=0,0,IF($F62=4,0,IF($F62=3,0,IF(OR(45&gt;$R62,CK62&lt;=$I62),CK62,CK62-MIN(INT(ROUND(IF($F62=1,$C62*$J62,IF(GJ62&gt;0,GJ62*$K62,CK62*$J62))*IF(45=$R62,$S62,12)/12,6)+$B$4),CK62-$I62)))))</f>
        <v/>
      </c>
      <c r="CM62" s="68">
        <f>IF($U62=0,0,IF($F62=4,0,IF($F62=3,0,IF(OR(46&gt;$R62,CL62&lt;=$I62),CL62,CL62-MIN(INT(ROUND(IF($F62=1,$C62*$J62,IF(GK62&gt;0,GK62*$K62,CL62*$J62))*IF(46=$R62,$S62,12)/12,6)+$B$4),CL62-$I62)))))</f>
        <v/>
      </c>
      <c r="CN62" s="68">
        <f>IF($U62=0,0,IF($F62=4,0,IF($F62=3,0,IF(OR(47&gt;$R62,CM62&lt;=$I62),CM62,CM62-MIN(INT(ROUND(IF($F62=1,$C62*$J62,IF(GL62&gt;0,GL62*$K62,CM62*$J62))*IF(47=$R62,$S62,12)/12,6)+$B$4),CM62-$I62)))))</f>
        <v/>
      </c>
      <c r="CO62" s="68">
        <f>IF($U62=0,0,IF($F62=4,0,IF($F62=3,0,IF(OR(48&gt;$R62,CN62&lt;=$I62),CN62,CN62-MIN(INT(ROUND(IF($F62=1,$C62*$J62,IF(GM62&gt;0,GM62*$K62,CN62*$J62))*IF(48=$R62,$S62,12)/12,6)+$B$4),CN62-$I62)))))</f>
        <v/>
      </c>
      <c r="CP62" s="68">
        <f>IF($U62=0,0,IF($F62=4,0,IF($F62=3,0,IF(OR(49&gt;$R62,CO62&lt;=$I62),CO62,CO62-MIN(INT(ROUND(IF($F62=1,$C62*$J62,IF(GN62&gt;0,GN62*$K62,CO62*$J62))*IF(49=$R62,$S62,12)/12,6)+$B$4),CO62-$I62)))))</f>
        <v/>
      </c>
      <c r="CQ62" s="68">
        <f>IF($U62=0,0,IF($F62=4,0,IF($F62=3,0,IF(OR(50&gt;$R62,CP62&lt;=$I62),CP62,CP62-MIN(INT(ROUND(IF($F62=1,$C62*$J62,IF(GO62&gt;0,GO62*$K62,CP62*$J62))*IF(50=$R62,$S62,12)/12,6)+$B$4),CP62-$I62)))))</f>
        <v/>
      </c>
      <c r="CR62" s="68">
        <f>IF($U62=0,0,IF($F62=4,0,IF($F62=3,0,IF(OR(51&gt;$R62,CQ62&lt;=$I62),CQ62,CQ62-MIN(INT(ROUND(IF($F62=1,$C62*$J62,IF(GP62&gt;0,GP62*$K62,CQ62*$J62))*IF(51=$R62,$S62,12)/12,6)+$B$4),CQ62-$I62)))))</f>
        <v/>
      </c>
      <c r="CS62" s="68">
        <f>IF($U62=0,0,IF($F62=4,0,IF($F62=3,0,IF(OR(52&gt;$R62,CR62&lt;=$I62),CR62,CR62-MIN(INT(ROUND(IF($F62=1,$C62*$J62,IF(GQ62&gt;0,GQ62*$K62,CR62*$J62))*IF(52=$R62,$S62,12)/12,6)+$B$4),CR62-$I62)))))</f>
        <v/>
      </c>
      <c r="CT62" s="68">
        <f>IF($U62=0,0,IF($F62=4,0,IF($F62=3,0,IF(OR(53&gt;$R62,CS62&lt;=$I62),CS62,CS62-MIN(INT(ROUND(IF($F62=1,$C62*$J62,IF(GR62&gt;0,GR62*$K62,CS62*$J62))*IF(53=$R62,$S62,12)/12,6)+$B$4),CS62-$I62)))))</f>
        <v/>
      </c>
      <c r="CU62" s="68">
        <f>IF($U62=0,0,IF($F62=4,0,IF($F62=3,0,IF(OR(54&gt;$R62,CT62&lt;=$I62),CT62,CT62-MIN(INT(ROUND(IF($F62=1,$C62*$J62,IF(GS62&gt;0,GS62*$K62,CT62*$J62))*IF(54=$R62,$S62,12)/12,6)+$B$4),CT62-$I62)))))</f>
        <v/>
      </c>
      <c r="CV62" s="68">
        <f>IF($U62=0,0,IF($F62=4,0,IF($F62=3,0,IF(OR(55&gt;$R62,CU62&lt;=$I62),CU62,CU62-MIN(INT(ROUND(IF($F62=1,$C62*$J62,IF(GT62&gt;0,GT62*$K62,CU62*$J62))*IF(55=$R62,$S62,12)/12,6)+$B$4),CU62-$I62)))))</f>
        <v/>
      </c>
      <c r="CW62" s="68">
        <f>IF($U62=0,0,IF($F62=4,0,IF($F62=3,0,IF(OR(56&gt;$R62,CV62&lt;=$I62),CV62,CV62-MIN(INT(ROUND(IF($F62=1,$C62*$J62,IF(GU62&gt;0,GU62*$K62,CV62*$J62))*IF(56=$R62,$S62,12)/12,6)+$B$4),CV62-$I62)))))</f>
        <v/>
      </c>
      <c r="CX62" s="68">
        <f>IF($U62=0,0,IF($F62=4,0,IF($F62=3,0,IF(OR(57&gt;$R62,CW62&lt;=$I62),CW62,CW62-MIN(INT(ROUND(IF($F62=1,$C62*$J62,IF(GV62&gt;0,GV62*$K62,CW62*$J62))*IF(57=$R62,$S62,12)/12,6)+$B$4),CW62-$I62)))))</f>
        <v/>
      </c>
      <c r="CY62" s="68">
        <f>IF($U62=0,0,IF($F62=4,0,IF($F62=3,0,IF(OR(58&gt;$R62,CX62&lt;=$I62),CX62,CX62-MIN(INT(ROUND(IF($F62=1,$C62*$J62,IF(GW62&gt;0,GW62*$K62,CX62*$J62))*IF(58=$R62,$S62,12)/12,6)+$B$4),CX62-$I62)))))</f>
        <v/>
      </c>
      <c r="CZ62" s="68">
        <f>IF($U62=0,0,IF($F62=4,0,IF($F62=3,0,IF(OR(59&gt;$R62,CY62&lt;=$I62),CY62,CY62-MIN(INT(ROUND(IF($F62=1,$C62*$J62,IF(GX62&gt;0,GX62*$K62,CY62*$J62))*IF(59=$R62,$S62,12)/12,6)+$B$4),CY62-$I62)))))</f>
        <v/>
      </c>
      <c r="DA62" s="68">
        <f>IF($U62=0,0,IF($F62=4,0,IF($F62=3,0,IF(OR(60&gt;$R62,CZ62&lt;=$I62),CZ62,CZ62-MIN(INT(ROUND(IF($F62=1,$C62*$J62,IF(GY62&gt;0,GY62*$K62,CZ62*$J62))*IF(60=$R62,$S62,12)/12,6)+$B$4),CZ62-$I62)))))</f>
        <v/>
      </c>
      <c r="DB62" s="68">
        <f>IF($U62=0,0,IF($F62=4,0,IF($F62=3,0,IF(OR(61&gt;$R62,DA62&lt;=$I62),DA62,DA62-MIN(INT(ROUND(IF($F62=1,$C62*$J62,IF(GZ62&gt;0,GZ62*$K62,DA62*$J62))*IF(61=$R62,$S62,12)/12,6)+$B$4),DA62-$I62)))))</f>
        <v/>
      </c>
      <c r="DC62" s="68">
        <f>IF($U62=0,0,IF($F62=4,0,IF($F62=3,0,IF(OR(62&gt;$R62,DB62&lt;=$I62),DB62,DB62-MIN(INT(ROUND(IF($F62=1,$C62*$J62,IF(HA62&gt;0,HA62*$K62,DB62*$J62))*IF(62=$R62,$S62,12)/12,6)+$B$4),DB62-$I62)))))</f>
        <v/>
      </c>
      <c r="DD62" s="68">
        <f>IF($U62=0,0,IF($F62=4,0,IF($F62=3,0,IF(OR(63&gt;$R62,DC62&lt;=$I62),DC62,DC62-MIN(INT(ROUND(IF($F62=1,$C62*$J62,IF(HB62&gt;0,HB62*$K62,DC62*$J62))*IF(63=$R62,$S62,12)/12,6)+$B$4),DC62-$I62)))))</f>
        <v/>
      </c>
      <c r="DE62" s="68">
        <f>IF($U62=0,0,IF($F62=4,0,IF($F62=3,0,IF(OR(64&gt;$R62,DD62&lt;=$I62),DD62,DD62-MIN(INT(ROUND(IF($F62=1,$C62*$J62,IF(HC62&gt;0,HC62*$K62,DD62*$J62))*IF(64=$R62,$S62,12)/12,6)+$B$4),DD62-$I62)))))</f>
        <v/>
      </c>
      <c r="DF62" s="68">
        <f>IF($U62=0,0,IF($F62=4,0,IF($F62=3,0,IF(OR(65&gt;$R62,DE62&lt;=$I62),DE62,DE62-MIN(INT(ROUND(IF($F62=1,$C62*$J62,IF(HD62&gt;0,HD62*$K62,DE62*$J62))*IF(65=$R62,$S62,12)/12,6)+$B$4),DE62-$I62)))))</f>
        <v/>
      </c>
      <c r="DG62" s="68">
        <f>IF($U62=0,0,IF($F62=4,0,IF($F62=3,0,IF(OR(66&gt;$R62,DF62&lt;=$I62),DF62,DF62-MIN(INT(ROUND(IF($F62=1,$C62*$J62,IF(HE62&gt;0,HE62*$K62,DF62*$J62))*IF(66=$R62,$S62,12)/12,6)+$B$4),DF62-$I62)))))</f>
        <v/>
      </c>
      <c r="DH62" s="68">
        <f>IF($U62=0,0,IF($F62=4,0,IF($F62=3,0,IF(OR(67&gt;$R62,DG62&lt;=$I62),DG62,DG62-MIN(INT(ROUND(IF($F62=1,$C62*$J62,IF(HF62&gt;0,HF62*$K62,DG62*$J62))*IF(67=$R62,$S62,12)/12,6)+$B$4),DG62-$I62)))))</f>
        <v/>
      </c>
      <c r="DI62" s="68">
        <f>IF($U62=0,0,IF($F62=4,0,IF($F62=3,0,IF(OR(68&gt;$R62,DH62&lt;=$I62),DH62,DH62-MIN(INT(ROUND(IF($F62=1,$C62*$J62,IF(HG62&gt;0,HG62*$K62,DH62*$J62))*IF(68=$R62,$S62,12)/12,6)+$B$4),DH62-$I62)))))</f>
        <v/>
      </c>
      <c r="DJ62" s="68">
        <f>IF($U62=0,0,IF($F62=4,0,IF($F62=3,0,IF(OR(69&gt;$R62,DI62&lt;=$I62),DI62,DI62-MIN(INT(ROUND(IF($F62=1,$C62*$J62,IF(HH62&gt;0,HH62*$K62,DI62*$J62))*IF(69=$R62,$S62,12)/12,6)+$B$4),DI62-$I62)))))</f>
        <v/>
      </c>
      <c r="DK62" s="68">
        <f>IF($U62=0,0,IF($F62=4,0,IF($F62=3,0,IF(OR(70&gt;$R62,DJ62&lt;=$I62),DJ62,DJ62-MIN(INT(ROUND(IF($F62=1,$C62*$J62,IF(HI62&gt;0,HI62*$K62,DJ62*$J62))*IF(70=$R62,$S62,12)/12,6)+$B$4),DJ62-$I62)))))</f>
        <v/>
      </c>
      <c r="DL62" s="68">
        <f>IF($U62=0,0,IF($F62=4,0,IF($F62=3,0,IF(OR(71&gt;$R62,DK62&lt;=$I62),DK62,DK62-MIN(INT(ROUND(IF($F62=1,$C62*$J62,IF(HJ62&gt;0,HJ62*$K62,DK62*$J62))*IF(71=$R62,$S62,12)/12,6)+$B$4),DK62-$I62)))))</f>
        <v/>
      </c>
      <c r="DM62" s="68">
        <f>IF($U62=0,0,IF($F62=4,0,IF($F62=3,0,IF(OR(72&gt;$R62,DL62&lt;=$I62),DL62,DL62-MIN(INT(ROUND(IF($F62=1,$C62*$J62,IF(HK62&gt;0,HK62*$K62,DL62*$J62))*IF(72=$R62,$S62,12)/12,6)+$B$4),DL62-$I62)))))</f>
        <v/>
      </c>
      <c r="DN62" s="68">
        <f>IF($U62=0,0,IF($F62=4,0,IF($F62=3,0,IF(OR(73&gt;$R62,DM62&lt;=$I62),DM62,DM62-MIN(INT(ROUND(IF($F62=1,$C62*$J62,IF(HL62&gt;0,HL62*$K62,DM62*$J62))*IF(73=$R62,$S62,12)/12,6)+$B$4),DM62-$I62)))))</f>
        <v/>
      </c>
      <c r="DO62" s="68">
        <f>IF($U62=0,0,IF($F62=4,0,IF($F62=3,0,IF(OR(74&gt;$R62,DN62&lt;=$I62),DN62,DN62-MIN(INT(ROUND(IF($F62=1,$C62*$J62,IF(HM62&gt;0,HM62*$K62,DN62*$J62))*IF(74=$R62,$S62,12)/12,6)+$B$4),DN62-$I62)))))</f>
        <v/>
      </c>
      <c r="DP62" s="68">
        <f>IF($U62=0,0,IF($F62=4,0,IF($F62=3,0,IF(OR(75&gt;$R62,DO62&lt;=$I62),DO62,DO62-MIN(INT(ROUND(IF($F62=1,$C62*$J62,IF(HN62&gt;0,HN62*$K62,DO62*$J62))*IF(75=$R62,$S62,12)/12,6)+$B$4),DO62-$I62)))))</f>
        <v/>
      </c>
      <c r="DQ62" s="68">
        <f>IF($U62=0,0,IF($F62=4,0,IF($F62=3,0,IF(OR(76&gt;$R62,DP62&lt;=$I62),DP62,DP62-MIN(INT(ROUND(IF($F62=1,$C62*$J62,IF(HO62&gt;0,HO62*$K62,DP62*$J62))*IF(76=$R62,$S62,12)/12,6)+$B$4),DP62-$I62)))))</f>
        <v/>
      </c>
      <c r="DR62" s="68">
        <f>IF($U62=0,0,IF($F62=4,0,IF($F62=3,0,IF(OR(77&gt;$R62,DQ62&lt;=$I62),DQ62,DQ62-MIN(INT(ROUND(IF($F62=1,$C62*$J62,IF(HP62&gt;0,HP62*$K62,DQ62*$J62))*IF(77=$R62,$S62,12)/12,6)+$B$4),DQ62-$I62)))))</f>
        <v/>
      </c>
      <c r="DS62" s="68">
        <f>IF($U62=0,0,IF($F62=4,0,IF($F62=3,0,IF(OR(78&gt;$R62,DR62&lt;=$I62),DR62,DR62-MIN(INT(ROUND(IF($F62=1,$C62*$J62,IF(HQ62&gt;0,HQ62*$K62,DR62*$J62))*IF(78=$R62,$S62,12)/12,6)+$B$4),DR62-$I62)))))</f>
        <v/>
      </c>
      <c r="DT62" s="68">
        <f>IF($U62=0,0,IF($F62=4,0,IF($F62=3,0,IF(OR(79&gt;$R62,DS62&lt;=$I62),DS62,DS62-MIN(INT(ROUND(IF($F62=1,$C62*$J62,IF(HR62&gt;0,HR62*$K62,DS62*$J62))*IF(79=$R62,$S62,12)/12,6)+$B$4),DS62-$I62)))))</f>
        <v/>
      </c>
      <c r="DU62" s="68">
        <f>IF($U62=0,0,IF($F62=4,0,IF($F62=3,0,IF(OR(80&gt;$R62,DT62&lt;=$I62),DT62,DT62-MIN(INT(ROUND(IF($F62=1,$C62*$J62,IF(HS62&gt;0,HS62*$K62,DT62*$J62))*IF(80=$R62,$S62,12)/12,6)+$B$4),DT62-$I62)))))</f>
        <v/>
      </c>
      <c r="DV62" s="68">
        <f>IF($U62=0,0,IF($F62=4,0,IF($F62=3,0,IF(OR(81&gt;$R62,DU62&lt;=$I62),DU62,DU62-MIN(INT(ROUND(IF($F62=1,$C62*$J62,IF(HT62&gt;0,HT62*$K62,DU62*$J62))*IF(81=$R62,$S62,12)/12,6)+$B$4),DU62-$I62)))))</f>
        <v/>
      </c>
      <c r="DW62" s="68">
        <f>IF($U62=0,0,IF($F62=4,0,IF($F62=3,0,IF(OR(82&gt;$R62,DV62&lt;=$I62),DV62,DV62-MIN(INT(ROUND(IF($F62=1,$C62*$J62,IF(HU62&gt;0,HU62*$K62,DV62*$J62))*IF(82=$R62,$S62,12)/12,6)+$B$4),DV62-$I62)))))</f>
        <v/>
      </c>
      <c r="DX62" s="68">
        <f>IF($U62=0,0,IF($F62=4,0,IF($F62=3,0,IF(OR(83&gt;$R62,DW62&lt;=$I62),DW62,DW62-MIN(INT(ROUND(IF($F62=1,$C62*$J62,IF(HV62&gt;0,HV62*$K62,DW62*$J62))*IF(83=$R62,$S62,12)/12,6)+$B$4),DW62-$I62)))))</f>
        <v/>
      </c>
      <c r="DY62" s="68">
        <f>IF($U62=0,0,IF($F62=4,0,IF($F62=3,0,IF(OR(84&gt;$R62,DX62&lt;=$I62),DX62,DX62-MIN(INT(ROUND(IF($F62=1,$C62*$J62,IF(HW62&gt;0,HW62*$K62,DX62*$J62))*IF(84=$R62,$S62,12)/12,6)+$B$4),DX62-$I62)))))</f>
        <v/>
      </c>
      <c r="DZ62" s="68">
        <f>IF($U62=0,0,IF($F62=4,0,IF($F62=3,0,IF(OR(85&gt;$R62,DY62&lt;=$I62),DY62,DY62-MIN(INT(ROUND(IF($F62=1,$C62*$J62,IF(HX62&gt;0,HX62*$K62,DY62*$J62))*IF(85=$R62,$S62,12)/12,6)+$B$4),DY62-$I62)))))</f>
        <v/>
      </c>
      <c r="EA62" s="68">
        <f>IF($U62=0,0,IF($F62=4,0,IF($F62=3,0,IF(OR(86&gt;$R62,DZ62&lt;=$I62),DZ62,DZ62-MIN(INT(ROUND(IF($F62=1,$C62*$J62,IF(HY62&gt;0,HY62*$K62,DZ62*$J62))*IF(86=$R62,$S62,12)/12,6)+$B$4),DZ62-$I62)))))</f>
        <v/>
      </c>
      <c r="EB62" s="68">
        <f>IF($U62=0,0,IF($F62=4,0,IF($F62=3,0,IF(OR(87&gt;$R62,EA62&lt;=$I62),EA62,EA62-MIN(INT(ROUND(IF($F62=1,$C62*$J62,IF(HZ62&gt;0,HZ62*$K62,EA62*$J62))*IF(87=$R62,$S62,12)/12,6)+$B$4),EA62-$I62)))))</f>
        <v/>
      </c>
      <c r="EC62" s="68">
        <f>IF($U62=0,0,IF($F62=4,0,IF($F62=3,0,IF(OR(88&gt;$R62,EB62&lt;=$I62),EB62,EB62-MIN(INT(ROUND(IF($F62=1,$C62*$J62,IF(IA62&gt;0,IA62*$K62,EB62*$J62))*IF(88=$R62,$S62,12)/12,6)+$B$4),EB62-$I62)))))</f>
        <v/>
      </c>
      <c r="ED62" s="68">
        <f>IF($U62=0,0,IF($F62=4,0,IF($F62=3,0,IF(OR(89&gt;$R62,EC62&lt;=$I62),EC62,EC62-MIN(INT(ROUND(IF($F62=1,$C62*$J62,IF(IB62&gt;0,IB62*$K62,EC62*$J62))*IF(89=$R62,$S62,12)/12,6)+$B$4),EC62-$I62)))))</f>
        <v/>
      </c>
      <c r="EE62" s="68">
        <f>IF($U62=0,0,IF($F62=4,0,IF($F62=3,0,IF(OR(90&gt;$R62,ED62&lt;=$I62),ED62,ED62-MIN(INT(ROUND(IF($F62=1,$C62*$J62,IF(IC62&gt;0,IC62*$K62,ED62*$J62))*IF(90=$R62,$S62,12)/12,6)+$B$4),ED62-$I62)))))</f>
        <v/>
      </c>
      <c r="EF62" s="68">
        <f>IF($U62=0,0,IF($F62=4,0,IF($F62=3,0,IF(OR(91&gt;$R62,EE62&lt;=$I62),EE62,EE62-MIN(INT(ROUND(IF($F62=1,$C62*$J62,IF(ID62&gt;0,ID62*$K62,EE62*$J62))*IF(91=$R62,$S62,12)/12,6)+$B$4),EE62-$I62)))))</f>
        <v/>
      </c>
      <c r="EG62" s="68">
        <f>IF($U62=0,0,IF($F62=4,0,IF($F62=3,0,IF(OR(92&gt;$R62,EF62&lt;=$I62),EF62,EF62-MIN(INT(ROUND(IF($F62=1,$C62*$J62,IF(IE62&gt;0,IE62*$K62,EF62*$J62))*IF(92=$R62,$S62,12)/12,6)+$B$4),EF62-$I62)))))</f>
        <v/>
      </c>
      <c r="EH62" s="68">
        <f>IF($U62=0,0,IF($F62=4,0,IF($F62=3,0,IF(OR(93&gt;$R62,EG62&lt;=$I62),EG62,EG62-MIN(INT(ROUND(IF($F62=1,$C62*$J62,IF(IF62&gt;0,IF62*$K62,EG62*$J62))*IF(93=$R62,$S62,12)/12,6)+$B$4),EG62-$I62)))))</f>
        <v/>
      </c>
      <c r="EI62" s="68">
        <f>IF($U62=0,0,IF($F62=4,0,IF($F62=3,0,IF(OR(94&gt;$R62,EH62&lt;=$I62),EH62,EH62-MIN(INT(ROUND(IF($F62=1,$C62*$J62,IF(IG62&gt;0,IG62*$K62,EH62*$J62))*IF(94=$R62,$S62,12)/12,6)+$B$4),EH62-$I62)))))</f>
        <v/>
      </c>
      <c r="EJ62" s="68">
        <f>IF($U62=0,0,IF($F62=4,0,IF($F62=3,0,IF(OR(95&gt;$R62,EI62&lt;=$I62),EI62,EI62-MIN(INT(ROUND(IF($F62=1,$C62*$J62,IF(IH62&gt;0,IH62*$K62,EI62*$J62))*IF(95=$R62,$S62,12)/12,6)+$B$4),EI62-$I62)))))</f>
        <v/>
      </c>
      <c r="EK62" s="68">
        <f>IF($U62=0,0,IF($F62=4,0,IF($F62=3,0,IF(OR(96&gt;$R62,EJ62&lt;=$I62),EJ62,EJ62-MIN(INT(ROUND(IF($F62=1,$C62*$J62,IF(II62&gt;0,II62*$K62,EJ62*$J62))*IF(96=$R62,$S62,12)/12,6)+$B$4),EJ62-$I62)))))</f>
        <v/>
      </c>
      <c r="EL62" s="68">
        <f>IF($U62=0,0,IF($F62=4,0,IF($F62=3,0,IF(OR(97&gt;$R62,EK62&lt;=$I62),EK62,EK62-MIN(INT(ROUND(IF($F62=1,$C62*$J62,IF(IJ62&gt;0,IJ62*$K62,EK62*$J62))*IF(97=$R62,$S62,12)/12,6)+$B$4),EK62-$I62)))))</f>
        <v/>
      </c>
      <c r="EM62" s="68">
        <f>IF($U62=0,0,IF($F62=4,0,IF($F62=3,0,IF(OR(98&gt;$R62,EL62&lt;=$I62),EL62,EL62-MIN(INT(ROUND(IF($F62=1,$C62*$J62,IF(IK62&gt;0,IK62*$K62,EL62*$J62))*IF(98=$R62,$S62,12)/12,6)+$B$4),EL62-$I62)))))</f>
        <v/>
      </c>
      <c r="EN62" s="68">
        <f>IF($U62=0,0,IF($F62=4,0,IF($F62=3,0,IF(OR(99&gt;$R62,EM62&lt;=$I62),EM62,EM62-MIN(INT(ROUND(IF($F62=1,$C62*$J62,IF(IL62&gt;0,IL62*$K62,EM62*$J62))*IF(99=$R62,$S62,12)/12,6)+$B$4),EM62-$I62)))))</f>
        <v/>
      </c>
      <c r="EO62" s="68">
        <f>IF($U62=0,0,IF($F62=4,0,IF($F62=3,0,IF(OR(100&gt;$R62,EN62&lt;=$I62),EN62,EN62-MIN(INT(ROUND(IF($F62=1,$C62*$J62,IF(IM62&gt;0,IM62*$K62,EN62*$J62))*IF(100=$R62,$S62,12)/12,6)+$B$4),EN62-$I62)))))</f>
        <v/>
      </c>
      <c r="EP62" s="68">
        <f>IF($U62=0,0,IF($F62=4,0,IF($F62=3,0,IF(OR(101&gt;$R62,EO62&lt;=$I62),EO62,EO62-MIN(INT(ROUND(IF($F62=1,$C62*$J62,IF(IN62&gt;0,IN62*$K62,EO62*$J62))*IF(101=$R62,$S62,12)/12,6)+$B$4),EO62-$I62)))))</f>
        <v/>
      </c>
      <c r="EQ62" s="68" t="n"/>
      <c r="ER62" s="68">
        <f>IF(OR($U62=0,$F62&lt;&gt;2),0,IF(ROUND(AS62*$J62,6)&lt;ROUND($M62,6),AS62,0))</f>
        <v/>
      </c>
      <c r="ES62" s="68">
        <f>IF(OR($U62=0,$F62&lt;&gt;2),0,IF(ER62&gt;0,ER62,IF(ROUND(AT62*$J62,6)&lt;ROUND($M62,6),AT62,0)))</f>
        <v/>
      </c>
      <c r="ET62" s="68">
        <f>IF(OR($U62=0,$F62&lt;&gt;2),0,IF(ES62&gt;0,ES62,IF(ROUND(AU62*$J62,6)&lt;ROUND($M62,6),AU62,0)))</f>
        <v/>
      </c>
      <c r="EU62" s="68">
        <f>IF(OR($U62=0,$F62&lt;&gt;2),0,IF(ET62&gt;0,ET62,IF(ROUND(AV62*$J62,6)&lt;ROUND($M62,6),AV62,0)))</f>
        <v/>
      </c>
      <c r="EV62" s="68">
        <f>IF(OR($U62=0,$F62&lt;&gt;2),0,IF(EU62&gt;0,EU62,IF(ROUND(AW62*$J62,6)&lt;ROUND($M62,6),AW62,0)))</f>
        <v/>
      </c>
      <c r="EW62" s="68">
        <f>IF(OR($U62=0,$F62&lt;&gt;2),0,IF(EV62&gt;0,EV62,IF(ROUND(AX62*$J62,6)&lt;ROUND($M62,6),AX62,0)))</f>
        <v/>
      </c>
      <c r="EX62" s="68">
        <f>IF(OR($U62=0,$F62&lt;&gt;2),0,IF(EW62&gt;0,EW62,IF(ROUND(AY62*$J62,6)&lt;ROUND($M62,6),AY62,0)))</f>
        <v/>
      </c>
      <c r="EY62" s="68">
        <f>IF(OR($U62=0,$F62&lt;&gt;2),0,IF(EX62&gt;0,EX62,IF(ROUND(AZ62*$J62,6)&lt;ROUND($M62,6),AZ62,0)))</f>
        <v/>
      </c>
      <c r="EZ62" s="68">
        <f>IF(OR($U62=0,$F62&lt;&gt;2),0,IF(EY62&gt;0,EY62,IF(ROUND(BA62*$J62,6)&lt;ROUND($M62,6),BA62,0)))</f>
        <v/>
      </c>
      <c r="FA62" s="68">
        <f>IF(OR($U62=0,$F62&lt;&gt;2),0,IF(EZ62&gt;0,EZ62,IF(ROUND(BB62*$J62,6)&lt;ROUND($M62,6),BB62,0)))</f>
        <v/>
      </c>
      <c r="FB62" s="68">
        <f>IF(OR($U62=0,$F62&lt;&gt;2),0,IF(FA62&gt;0,FA62,IF(ROUND(BC62*$J62,6)&lt;ROUND($M62,6),BC62,0)))</f>
        <v/>
      </c>
      <c r="FC62" s="68">
        <f>IF(OR($U62=0,$F62&lt;&gt;2),0,IF(FB62&gt;0,FB62,IF(ROUND(BD62*$J62,6)&lt;ROUND($M62,6),BD62,0)))</f>
        <v/>
      </c>
      <c r="FD62" s="68">
        <f>IF(OR($U62=0,$F62&lt;&gt;2),0,IF(FC62&gt;0,FC62,IF(ROUND(BE62*$J62,6)&lt;ROUND($M62,6),BE62,0)))</f>
        <v/>
      </c>
      <c r="FE62" s="68">
        <f>IF(OR($U62=0,$F62&lt;&gt;2),0,IF(FD62&gt;0,FD62,IF(ROUND(BF62*$J62,6)&lt;ROUND($M62,6),BF62,0)))</f>
        <v/>
      </c>
      <c r="FF62" s="68">
        <f>IF(OR($U62=0,$F62&lt;&gt;2),0,IF(FE62&gt;0,FE62,IF(ROUND(BG62*$J62,6)&lt;ROUND($M62,6),BG62,0)))</f>
        <v/>
      </c>
      <c r="FG62" s="68">
        <f>IF(OR($U62=0,$F62&lt;&gt;2),0,IF(FF62&gt;0,FF62,IF(ROUND(BH62*$J62,6)&lt;ROUND($M62,6),BH62,0)))</f>
        <v/>
      </c>
      <c r="FH62" s="68">
        <f>IF(OR($U62=0,$F62&lt;&gt;2),0,IF(FG62&gt;0,FG62,IF(ROUND(BI62*$J62,6)&lt;ROUND($M62,6),BI62,0)))</f>
        <v/>
      </c>
      <c r="FI62" s="68">
        <f>IF(OR($U62=0,$F62&lt;&gt;2),0,IF(FH62&gt;0,FH62,IF(ROUND(BJ62*$J62,6)&lt;ROUND($M62,6),BJ62,0)))</f>
        <v/>
      </c>
      <c r="FJ62" s="68">
        <f>IF(OR($U62=0,$F62&lt;&gt;2),0,IF(FI62&gt;0,FI62,IF(ROUND(BK62*$J62,6)&lt;ROUND($M62,6),BK62,0)))</f>
        <v/>
      </c>
      <c r="FK62" s="68">
        <f>IF(OR($U62=0,$F62&lt;&gt;2),0,IF(FJ62&gt;0,FJ62,IF(ROUND(BL62*$J62,6)&lt;ROUND($M62,6),BL62,0)))</f>
        <v/>
      </c>
      <c r="FL62" s="68">
        <f>IF(OR($U62=0,$F62&lt;&gt;2),0,IF(FK62&gt;0,FK62,IF(ROUND(BM62*$J62,6)&lt;ROUND($M62,6),BM62,0)))</f>
        <v/>
      </c>
      <c r="FM62" s="68">
        <f>IF(OR($U62=0,$F62&lt;&gt;2),0,IF(FL62&gt;0,FL62,IF(ROUND(BN62*$J62,6)&lt;ROUND($M62,6),BN62,0)))</f>
        <v/>
      </c>
      <c r="FN62" s="68">
        <f>IF(OR($U62=0,$F62&lt;&gt;2),0,IF(FM62&gt;0,FM62,IF(ROUND(BO62*$J62,6)&lt;ROUND($M62,6),BO62,0)))</f>
        <v/>
      </c>
      <c r="FO62" s="68">
        <f>IF(OR($U62=0,$F62&lt;&gt;2),0,IF(FN62&gt;0,FN62,IF(ROUND(BP62*$J62,6)&lt;ROUND($M62,6),BP62,0)))</f>
        <v/>
      </c>
      <c r="FP62" s="68">
        <f>IF(OR($U62=0,$F62&lt;&gt;2),0,IF(FO62&gt;0,FO62,IF(ROUND(BQ62*$J62,6)&lt;ROUND($M62,6),BQ62,0)))</f>
        <v/>
      </c>
      <c r="FQ62" s="68">
        <f>IF(OR($U62=0,$F62&lt;&gt;2),0,IF(FP62&gt;0,FP62,IF(ROUND(BR62*$J62,6)&lt;ROUND($M62,6),BR62,0)))</f>
        <v/>
      </c>
      <c r="FR62" s="68">
        <f>IF(OR($U62=0,$F62&lt;&gt;2),0,IF(FQ62&gt;0,FQ62,IF(ROUND(BS62*$J62,6)&lt;ROUND($M62,6),BS62,0)))</f>
        <v/>
      </c>
      <c r="FS62" s="68">
        <f>IF(OR($U62=0,$F62&lt;&gt;2),0,IF(FR62&gt;0,FR62,IF(ROUND(BT62*$J62,6)&lt;ROUND($M62,6),BT62,0)))</f>
        <v/>
      </c>
      <c r="FT62" s="68">
        <f>IF(OR($U62=0,$F62&lt;&gt;2),0,IF(FS62&gt;0,FS62,IF(ROUND(BU62*$J62,6)&lt;ROUND($M62,6),BU62,0)))</f>
        <v/>
      </c>
      <c r="FU62" s="68">
        <f>IF(OR($U62=0,$F62&lt;&gt;2),0,IF(FT62&gt;0,FT62,IF(ROUND(BV62*$J62,6)&lt;ROUND($M62,6),BV62,0)))</f>
        <v/>
      </c>
      <c r="FV62" s="68">
        <f>IF(OR($U62=0,$F62&lt;&gt;2),0,IF(FU62&gt;0,FU62,IF(ROUND(BW62*$J62,6)&lt;ROUND($M62,6),BW62,0)))</f>
        <v/>
      </c>
      <c r="FW62" s="68">
        <f>IF(OR($U62=0,$F62&lt;&gt;2),0,IF(FV62&gt;0,FV62,IF(ROUND(BX62*$J62,6)&lt;ROUND($M62,6),BX62,0)))</f>
        <v/>
      </c>
      <c r="FX62" s="68">
        <f>IF(OR($U62=0,$F62&lt;&gt;2),0,IF(FW62&gt;0,FW62,IF(ROUND(BY62*$J62,6)&lt;ROUND($M62,6),BY62,0)))</f>
        <v/>
      </c>
      <c r="FY62" s="68">
        <f>IF(OR($U62=0,$F62&lt;&gt;2),0,IF(FX62&gt;0,FX62,IF(ROUND(BZ62*$J62,6)&lt;ROUND($M62,6),BZ62,0)))</f>
        <v/>
      </c>
      <c r="FZ62" s="68">
        <f>IF(OR($U62=0,$F62&lt;&gt;2),0,IF(FY62&gt;0,FY62,IF(ROUND(CA62*$J62,6)&lt;ROUND($M62,6),CA62,0)))</f>
        <v/>
      </c>
      <c r="GA62" s="68">
        <f>IF(OR($U62=0,$F62&lt;&gt;2),0,IF(FZ62&gt;0,FZ62,IF(ROUND(CB62*$J62,6)&lt;ROUND($M62,6),CB62,0)))</f>
        <v/>
      </c>
      <c r="GB62" s="68">
        <f>IF(OR($U62=0,$F62&lt;&gt;2),0,IF(GA62&gt;0,GA62,IF(ROUND(CC62*$J62,6)&lt;ROUND($M62,6),CC62,0)))</f>
        <v/>
      </c>
      <c r="GC62" s="68">
        <f>IF(OR($U62=0,$F62&lt;&gt;2),0,IF(GB62&gt;0,GB62,IF(ROUND(CD62*$J62,6)&lt;ROUND($M62,6),CD62,0)))</f>
        <v/>
      </c>
      <c r="GD62" s="68">
        <f>IF(OR($U62=0,$F62&lt;&gt;2),0,IF(GC62&gt;0,GC62,IF(ROUND(CE62*$J62,6)&lt;ROUND($M62,6),CE62,0)))</f>
        <v/>
      </c>
      <c r="GE62" s="68">
        <f>IF(OR($U62=0,$F62&lt;&gt;2),0,IF(GD62&gt;0,GD62,IF(ROUND(CF62*$J62,6)&lt;ROUND($M62,6),CF62,0)))</f>
        <v/>
      </c>
      <c r="GF62" s="68">
        <f>IF(OR($U62=0,$F62&lt;&gt;2),0,IF(GE62&gt;0,GE62,IF(ROUND(CG62*$J62,6)&lt;ROUND($M62,6),CG62,0)))</f>
        <v/>
      </c>
      <c r="GG62" s="68">
        <f>IF(OR($U62=0,$F62&lt;&gt;2),0,IF(GF62&gt;0,GF62,IF(ROUND(CH62*$J62,6)&lt;ROUND($M62,6),CH62,0)))</f>
        <v/>
      </c>
      <c r="GH62" s="68">
        <f>IF(OR($U62=0,$F62&lt;&gt;2),0,IF(GG62&gt;0,GG62,IF(ROUND(CI62*$J62,6)&lt;ROUND($M62,6),CI62,0)))</f>
        <v/>
      </c>
      <c r="GI62" s="68">
        <f>IF(OR($U62=0,$F62&lt;&gt;2),0,IF(GH62&gt;0,GH62,IF(ROUND(CJ62*$J62,6)&lt;ROUND($M62,6),CJ62,0)))</f>
        <v/>
      </c>
      <c r="GJ62" s="68">
        <f>IF(OR($U62=0,$F62&lt;&gt;2),0,IF(GI62&gt;0,GI62,IF(ROUND(CK62*$J62,6)&lt;ROUND($M62,6),CK62,0)))</f>
        <v/>
      </c>
      <c r="GK62" s="68">
        <f>IF(OR($U62=0,$F62&lt;&gt;2),0,IF(GJ62&gt;0,GJ62,IF(ROUND(CL62*$J62,6)&lt;ROUND($M62,6),CL62,0)))</f>
        <v/>
      </c>
      <c r="GL62" s="68">
        <f>IF(OR($U62=0,$F62&lt;&gt;2),0,IF(GK62&gt;0,GK62,IF(ROUND(CM62*$J62,6)&lt;ROUND($M62,6),CM62,0)))</f>
        <v/>
      </c>
      <c r="GM62" s="68">
        <f>IF(OR($U62=0,$F62&lt;&gt;2),0,IF(GL62&gt;0,GL62,IF(ROUND(CN62*$J62,6)&lt;ROUND($M62,6),CN62,0)))</f>
        <v/>
      </c>
      <c r="GN62" s="68">
        <f>IF(OR($U62=0,$F62&lt;&gt;2),0,IF(GM62&gt;0,GM62,IF(ROUND(CO62*$J62,6)&lt;ROUND($M62,6),CO62,0)))</f>
        <v/>
      </c>
      <c r="GO62" s="68">
        <f>IF(OR($U62=0,$F62&lt;&gt;2),0,IF(GN62&gt;0,GN62,IF(ROUND(CP62*$J62,6)&lt;ROUND($M62,6),CP62,0)))</f>
        <v/>
      </c>
      <c r="GP62" s="68">
        <f>IF(OR($U62=0,$F62&lt;&gt;2),0,IF(GO62&gt;0,GO62,IF(ROUND(CQ62*$J62,6)&lt;ROUND($M62,6),CQ62,0)))</f>
        <v/>
      </c>
      <c r="GQ62" s="68">
        <f>IF(OR($U62=0,$F62&lt;&gt;2),0,IF(GP62&gt;0,GP62,IF(ROUND(CR62*$J62,6)&lt;ROUND($M62,6),CR62,0)))</f>
        <v/>
      </c>
      <c r="GR62" s="68">
        <f>IF(OR($U62=0,$F62&lt;&gt;2),0,IF(GQ62&gt;0,GQ62,IF(ROUND(CS62*$J62,6)&lt;ROUND($M62,6),CS62,0)))</f>
        <v/>
      </c>
      <c r="GS62" s="68">
        <f>IF(OR($U62=0,$F62&lt;&gt;2),0,IF(GR62&gt;0,GR62,IF(ROUND(CT62*$J62,6)&lt;ROUND($M62,6),CT62,0)))</f>
        <v/>
      </c>
      <c r="GT62" s="68">
        <f>IF(OR($U62=0,$F62&lt;&gt;2),0,IF(GS62&gt;0,GS62,IF(ROUND(CU62*$J62,6)&lt;ROUND($M62,6),CU62,0)))</f>
        <v/>
      </c>
      <c r="GU62" s="68">
        <f>IF(OR($U62=0,$F62&lt;&gt;2),0,IF(GT62&gt;0,GT62,IF(ROUND(CV62*$J62,6)&lt;ROUND($M62,6),CV62,0)))</f>
        <v/>
      </c>
      <c r="GV62" s="68">
        <f>IF(OR($U62=0,$F62&lt;&gt;2),0,IF(GU62&gt;0,GU62,IF(ROUND(CW62*$J62,6)&lt;ROUND($M62,6),CW62,0)))</f>
        <v/>
      </c>
      <c r="GW62" s="68">
        <f>IF(OR($U62=0,$F62&lt;&gt;2),0,IF(GV62&gt;0,GV62,IF(ROUND(CX62*$J62,6)&lt;ROUND($M62,6),CX62,0)))</f>
        <v/>
      </c>
      <c r="GX62" s="68">
        <f>IF(OR($U62=0,$F62&lt;&gt;2),0,IF(GW62&gt;0,GW62,IF(ROUND(CY62*$J62,6)&lt;ROUND($M62,6),CY62,0)))</f>
        <v/>
      </c>
      <c r="GY62" s="68">
        <f>IF(OR($U62=0,$F62&lt;&gt;2),0,IF(GX62&gt;0,GX62,IF(ROUND(CZ62*$J62,6)&lt;ROUND($M62,6),CZ62,0)))</f>
        <v/>
      </c>
      <c r="GZ62" s="68">
        <f>IF(OR($U62=0,$F62&lt;&gt;2),0,IF(GY62&gt;0,GY62,IF(ROUND(DA62*$J62,6)&lt;ROUND($M62,6),DA62,0)))</f>
        <v/>
      </c>
      <c r="HA62" s="68">
        <f>IF(OR($U62=0,$F62&lt;&gt;2),0,IF(GZ62&gt;0,GZ62,IF(ROUND(DB62*$J62,6)&lt;ROUND($M62,6),DB62,0)))</f>
        <v/>
      </c>
      <c r="HB62" s="68">
        <f>IF(OR($U62=0,$F62&lt;&gt;2),0,IF(HA62&gt;0,HA62,IF(ROUND(DC62*$J62,6)&lt;ROUND($M62,6),DC62,0)))</f>
        <v/>
      </c>
      <c r="HC62" s="68">
        <f>IF(OR($U62=0,$F62&lt;&gt;2),0,IF(HB62&gt;0,HB62,IF(ROUND(DD62*$J62,6)&lt;ROUND($M62,6),DD62,0)))</f>
        <v/>
      </c>
      <c r="HD62" s="68">
        <f>IF(OR($U62=0,$F62&lt;&gt;2),0,IF(HC62&gt;0,HC62,IF(ROUND(DE62*$J62,6)&lt;ROUND($M62,6),DE62,0)))</f>
        <v/>
      </c>
      <c r="HE62" s="68">
        <f>IF(OR($U62=0,$F62&lt;&gt;2),0,IF(HD62&gt;0,HD62,IF(ROUND(DF62*$J62,6)&lt;ROUND($M62,6),DF62,0)))</f>
        <v/>
      </c>
      <c r="HF62" s="68">
        <f>IF(OR($U62=0,$F62&lt;&gt;2),0,IF(HE62&gt;0,HE62,IF(ROUND(DG62*$J62,6)&lt;ROUND($M62,6),DG62,0)))</f>
        <v/>
      </c>
      <c r="HG62" s="68">
        <f>IF(OR($U62=0,$F62&lt;&gt;2),0,IF(HF62&gt;0,HF62,IF(ROUND(DH62*$J62,6)&lt;ROUND($M62,6),DH62,0)))</f>
        <v/>
      </c>
      <c r="HH62" s="68">
        <f>IF(OR($U62=0,$F62&lt;&gt;2),0,IF(HG62&gt;0,HG62,IF(ROUND(DI62*$J62,6)&lt;ROUND($M62,6),DI62,0)))</f>
        <v/>
      </c>
      <c r="HI62" s="68">
        <f>IF(OR($U62=0,$F62&lt;&gt;2),0,IF(HH62&gt;0,HH62,IF(ROUND(DJ62*$J62,6)&lt;ROUND($M62,6),DJ62,0)))</f>
        <v/>
      </c>
      <c r="HJ62" s="68">
        <f>IF(OR($U62=0,$F62&lt;&gt;2),0,IF(HI62&gt;0,HI62,IF(ROUND(DK62*$J62,6)&lt;ROUND($M62,6),DK62,0)))</f>
        <v/>
      </c>
      <c r="HK62" s="68">
        <f>IF(OR($U62=0,$F62&lt;&gt;2),0,IF(HJ62&gt;0,HJ62,IF(ROUND(DL62*$J62,6)&lt;ROUND($M62,6),DL62,0)))</f>
        <v/>
      </c>
      <c r="HL62" s="68">
        <f>IF(OR($U62=0,$F62&lt;&gt;2),0,IF(HK62&gt;0,HK62,IF(ROUND(DM62*$J62,6)&lt;ROUND($M62,6),DM62,0)))</f>
        <v/>
      </c>
      <c r="HM62" s="68">
        <f>IF(OR($U62=0,$F62&lt;&gt;2),0,IF(HL62&gt;0,HL62,IF(ROUND(DN62*$J62,6)&lt;ROUND($M62,6),DN62,0)))</f>
        <v/>
      </c>
      <c r="HN62" s="68">
        <f>IF(OR($U62=0,$F62&lt;&gt;2),0,IF(HM62&gt;0,HM62,IF(ROUND(DO62*$J62,6)&lt;ROUND($M62,6),DO62,0)))</f>
        <v/>
      </c>
      <c r="HO62" s="68">
        <f>IF(OR($U62=0,$F62&lt;&gt;2),0,IF(HN62&gt;0,HN62,IF(ROUND(DP62*$J62,6)&lt;ROUND($M62,6),DP62,0)))</f>
        <v/>
      </c>
      <c r="HP62" s="68">
        <f>IF(OR($U62=0,$F62&lt;&gt;2),0,IF(HO62&gt;0,HO62,IF(ROUND(DQ62*$J62,6)&lt;ROUND($M62,6),DQ62,0)))</f>
        <v/>
      </c>
      <c r="HQ62" s="68">
        <f>IF(OR($U62=0,$F62&lt;&gt;2),0,IF(HP62&gt;0,HP62,IF(ROUND(DR62*$J62,6)&lt;ROUND($M62,6),DR62,0)))</f>
        <v/>
      </c>
      <c r="HR62" s="68">
        <f>IF(OR($U62=0,$F62&lt;&gt;2),0,IF(HQ62&gt;0,HQ62,IF(ROUND(DS62*$J62,6)&lt;ROUND($M62,6),DS62,0)))</f>
        <v/>
      </c>
      <c r="HS62" s="68">
        <f>IF(OR($U62=0,$F62&lt;&gt;2),0,IF(HR62&gt;0,HR62,IF(ROUND(DT62*$J62,6)&lt;ROUND($M62,6),DT62,0)))</f>
        <v/>
      </c>
      <c r="HT62" s="68">
        <f>IF(OR($U62=0,$F62&lt;&gt;2),0,IF(HS62&gt;0,HS62,IF(ROUND(DU62*$J62,6)&lt;ROUND($M62,6),DU62,0)))</f>
        <v/>
      </c>
      <c r="HU62" s="68">
        <f>IF(OR($U62=0,$F62&lt;&gt;2),0,IF(HT62&gt;0,HT62,IF(ROUND(DV62*$J62,6)&lt;ROUND($M62,6),DV62,0)))</f>
        <v/>
      </c>
      <c r="HV62" s="68">
        <f>IF(OR($U62=0,$F62&lt;&gt;2),0,IF(HU62&gt;0,HU62,IF(ROUND(DW62*$J62,6)&lt;ROUND($M62,6),DW62,0)))</f>
        <v/>
      </c>
      <c r="HW62" s="68">
        <f>IF(OR($U62=0,$F62&lt;&gt;2),0,IF(HV62&gt;0,HV62,IF(ROUND(DX62*$J62,6)&lt;ROUND($M62,6),DX62,0)))</f>
        <v/>
      </c>
      <c r="HX62" s="68">
        <f>IF(OR($U62=0,$F62&lt;&gt;2),0,IF(HW62&gt;0,HW62,IF(ROUND(DY62*$J62,6)&lt;ROUND($M62,6),DY62,0)))</f>
        <v/>
      </c>
      <c r="HY62" s="68">
        <f>IF(OR($U62=0,$F62&lt;&gt;2),0,IF(HX62&gt;0,HX62,IF(ROUND(DZ62*$J62,6)&lt;ROUND($M62,6),DZ62,0)))</f>
        <v/>
      </c>
      <c r="HZ62" s="68">
        <f>IF(OR($U62=0,$F62&lt;&gt;2),0,IF(HY62&gt;0,HY62,IF(ROUND(EA62*$J62,6)&lt;ROUND($M62,6),EA62,0)))</f>
        <v/>
      </c>
      <c r="IA62" s="68">
        <f>IF(OR($U62=0,$F62&lt;&gt;2),0,IF(HZ62&gt;0,HZ62,IF(ROUND(EB62*$J62,6)&lt;ROUND($M62,6),EB62,0)))</f>
        <v/>
      </c>
      <c r="IB62" s="68">
        <f>IF(OR($U62=0,$F62&lt;&gt;2),0,IF(IA62&gt;0,IA62,IF(ROUND(EC62*$J62,6)&lt;ROUND($M62,6),EC62,0)))</f>
        <v/>
      </c>
      <c r="IC62" s="68">
        <f>IF(OR($U62=0,$F62&lt;&gt;2),0,IF(IB62&gt;0,IB62,IF(ROUND(ED62*$J62,6)&lt;ROUND($M62,6),ED62,0)))</f>
        <v/>
      </c>
      <c r="ID62" s="68">
        <f>IF(OR($U62=0,$F62&lt;&gt;2),0,IF(IC62&gt;0,IC62,IF(ROUND(EE62*$J62,6)&lt;ROUND($M62,6),EE62,0)))</f>
        <v/>
      </c>
      <c r="IE62" s="68">
        <f>IF(OR($U62=0,$F62&lt;&gt;2),0,IF(ID62&gt;0,ID62,IF(ROUND(EF62*$J62,6)&lt;ROUND($M62,6),EF62,0)))</f>
        <v/>
      </c>
      <c r="IF62" s="68">
        <f>IF(OR($U62=0,$F62&lt;&gt;2),0,IF(IE62&gt;0,IE62,IF(ROUND(EG62*$J62,6)&lt;ROUND($M62,6),EG62,0)))</f>
        <v/>
      </c>
      <c r="IG62" s="68">
        <f>IF(OR($U62=0,$F62&lt;&gt;2),0,IF(IF62&gt;0,IF62,IF(ROUND(EH62*$J62,6)&lt;ROUND($M62,6),EH62,0)))</f>
        <v/>
      </c>
      <c r="IH62" s="68">
        <f>IF(OR($U62=0,$F62&lt;&gt;2),0,IF(IG62&gt;0,IG62,IF(ROUND(EI62*$J62,6)&lt;ROUND($M62,6),EI62,0)))</f>
        <v/>
      </c>
      <c r="II62" s="68">
        <f>IF(OR($U62=0,$F62&lt;&gt;2),0,IF(IH62&gt;0,IH62,IF(ROUND(EJ62*$J62,6)&lt;ROUND($M62,6),EJ62,0)))</f>
        <v/>
      </c>
      <c r="IJ62" s="68">
        <f>IF(OR($U62=0,$F62&lt;&gt;2),0,IF(II62&gt;0,II62,IF(ROUND(EK62*$J62,6)&lt;ROUND($M62,6),EK62,0)))</f>
        <v/>
      </c>
      <c r="IK62" s="68">
        <f>IF(OR($U62=0,$F62&lt;&gt;2),0,IF(IJ62&gt;0,IJ62,IF(ROUND(EL62*$J62,6)&lt;ROUND($M62,6),EL62,0)))</f>
        <v/>
      </c>
      <c r="IL62" s="68">
        <f>IF(OR($U62=0,$F62&lt;&gt;2),0,IF(IK62&gt;0,IK62,IF(ROUND(EM62*$J62,6)&lt;ROUND($M62,6),EM62,0)))</f>
        <v/>
      </c>
      <c r="IM62" s="68">
        <f>IF(OR($U62=0,$F62&lt;&gt;2),0,IF(IL62&gt;0,IL62,IF(ROUND(EN62*$J62,6)&lt;ROUND($M62,6),EN62,0)))</f>
        <v/>
      </c>
      <c r="IN62" s="68">
        <f>IF(OR($U62=0,$F62&lt;&gt;2),0,IF(IM62&gt;0,IM62,IF(ROUND(EO62*$J62,6)&lt;ROUND($M62,6),EO62,0)))</f>
        <v/>
      </c>
    </row>
    <row r="63">
      <c r="A63" s="68" t="n">
        <v>58</v>
      </c>
      <c r="B63" s="68">
        <f>IF(OR(TRIM('固定資産台帳'!$B63)&lt;&gt;"",'固定資産台帳'!$E63&lt;&gt;"",'固定資産台帳'!$G63&lt;&gt;"",'固定資産台帳'!$H63&lt;&gt;""),1,0)</f>
        <v/>
      </c>
      <c r="C63" s="68">
        <f>IF(ISNUMBER('固定資産台帳'!$G63),MAX(ROUND('固定資産台帳'!$G63,0),0),0)</f>
        <v/>
      </c>
      <c r="D63" s="84">
        <f>IF(ISNUMBER('固定資産台帳'!$E63),INT('固定資産台帳'!$E63),0)</f>
        <v/>
      </c>
      <c r="E63" s="84">
        <f>IF(ISNUMBER('固定資産台帳'!$F63),INT('固定資産台帳'!$F63),$D63)</f>
        <v/>
      </c>
      <c r="F63" s="68">
        <f>IF('固定資産台帳'!$H63="定額法",1,IF(OR('固定資産台帳'!$H63="定率法",'固定資産台帳'!$H63="定率法（200%）",'固定資産台帳'!$H63="定率法（250%）"),2,IF('固定資産台帳'!$H63="一括償却（3年）",3,IF('固定資産台帳'!$H63="少額特例",4,0))))</f>
        <v/>
      </c>
      <c r="G63" s="68">
        <f>IF('固定資産台帳'!$H63="定率法（250%）",250,IF('固定資産台帳'!$H63="定率法（200%）",200,IF($D63&gt;=DATE(2012,4,1),200,250)))</f>
        <v/>
      </c>
      <c r="H63" s="68">
        <f>IF(ISNUMBER('固定資産台帳'!$I63),IF(AND('固定資産台帳'!$I63&gt;=2,'固定資産台帳'!$I63&lt;=100,'固定資産台帳'!$I63=INT('固定資産台帳'!$I63)),'固定資産台帳'!$I63,0),0)</f>
        <v/>
      </c>
      <c r="I63" s="68">
        <f>IF('固定資産台帳'!$C63="無形固定資産",0,1)</f>
        <v/>
      </c>
      <c r="J63" s="68">
        <f>IF(OR($H63=0,$F63=0,$F63&gt;2),0,IF($F63=1,INDEX('償却率表'!$B$6:$B$104,$H63-1),IF($G63=200,INDEX('償却率表'!$C$6:$C$104,$H63-1),INDEX('償却率表'!$F$6:$F$104,$H63-1))))</f>
        <v/>
      </c>
      <c r="K63" s="68">
        <f>IF(AND($F63=2,$H63&gt;0),IF($G63=200,INDEX('償却率表'!$D$6:$D$104,$H63-1),INDEX('償却率表'!$G$6:$G$104,$H63-1)),0)</f>
        <v/>
      </c>
      <c r="L63" s="68">
        <f>IF(AND($F63=2,$H63&gt;0),IF($G63=200,INDEX('償却率表'!$E$6:$E$104,$H63-1),INDEX('償却率表'!$H$6:$H$104,$H63-1)),0)</f>
        <v/>
      </c>
      <c r="M63" s="68">
        <f>$C63*$L63</f>
        <v/>
      </c>
      <c r="N63" s="68">
        <f>IF($B$1=1,1,IF('固定資産台帳'!$J63="",1,IF(ISNUMBER('固定資産台帳'!$J63),IF(AND('固定資産台帳'!$J63&gt;0,'固定資産台帳'!$J63&lt;=1),'固定資産台帳'!$J63,0),0)))</f>
        <v/>
      </c>
      <c r="O63" s="68">
        <f>IF($E63=0,0,YEAR($E63)-IF(MONTH($E63)&lt;$B$2,1,0))</f>
        <v/>
      </c>
      <c r="P63" s="68">
        <f>IF($E63=0,0,12-MOD(MONTH($E63)-$B$2,12))</f>
        <v/>
      </c>
      <c r="Q63" s="84">
        <f>IF(ISNUMBER('固定資産台帳'!$K63),INT('固定資産台帳'!$K63),0)</f>
        <v/>
      </c>
      <c r="R63" s="68">
        <f>IF(OR($Q63=0,$E63=0),999,YEAR($Q63)-IF(MONTH($Q63)&lt;$B$2,1,0)-$O63)</f>
        <v/>
      </c>
      <c r="S63" s="68">
        <f>IF($R63=999,0,MOD(MONTH($Q63)-$B$2,12)+1-IF($R63=0,12-$P63,0))</f>
        <v/>
      </c>
      <c r="T63" s="68">
        <f>IF($B63=0,0,IF($C63&lt;=0,1,IF($D63=0,2,IF($F63=0,3,IF(AND($F63&lt;=2,$H63=0),4,IF(AND($F63&lt;=2,$D63&lt;DATE(2007,4,1)),5,IF($E63&lt;$D63,6,IF(AND($Q63&gt;0,$Q63&lt;$E63),7,IF($N63=0,8,IF($B$3=0,9,0))))))))))</f>
        <v/>
      </c>
      <c r="U63" s="68">
        <f>IF(AND($B63=1,$T63=0),1,0)</f>
        <v/>
      </c>
      <c r="V63" s="68">
        <f>$B$3-$O63</f>
        <v/>
      </c>
      <c r="W63" s="68">
        <f>IF(AND($U63=1,$V63&gt;=0),1,0)</f>
        <v/>
      </c>
      <c r="X63" s="68">
        <f>IF($W63=0,0,IF($V63=0,$C63,INDEX($AS63:$EP63,MIN($V63,102))))</f>
        <v/>
      </c>
      <c r="Y63" s="68">
        <f>IF($W63=0,0,INDEX($AS63:$EP63,MIN($V63,101)+1))</f>
        <v/>
      </c>
      <c r="Z63" s="68">
        <f>$X63-$Y63</f>
        <v/>
      </c>
      <c r="AA63" s="68">
        <f>IF(AND($W63=1,$F63=2,$V63&gt;=1),INDEX($ER63:$IN63,MIN($V63,101)),0)</f>
        <v/>
      </c>
      <c r="AB63" s="68">
        <f>IF(OR($W63=0,$F63&gt;2,$Z63=0),0,IF($V63=0,IF($R63=0,$S63,$P63),IF($V63=$R63,$S63,12)))</f>
        <v/>
      </c>
      <c r="AC63" s="68">
        <f>IF($W63=0,0,INT(ROUND($Z63*$N63,6)+$B$4))</f>
        <v/>
      </c>
      <c r="AD63" s="68">
        <f>IF(AND($W63=1,$F63&lt;=2,$V63=$R63),1,0)</f>
        <v/>
      </c>
      <c r="AE63" s="68">
        <f>IF(AND($W63=1,$F63&lt;=2,$V63&gt;$R63),1,0)</f>
        <v/>
      </c>
      <c r="AF63" s="68">
        <f>IF(AND($W63=1,$AE63=0,OR($Z63&gt;0,$AD63=1)),1,0)</f>
        <v/>
      </c>
      <c r="AG63" s="68">
        <f>IF($AF63=1,SUM($AF$6:$AF63),0)</f>
        <v/>
      </c>
      <c r="AH63" s="68">
        <f>IF($T63=0,"",CHOOSE($T63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63" s="68">
        <f>IF(AND($F63=2,OR('固定資産台帳'!$C63="建物",'固定資産台帳'!$C63="無形固定資産",AND(OR('固定資産台帳'!$C63="建物附属設備",'固定資産台帳'!$C63="構築物"),$D63&gt;=DATE(2016,4,1)))),"この資産は定額法だけです（定率法は使えません）。","")&amp;IF(AND($F63=3,$C63&gt;=200000),"一括償却は20万円未満の資産だけです。","")&amp;IF(AND($F63=3,$B$1=0,$C63&lt;100000),"10万円未満は一括償却にせず、全額をその年の経費にします。","")&amp;IF(AND($F63=4,$C63&lt;100000),"10万円未満は少額特例ではなく、全額をその年の経費にします。","")&amp;IF(AND($F63=4,$D63&lt;DATE(2026,4,1),$C63&gt;=300000),"2026年3月31日までの取得で少額特例が使えるのは30万円未満です。","")&amp;IF(AND($F63=4,$D63&gt;=DATE(2026,4,1),$C63&gt;=400000),"少額特例は40万円未満の資産だけです。","")&amp;IF(AND($F63=4,OR($D63&lt;DATE(2006,4,1),$D63&gt;DATE(2029,3,31))),"少額特例は2006年4月1日〜2029年3月31日に取得した資産だけです。","")&amp;IF(AND($F63=2,$G63=250,$D63&gt;DATE(2012,12,31)),"250%定率法は2012年12月31日までの取得だけです。","")</f>
        <v/>
      </c>
      <c r="AJ63" s="68">
        <f>IF(AND($F63=2,'固定資産台帳'!$H63="定率法（200%）",$D63&lt;DATE(2012,4,1)),"2012年3月31日までの取得に200%を使うのは、経過措置の届出をした場合です。","")&amp;IF(AND($F63=2,'固定資産台帳'!$H63="定率法（250%）",$D63&gt;=DATE(2012,4,1),$D63&lt;=DATE(2012,12,31)),"2012年4〜12月の取得に250%を使うのは、経過措置を選んだ場合です。","")</f>
        <v/>
      </c>
      <c r="AK63" s="68">
        <f>IF($U63=0,"",IF($V63&lt;0,"表示している年より後に使い始める資産です。",IF($AE63=1,"売却・除却済みです。",IF($AD63=1,"この年に売却・除却。期末の帳簿価額 "&amp;TEXT($Y63,"#,##0")&amp;"円を帳簿から外します。",IF($F63=4,IF($V63=0,"少額特例：この年に全額を経費にします。","少額特例で経費にした資産です。"),IF($F63=3,IF($V63&gt;2,"一括償却は終わっています。","一括償却 "&amp;($V63+1)&amp;"年目（3年のうち）。"),IF($Z63=0,"償却済み（帳簿価額 "&amp;TEXT($Y63,"#,##0")&amp;"円）。",IF($AA63&gt;0,"改定償却率で計算（改定取得価額 "&amp;TEXT($AA63,"#,##0")&amp;"円）。",IF($V63=0,"この年に使い始め（"&amp;$AB63&amp;"か月分）。","")))))))))</f>
        <v/>
      </c>
      <c r="AL63" s="68">
        <f>IF(AND($U63=1,$F63=4,$V63=0),$C63,0)</f>
        <v/>
      </c>
      <c r="AM63" s="68">
        <f>IF($F63=2,INT(ROUND($M63,6)+$B$4),0)</f>
        <v/>
      </c>
      <c r="AN63" s="68">
        <f>IF($W63=0,0,IF($F63=2,IF($AA63&gt;0,$AA63,$X63),$C63))</f>
        <v/>
      </c>
      <c r="AO63" s="68">
        <f>IF($W63=0,"",IF($F63=3,"1/3",IF($F63=4,"―",IF($AA63&gt;0,$K63,$J63))))</f>
        <v/>
      </c>
      <c r="AP63" s="68" t="n"/>
      <c r="AQ63" s="68" t="n"/>
      <c r="AR63" s="68" t="n"/>
      <c r="AS63" s="68">
        <f>IF($U63=0,0,IF($F63=4,0,IF($F63=3,MAX($C63-INT(ROUND($C63/3,6)+$B$4),0),$C63-MIN(INT(ROUND($C63*$J63*IF($R63=0,$S63,$P63)/12,6)+$B$4),MAX($C63-$I63,0)))))</f>
        <v/>
      </c>
      <c r="AT63" s="68">
        <f>IF($U63=0,0,IF($F63=4,0,IF($F63=3,AS63-MIN(INT(ROUND($C63/3,6)+$B$4),AS63),IF(OR(1&gt;$R63,AS63&lt;=$I63),AS63,AS63-MIN(INT(ROUND(IF($F63=1,$C63*$J63,IF(ER63&gt;0,ER63*$K63,AS63*$J63))*IF(1=$R63,$S63,12)/12,6)+$B$4),AS63-$I63)))))</f>
        <v/>
      </c>
      <c r="AU63" s="68">
        <f>IF($U63=0,0,IF($F63=4,0,IF($F63=3,0,IF(OR(2&gt;$R63,AT63&lt;=$I63),AT63,AT63-MIN(INT(ROUND(IF($F63=1,$C63*$J63,IF(ES63&gt;0,ES63*$K63,AT63*$J63))*IF(2=$R63,$S63,12)/12,6)+$B$4),AT63-$I63)))))</f>
        <v/>
      </c>
      <c r="AV63" s="68">
        <f>IF($U63=0,0,IF($F63=4,0,IF($F63=3,0,IF(OR(3&gt;$R63,AU63&lt;=$I63),AU63,AU63-MIN(INT(ROUND(IF($F63=1,$C63*$J63,IF(ET63&gt;0,ET63*$K63,AU63*$J63))*IF(3=$R63,$S63,12)/12,6)+$B$4),AU63-$I63)))))</f>
        <v/>
      </c>
      <c r="AW63" s="68">
        <f>IF($U63=0,0,IF($F63=4,0,IF($F63=3,0,IF(OR(4&gt;$R63,AV63&lt;=$I63),AV63,AV63-MIN(INT(ROUND(IF($F63=1,$C63*$J63,IF(EU63&gt;0,EU63*$K63,AV63*$J63))*IF(4=$R63,$S63,12)/12,6)+$B$4),AV63-$I63)))))</f>
        <v/>
      </c>
      <c r="AX63" s="68">
        <f>IF($U63=0,0,IF($F63=4,0,IF($F63=3,0,IF(OR(5&gt;$R63,AW63&lt;=$I63),AW63,AW63-MIN(INT(ROUND(IF($F63=1,$C63*$J63,IF(EV63&gt;0,EV63*$K63,AW63*$J63))*IF(5=$R63,$S63,12)/12,6)+$B$4),AW63-$I63)))))</f>
        <v/>
      </c>
      <c r="AY63" s="68">
        <f>IF($U63=0,0,IF($F63=4,0,IF($F63=3,0,IF(OR(6&gt;$R63,AX63&lt;=$I63),AX63,AX63-MIN(INT(ROUND(IF($F63=1,$C63*$J63,IF(EW63&gt;0,EW63*$K63,AX63*$J63))*IF(6=$R63,$S63,12)/12,6)+$B$4),AX63-$I63)))))</f>
        <v/>
      </c>
      <c r="AZ63" s="68">
        <f>IF($U63=0,0,IF($F63=4,0,IF($F63=3,0,IF(OR(7&gt;$R63,AY63&lt;=$I63),AY63,AY63-MIN(INT(ROUND(IF($F63=1,$C63*$J63,IF(EX63&gt;0,EX63*$K63,AY63*$J63))*IF(7=$R63,$S63,12)/12,6)+$B$4),AY63-$I63)))))</f>
        <v/>
      </c>
      <c r="BA63" s="68">
        <f>IF($U63=0,0,IF($F63=4,0,IF($F63=3,0,IF(OR(8&gt;$R63,AZ63&lt;=$I63),AZ63,AZ63-MIN(INT(ROUND(IF($F63=1,$C63*$J63,IF(EY63&gt;0,EY63*$K63,AZ63*$J63))*IF(8=$R63,$S63,12)/12,6)+$B$4),AZ63-$I63)))))</f>
        <v/>
      </c>
      <c r="BB63" s="68">
        <f>IF($U63=0,0,IF($F63=4,0,IF($F63=3,0,IF(OR(9&gt;$R63,BA63&lt;=$I63),BA63,BA63-MIN(INT(ROUND(IF($F63=1,$C63*$J63,IF(EZ63&gt;0,EZ63*$K63,BA63*$J63))*IF(9=$R63,$S63,12)/12,6)+$B$4),BA63-$I63)))))</f>
        <v/>
      </c>
      <c r="BC63" s="68">
        <f>IF($U63=0,0,IF($F63=4,0,IF($F63=3,0,IF(OR(10&gt;$R63,BB63&lt;=$I63),BB63,BB63-MIN(INT(ROUND(IF($F63=1,$C63*$J63,IF(FA63&gt;0,FA63*$K63,BB63*$J63))*IF(10=$R63,$S63,12)/12,6)+$B$4),BB63-$I63)))))</f>
        <v/>
      </c>
      <c r="BD63" s="68">
        <f>IF($U63=0,0,IF($F63=4,0,IF($F63=3,0,IF(OR(11&gt;$R63,BC63&lt;=$I63),BC63,BC63-MIN(INT(ROUND(IF($F63=1,$C63*$J63,IF(FB63&gt;0,FB63*$K63,BC63*$J63))*IF(11=$R63,$S63,12)/12,6)+$B$4),BC63-$I63)))))</f>
        <v/>
      </c>
      <c r="BE63" s="68">
        <f>IF($U63=0,0,IF($F63=4,0,IF($F63=3,0,IF(OR(12&gt;$R63,BD63&lt;=$I63),BD63,BD63-MIN(INT(ROUND(IF($F63=1,$C63*$J63,IF(FC63&gt;0,FC63*$K63,BD63*$J63))*IF(12=$R63,$S63,12)/12,6)+$B$4),BD63-$I63)))))</f>
        <v/>
      </c>
      <c r="BF63" s="68">
        <f>IF($U63=0,0,IF($F63=4,0,IF($F63=3,0,IF(OR(13&gt;$R63,BE63&lt;=$I63),BE63,BE63-MIN(INT(ROUND(IF($F63=1,$C63*$J63,IF(FD63&gt;0,FD63*$K63,BE63*$J63))*IF(13=$R63,$S63,12)/12,6)+$B$4),BE63-$I63)))))</f>
        <v/>
      </c>
      <c r="BG63" s="68">
        <f>IF($U63=0,0,IF($F63=4,0,IF($F63=3,0,IF(OR(14&gt;$R63,BF63&lt;=$I63),BF63,BF63-MIN(INT(ROUND(IF($F63=1,$C63*$J63,IF(FE63&gt;0,FE63*$K63,BF63*$J63))*IF(14=$R63,$S63,12)/12,6)+$B$4),BF63-$I63)))))</f>
        <v/>
      </c>
      <c r="BH63" s="68">
        <f>IF($U63=0,0,IF($F63=4,0,IF($F63=3,0,IF(OR(15&gt;$R63,BG63&lt;=$I63),BG63,BG63-MIN(INT(ROUND(IF($F63=1,$C63*$J63,IF(FF63&gt;0,FF63*$K63,BG63*$J63))*IF(15=$R63,$S63,12)/12,6)+$B$4),BG63-$I63)))))</f>
        <v/>
      </c>
      <c r="BI63" s="68">
        <f>IF($U63=0,0,IF($F63=4,0,IF($F63=3,0,IF(OR(16&gt;$R63,BH63&lt;=$I63),BH63,BH63-MIN(INT(ROUND(IF($F63=1,$C63*$J63,IF(FG63&gt;0,FG63*$K63,BH63*$J63))*IF(16=$R63,$S63,12)/12,6)+$B$4),BH63-$I63)))))</f>
        <v/>
      </c>
      <c r="BJ63" s="68">
        <f>IF($U63=0,0,IF($F63=4,0,IF($F63=3,0,IF(OR(17&gt;$R63,BI63&lt;=$I63),BI63,BI63-MIN(INT(ROUND(IF($F63=1,$C63*$J63,IF(FH63&gt;0,FH63*$K63,BI63*$J63))*IF(17=$R63,$S63,12)/12,6)+$B$4),BI63-$I63)))))</f>
        <v/>
      </c>
      <c r="BK63" s="68">
        <f>IF($U63=0,0,IF($F63=4,0,IF($F63=3,0,IF(OR(18&gt;$R63,BJ63&lt;=$I63),BJ63,BJ63-MIN(INT(ROUND(IF($F63=1,$C63*$J63,IF(FI63&gt;0,FI63*$K63,BJ63*$J63))*IF(18=$R63,$S63,12)/12,6)+$B$4),BJ63-$I63)))))</f>
        <v/>
      </c>
      <c r="BL63" s="68">
        <f>IF($U63=0,0,IF($F63=4,0,IF($F63=3,0,IF(OR(19&gt;$R63,BK63&lt;=$I63),BK63,BK63-MIN(INT(ROUND(IF($F63=1,$C63*$J63,IF(FJ63&gt;0,FJ63*$K63,BK63*$J63))*IF(19=$R63,$S63,12)/12,6)+$B$4),BK63-$I63)))))</f>
        <v/>
      </c>
      <c r="BM63" s="68">
        <f>IF($U63=0,0,IF($F63=4,0,IF($F63=3,0,IF(OR(20&gt;$R63,BL63&lt;=$I63),BL63,BL63-MIN(INT(ROUND(IF($F63=1,$C63*$J63,IF(FK63&gt;0,FK63*$K63,BL63*$J63))*IF(20=$R63,$S63,12)/12,6)+$B$4),BL63-$I63)))))</f>
        <v/>
      </c>
      <c r="BN63" s="68">
        <f>IF($U63=0,0,IF($F63=4,0,IF($F63=3,0,IF(OR(21&gt;$R63,BM63&lt;=$I63),BM63,BM63-MIN(INT(ROUND(IF($F63=1,$C63*$J63,IF(FL63&gt;0,FL63*$K63,BM63*$J63))*IF(21=$R63,$S63,12)/12,6)+$B$4),BM63-$I63)))))</f>
        <v/>
      </c>
      <c r="BO63" s="68">
        <f>IF($U63=0,0,IF($F63=4,0,IF($F63=3,0,IF(OR(22&gt;$R63,BN63&lt;=$I63),BN63,BN63-MIN(INT(ROUND(IF($F63=1,$C63*$J63,IF(FM63&gt;0,FM63*$K63,BN63*$J63))*IF(22=$R63,$S63,12)/12,6)+$B$4),BN63-$I63)))))</f>
        <v/>
      </c>
      <c r="BP63" s="68">
        <f>IF($U63=0,0,IF($F63=4,0,IF($F63=3,0,IF(OR(23&gt;$R63,BO63&lt;=$I63),BO63,BO63-MIN(INT(ROUND(IF($F63=1,$C63*$J63,IF(FN63&gt;0,FN63*$K63,BO63*$J63))*IF(23=$R63,$S63,12)/12,6)+$B$4),BO63-$I63)))))</f>
        <v/>
      </c>
      <c r="BQ63" s="68">
        <f>IF($U63=0,0,IF($F63=4,0,IF($F63=3,0,IF(OR(24&gt;$R63,BP63&lt;=$I63),BP63,BP63-MIN(INT(ROUND(IF($F63=1,$C63*$J63,IF(FO63&gt;0,FO63*$K63,BP63*$J63))*IF(24=$R63,$S63,12)/12,6)+$B$4),BP63-$I63)))))</f>
        <v/>
      </c>
      <c r="BR63" s="68">
        <f>IF($U63=0,0,IF($F63=4,0,IF($F63=3,0,IF(OR(25&gt;$R63,BQ63&lt;=$I63),BQ63,BQ63-MIN(INT(ROUND(IF($F63=1,$C63*$J63,IF(FP63&gt;0,FP63*$K63,BQ63*$J63))*IF(25=$R63,$S63,12)/12,6)+$B$4),BQ63-$I63)))))</f>
        <v/>
      </c>
      <c r="BS63" s="68">
        <f>IF($U63=0,0,IF($F63=4,0,IF($F63=3,0,IF(OR(26&gt;$R63,BR63&lt;=$I63),BR63,BR63-MIN(INT(ROUND(IF($F63=1,$C63*$J63,IF(FQ63&gt;0,FQ63*$K63,BR63*$J63))*IF(26=$R63,$S63,12)/12,6)+$B$4),BR63-$I63)))))</f>
        <v/>
      </c>
      <c r="BT63" s="68">
        <f>IF($U63=0,0,IF($F63=4,0,IF($F63=3,0,IF(OR(27&gt;$R63,BS63&lt;=$I63),BS63,BS63-MIN(INT(ROUND(IF($F63=1,$C63*$J63,IF(FR63&gt;0,FR63*$K63,BS63*$J63))*IF(27=$R63,$S63,12)/12,6)+$B$4),BS63-$I63)))))</f>
        <v/>
      </c>
      <c r="BU63" s="68">
        <f>IF($U63=0,0,IF($F63=4,0,IF($F63=3,0,IF(OR(28&gt;$R63,BT63&lt;=$I63),BT63,BT63-MIN(INT(ROUND(IF($F63=1,$C63*$J63,IF(FS63&gt;0,FS63*$K63,BT63*$J63))*IF(28=$R63,$S63,12)/12,6)+$B$4),BT63-$I63)))))</f>
        <v/>
      </c>
      <c r="BV63" s="68">
        <f>IF($U63=0,0,IF($F63=4,0,IF($F63=3,0,IF(OR(29&gt;$R63,BU63&lt;=$I63),BU63,BU63-MIN(INT(ROUND(IF($F63=1,$C63*$J63,IF(FT63&gt;0,FT63*$K63,BU63*$J63))*IF(29=$R63,$S63,12)/12,6)+$B$4),BU63-$I63)))))</f>
        <v/>
      </c>
      <c r="BW63" s="68">
        <f>IF($U63=0,0,IF($F63=4,0,IF($F63=3,0,IF(OR(30&gt;$R63,BV63&lt;=$I63),BV63,BV63-MIN(INT(ROUND(IF($F63=1,$C63*$J63,IF(FU63&gt;0,FU63*$K63,BV63*$J63))*IF(30=$R63,$S63,12)/12,6)+$B$4),BV63-$I63)))))</f>
        <v/>
      </c>
      <c r="BX63" s="68">
        <f>IF($U63=0,0,IF($F63=4,0,IF($F63=3,0,IF(OR(31&gt;$R63,BW63&lt;=$I63),BW63,BW63-MIN(INT(ROUND(IF($F63=1,$C63*$J63,IF(FV63&gt;0,FV63*$K63,BW63*$J63))*IF(31=$R63,$S63,12)/12,6)+$B$4),BW63-$I63)))))</f>
        <v/>
      </c>
      <c r="BY63" s="68">
        <f>IF($U63=0,0,IF($F63=4,0,IF($F63=3,0,IF(OR(32&gt;$R63,BX63&lt;=$I63),BX63,BX63-MIN(INT(ROUND(IF($F63=1,$C63*$J63,IF(FW63&gt;0,FW63*$K63,BX63*$J63))*IF(32=$R63,$S63,12)/12,6)+$B$4),BX63-$I63)))))</f>
        <v/>
      </c>
      <c r="BZ63" s="68">
        <f>IF($U63=0,0,IF($F63=4,0,IF($F63=3,0,IF(OR(33&gt;$R63,BY63&lt;=$I63),BY63,BY63-MIN(INT(ROUND(IF($F63=1,$C63*$J63,IF(FX63&gt;0,FX63*$K63,BY63*$J63))*IF(33=$R63,$S63,12)/12,6)+$B$4),BY63-$I63)))))</f>
        <v/>
      </c>
      <c r="CA63" s="68">
        <f>IF($U63=0,0,IF($F63=4,0,IF($F63=3,0,IF(OR(34&gt;$R63,BZ63&lt;=$I63),BZ63,BZ63-MIN(INT(ROUND(IF($F63=1,$C63*$J63,IF(FY63&gt;0,FY63*$K63,BZ63*$J63))*IF(34=$R63,$S63,12)/12,6)+$B$4),BZ63-$I63)))))</f>
        <v/>
      </c>
      <c r="CB63" s="68">
        <f>IF($U63=0,0,IF($F63=4,0,IF($F63=3,0,IF(OR(35&gt;$R63,CA63&lt;=$I63),CA63,CA63-MIN(INT(ROUND(IF($F63=1,$C63*$J63,IF(FZ63&gt;0,FZ63*$K63,CA63*$J63))*IF(35=$R63,$S63,12)/12,6)+$B$4),CA63-$I63)))))</f>
        <v/>
      </c>
      <c r="CC63" s="68">
        <f>IF($U63=0,0,IF($F63=4,0,IF($F63=3,0,IF(OR(36&gt;$R63,CB63&lt;=$I63),CB63,CB63-MIN(INT(ROUND(IF($F63=1,$C63*$J63,IF(GA63&gt;0,GA63*$K63,CB63*$J63))*IF(36=$R63,$S63,12)/12,6)+$B$4),CB63-$I63)))))</f>
        <v/>
      </c>
      <c r="CD63" s="68">
        <f>IF($U63=0,0,IF($F63=4,0,IF($F63=3,0,IF(OR(37&gt;$R63,CC63&lt;=$I63),CC63,CC63-MIN(INT(ROUND(IF($F63=1,$C63*$J63,IF(GB63&gt;0,GB63*$K63,CC63*$J63))*IF(37=$R63,$S63,12)/12,6)+$B$4),CC63-$I63)))))</f>
        <v/>
      </c>
      <c r="CE63" s="68">
        <f>IF($U63=0,0,IF($F63=4,0,IF($F63=3,0,IF(OR(38&gt;$R63,CD63&lt;=$I63),CD63,CD63-MIN(INT(ROUND(IF($F63=1,$C63*$J63,IF(GC63&gt;0,GC63*$K63,CD63*$J63))*IF(38=$R63,$S63,12)/12,6)+$B$4),CD63-$I63)))))</f>
        <v/>
      </c>
      <c r="CF63" s="68">
        <f>IF($U63=0,0,IF($F63=4,0,IF($F63=3,0,IF(OR(39&gt;$R63,CE63&lt;=$I63),CE63,CE63-MIN(INT(ROUND(IF($F63=1,$C63*$J63,IF(GD63&gt;0,GD63*$K63,CE63*$J63))*IF(39=$R63,$S63,12)/12,6)+$B$4),CE63-$I63)))))</f>
        <v/>
      </c>
      <c r="CG63" s="68">
        <f>IF($U63=0,0,IF($F63=4,0,IF($F63=3,0,IF(OR(40&gt;$R63,CF63&lt;=$I63),CF63,CF63-MIN(INT(ROUND(IF($F63=1,$C63*$J63,IF(GE63&gt;0,GE63*$K63,CF63*$J63))*IF(40=$R63,$S63,12)/12,6)+$B$4),CF63-$I63)))))</f>
        <v/>
      </c>
      <c r="CH63" s="68">
        <f>IF($U63=0,0,IF($F63=4,0,IF($F63=3,0,IF(OR(41&gt;$R63,CG63&lt;=$I63),CG63,CG63-MIN(INT(ROUND(IF($F63=1,$C63*$J63,IF(GF63&gt;0,GF63*$K63,CG63*$J63))*IF(41=$R63,$S63,12)/12,6)+$B$4),CG63-$I63)))))</f>
        <v/>
      </c>
      <c r="CI63" s="68">
        <f>IF($U63=0,0,IF($F63=4,0,IF($F63=3,0,IF(OR(42&gt;$R63,CH63&lt;=$I63),CH63,CH63-MIN(INT(ROUND(IF($F63=1,$C63*$J63,IF(GG63&gt;0,GG63*$K63,CH63*$J63))*IF(42=$R63,$S63,12)/12,6)+$B$4),CH63-$I63)))))</f>
        <v/>
      </c>
      <c r="CJ63" s="68">
        <f>IF($U63=0,0,IF($F63=4,0,IF($F63=3,0,IF(OR(43&gt;$R63,CI63&lt;=$I63),CI63,CI63-MIN(INT(ROUND(IF($F63=1,$C63*$J63,IF(GH63&gt;0,GH63*$K63,CI63*$J63))*IF(43=$R63,$S63,12)/12,6)+$B$4),CI63-$I63)))))</f>
        <v/>
      </c>
      <c r="CK63" s="68">
        <f>IF($U63=0,0,IF($F63=4,0,IF($F63=3,0,IF(OR(44&gt;$R63,CJ63&lt;=$I63),CJ63,CJ63-MIN(INT(ROUND(IF($F63=1,$C63*$J63,IF(GI63&gt;0,GI63*$K63,CJ63*$J63))*IF(44=$R63,$S63,12)/12,6)+$B$4),CJ63-$I63)))))</f>
        <v/>
      </c>
      <c r="CL63" s="68">
        <f>IF($U63=0,0,IF($F63=4,0,IF($F63=3,0,IF(OR(45&gt;$R63,CK63&lt;=$I63),CK63,CK63-MIN(INT(ROUND(IF($F63=1,$C63*$J63,IF(GJ63&gt;0,GJ63*$K63,CK63*$J63))*IF(45=$R63,$S63,12)/12,6)+$B$4),CK63-$I63)))))</f>
        <v/>
      </c>
      <c r="CM63" s="68">
        <f>IF($U63=0,0,IF($F63=4,0,IF($F63=3,0,IF(OR(46&gt;$R63,CL63&lt;=$I63),CL63,CL63-MIN(INT(ROUND(IF($F63=1,$C63*$J63,IF(GK63&gt;0,GK63*$K63,CL63*$J63))*IF(46=$R63,$S63,12)/12,6)+$B$4),CL63-$I63)))))</f>
        <v/>
      </c>
      <c r="CN63" s="68">
        <f>IF($U63=0,0,IF($F63=4,0,IF($F63=3,0,IF(OR(47&gt;$R63,CM63&lt;=$I63),CM63,CM63-MIN(INT(ROUND(IF($F63=1,$C63*$J63,IF(GL63&gt;0,GL63*$K63,CM63*$J63))*IF(47=$R63,$S63,12)/12,6)+$B$4),CM63-$I63)))))</f>
        <v/>
      </c>
      <c r="CO63" s="68">
        <f>IF($U63=0,0,IF($F63=4,0,IF($F63=3,0,IF(OR(48&gt;$R63,CN63&lt;=$I63),CN63,CN63-MIN(INT(ROUND(IF($F63=1,$C63*$J63,IF(GM63&gt;0,GM63*$K63,CN63*$J63))*IF(48=$R63,$S63,12)/12,6)+$B$4),CN63-$I63)))))</f>
        <v/>
      </c>
      <c r="CP63" s="68">
        <f>IF($U63=0,0,IF($F63=4,0,IF($F63=3,0,IF(OR(49&gt;$R63,CO63&lt;=$I63),CO63,CO63-MIN(INT(ROUND(IF($F63=1,$C63*$J63,IF(GN63&gt;0,GN63*$K63,CO63*$J63))*IF(49=$R63,$S63,12)/12,6)+$B$4),CO63-$I63)))))</f>
        <v/>
      </c>
      <c r="CQ63" s="68">
        <f>IF($U63=0,0,IF($F63=4,0,IF($F63=3,0,IF(OR(50&gt;$R63,CP63&lt;=$I63),CP63,CP63-MIN(INT(ROUND(IF($F63=1,$C63*$J63,IF(GO63&gt;0,GO63*$K63,CP63*$J63))*IF(50=$R63,$S63,12)/12,6)+$B$4),CP63-$I63)))))</f>
        <v/>
      </c>
      <c r="CR63" s="68">
        <f>IF($U63=0,0,IF($F63=4,0,IF($F63=3,0,IF(OR(51&gt;$R63,CQ63&lt;=$I63),CQ63,CQ63-MIN(INT(ROUND(IF($F63=1,$C63*$J63,IF(GP63&gt;0,GP63*$K63,CQ63*$J63))*IF(51=$R63,$S63,12)/12,6)+$B$4),CQ63-$I63)))))</f>
        <v/>
      </c>
      <c r="CS63" s="68">
        <f>IF($U63=0,0,IF($F63=4,0,IF($F63=3,0,IF(OR(52&gt;$R63,CR63&lt;=$I63),CR63,CR63-MIN(INT(ROUND(IF($F63=1,$C63*$J63,IF(GQ63&gt;0,GQ63*$K63,CR63*$J63))*IF(52=$R63,$S63,12)/12,6)+$B$4),CR63-$I63)))))</f>
        <v/>
      </c>
      <c r="CT63" s="68">
        <f>IF($U63=0,0,IF($F63=4,0,IF($F63=3,0,IF(OR(53&gt;$R63,CS63&lt;=$I63),CS63,CS63-MIN(INT(ROUND(IF($F63=1,$C63*$J63,IF(GR63&gt;0,GR63*$K63,CS63*$J63))*IF(53=$R63,$S63,12)/12,6)+$B$4),CS63-$I63)))))</f>
        <v/>
      </c>
      <c r="CU63" s="68">
        <f>IF($U63=0,0,IF($F63=4,0,IF($F63=3,0,IF(OR(54&gt;$R63,CT63&lt;=$I63),CT63,CT63-MIN(INT(ROUND(IF($F63=1,$C63*$J63,IF(GS63&gt;0,GS63*$K63,CT63*$J63))*IF(54=$R63,$S63,12)/12,6)+$B$4),CT63-$I63)))))</f>
        <v/>
      </c>
      <c r="CV63" s="68">
        <f>IF($U63=0,0,IF($F63=4,0,IF($F63=3,0,IF(OR(55&gt;$R63,CU63&lt;=$I63),CU63,CU63-MIN(INT(ROUND(IF($F63=1,$C63*$J63,IF(GT63&gt;0,GT63*$K63,CU63*$J63))*IF(55=$R63,$S63,12)/12,6)+$B$4),CU63-$I63)))))</f>
        <v/>
      </c>
      <c r="CW63" s="68">
        <f>IF($U63=0,0,IF($F63=4,0,IF($F63=3,0,IF(OR(56&gt;$R63,CV63&lt;=$I63),CV63,CV63-MIN(INT(ROUND(IF($F63=1,$C63*$J63,IF(GU63&gt;0,GU63*$K63,CV63*$J63))*IF(56=$R63,$S63,12)/12,6)+$B$4),CV63-$I63)))))</f>
        <v/>
      </c>
      <c r="CX63" s="68">
        <f>IF($U63=0,0,IF($F63=4,0,IF($F63=3,0,IF(OR(57&gt;$R63,CW63&lt;=$I63),CW63,CW63-MIN(INT(ROUND(IF($F63=1,$C63*$J63,IF(GV63&gt;0,GV63*$K63,CW63*$J63))*IF(57=$R63,$S63,12)/12,6)+$B$4),CW63-$I63)))))</f>
        <v/>
      </c>
      <c r="CY63" s="68">
        <f>IF($U63=0,0,IF($F63=4,0,IF($F63=3,0,IF(OR(58&gt;$R63,CX63&lt;=$I63),CX63,CX63-MIN(INT(ROUND(IF($F63=1,$C63*$J63,IF(GW63&gt;0,GW63*$K63,CX63*$J63))*IF(58=$R63,$S63,12)/12,6)+$B$4),CX63-$I63)))))</f>
        <v/>
      </c>
      <c r="CZ63" s="68">
        <f>IF($U63=0,0,IF($F63=4,0,IF($F63=3,0,IF(OR(59&gt;$R63,CY63&lt;=$I63),CY63,CY63-MIN(INT(ROUND(IF($F63=1,$C63*$J63,IF(GX63&gt;0,GX63*$K63,CY63*$J63))*IF(59=$R63,$S63,12)/12,6)+$B$4),CY63-$I63)))))</f>
        <v/>
      </c>
      <c r="DA63" s="68">
        <f>IF($U63=0,0,IF($F63=4,0,IF($F63=3,0,IF(OR(60&gt;$R63,CZ63&lt;=$I63),CZ63,CZ63-MIN(INT(ROUND(IF($F63=1,$C63*$J63,IF(GY63&gt;0,GY63*$K63,CZ63*$J63))*IF(60=$R63,$S63,12)/12,6)+$B$4),CZ63-$I63)))))</f>
        <v/>
      </c>
      <c r="DB63" s="68">
        <f>IF($U63=0,0,IF($F63=4,0,IF($F63=3,0,IF(OR(61&gt;$R63,DA63&lt;=$I63),DA63,DA63-MIN(INT(ROUND(IF($F63=1,$C63*$J63,IF(GZ63&gt;0,GZ63*$K63,DA63*$J63))*IF(61=$R63,$S63,12)/12,6)+$B$4),DA63-$I63)))))</f>
        <v/>
      </c>
      <c r="DC63" s="68">
        <f>IF($U63=0,0,IF($F63=4,0,IF($F63=3,0,IF(OR(62&gt;$R63,DB63&lt;=$I63),DB63,DB63-MIN(INT(ROUND(IF($F63=1,$C63*$J63,IF(HA63&gt;0,HA63*$K63,DB63*$J63))*IF(62=$R63,$S63,12)/12,6)+$B$4),DB63-$I63)))))</f>
        <v/>
      </c>
      <c r="DD63" s="68">
        <f>IF($U63=0,0,IF($F63=4,0,IF($F63=3,0,IF(OR(63&gt;$R63,DC63&lt;=$I63),DC63,DC63-MIN(INT(ROUND(IF($F63=1,$C63*$J63,IF(HB63&gt;0,HB63*$K63,DC63*$J63))*IF(63=$R63,$S63,12)/12,6)+$B$4),DC63-$I63)))))</f>
        <v/>
      </c>
      <c r="DE63" s="68">
        <f>IF($U63=0,0,IF($F63=4,0,IF($F63=3,0,IF(OR(64&gt;$R63,DD63&lt;=$I63),DD63,DD63-MIN(INT(ROUND(IF($F63=1,$C63*$J63,IF(HC63&gt;0,HC63*$K63,DD63*$J63))*IF(64=$R63,$S63,12)/12,6)+$B$4),DD63-$I63)))))</f>
        <v/>
      </c>
      <c r="DF63" s="68">
        <f>IF($U63=0,0,IF($F63=4,0,IF($F63=3,0,IF(OR(65&gt;$R63,DE63&lt;=$I63),DE63,DE63-MIN(INT(ROUND(IF($F63=1,$C63*$J63,IF(HD63&gt;0,HD63*$K63,DE63*$J63))*IF(65=$R63,$S63,12)/12,6)+$B$4),DE63-$I63)))))</f>
        <v/>
      </c>
      <c r="DG63" s="68">
        <f>IF($U63=0,0,IF($F63=4,0,IF($F63=3,0,IF(OR(66&gt;$R63,DF63&lt;=$I63),DF63,DF63-MIN(INT(ROUND(IF($F63=1,$C63*$J63,IF(HE63&gt;0,HE63*$K63,DF63*$J63))*IF(66=$R63,$S63,12)/12,6)+$B$4),DF63-$I63)))))</f>
        <v/>
      </c>
      <c r="DH63" s="68">
        <f>IF($U63=0,0,IF($F63=4,0,IF($F63=3,0,IF(OR(67&gt;$R63,DG63&lt;=$I63),DG63,DG63-MIN(INT(ROUND(IF($F63=1,$C63*$J63,IF(HF63&gt;0,HF63*$K63,DG63*$J63))*IF(67=$R63,$S63,12)/12,6)+$B$4),DG63-$I63)))))</f>
        <v/>
      </c>
      <c r="DI63" s="68">
        <f>IF($U63=0,0,IF($F63=4,0,IF($F63=3,0,IF(OR(68&gt;$R63,DH63&lt;=$I63),DH63,DH63-MIN(INT(ROUND(IF($F63=1,$C63*$J63,IF(HG63&gt;0,HG63*$K63,DH63*$J63))*IF(68=$R63,$S63,12)/12,6)+$B$4),DH63-$I63)))))</f>
        <v/>
      </c>
      <c r="DJ63" s="68">
        <f>IF($U63=0,0,IF($F63=4,0,IF($F63=3,0,IF(OR(69&gt;$R63,DI63&lt;=$I63),DI63,DI63-MIN(INT(ROUND(IF($F63=1,$C63*$J63,IF(HH63&gt;0,HH63*$K63,DI63*$J63))*IF(69=$R63,$S63,12)/12,6)+$B$4),DI63-$I63)))))</f>
        <v/>
      </c>
      <c r="DK63" s="68">
        <f>IF($U63=0,0,IF($F63=4,0,IF($F63=3,0,IF(OR(70&gt;$R63,DJ63&lt;=$I63),DJ63,DJ63-MIN(INT(ROUND(IF($F63=1,$C63*$J63,IF(HI63&gt;0,HI63*$K63,DJ63*$J63))*IF(70=$R63,$S63,12)/12,6)+$B$4),DJ63-$I63)))))</f>
        <v/>
      </c>
      <c r="DL63" s="68">
        <f>IF($U63=0,0,IF($F63=4,0,IF($F63=3,0,IF(OR(71&gt;$R63,DK63&lt;=$I63),DK63,DK63-MIN(INT(ROUND(IF($F63=1,$C63*$J63,IF(HJ63&gt;0,HJ63*$K63,DK63*$J63))*IF(71=$R63,$S63,12)/12,6)+$B$4),DK63-$I63)))))</f>
        <v/>
      </c>
      <c r="DM63" s="68">
        <f>IF($U63=0,0,IF($F63=4,0,IF($F63=3,0,IF(OR(72&gt;$R63,DL63&lt;=$I63),DL63,DL63-MIN(INT(ROUND(IF($F63=1,$C63*$J63,IF(HK63&gt;0,HK63*$K63,DL63*$J63))*IF(72=$R63,$S63,12)/12,6)+$B$4),DL63-$I63)))))</f>
        <v/>
      </c>
      <c r="DN63" s="68">
        <f>IF($U63=0,0,IF($F63=4,0,IF($F63=3,0,IF(OR(73&gt;$R63,DM63&lt;=$I63),DM63,DM63-MIN(INT(ROUND(IF($F63=1,$C63*$J63,IF(HL63&gt;0,HL63*$K63,DM63*$J63))*IF(73=$R63,$S63,12)/12,6)+$B$4),DM63-$I63)))))</f>
        <v/>
      </c>
      <c r="DO63" s="68">
        <f>IF($U63=0,0,IF($F63=4,0,IF($F63=3,0,IF(OR(74&gt;$R63,DN63&lt;=$I63),DN63,DN63-MIN(INT(ROUND(IF($F63=1,$C63*$J63,IF(HM63&gt;0,HM63*$K63,DN63*$J63))*IF(74=$R63,$S63,12)/12,6)+$B$4),DN63-$I63)))))</f>
        <v/>
      </c>
      <c r="DP63" s="68">
        <f>IF($U63=0,0,IF($F63=4,0,IF($F63=3,0,IF(OR(75&gt;$R63,DO63&lt;=$I63),DO63,DO63-MIN(INT(ROUND(IF($F63=1,$C63*$J63,IF(HN63&gt;0,HN63*$K63,DO63*$J63))*IF(75=$R63,$S63,12)/12,6)+$B$4),DO63-$I63)))))</f>
        <v/>
      </c>
      <c r="DQ63" s="68">
        <f>IF($U63=0,0,IF($F63=4,0,IF($F63=3,0,IF(OR(76&gt;$R63,DP63&lt;=$I63),DP63,DP63-MIN(INT(ROUND(IF($F63=1,$C63*$J63,IF(HO63&gt;0,HO63*$K63,DP63*$J63))*IF(76=$R63,$S63,12)/12,6)+$B$4),DP63-$I63)))))</f>
        <v/>
      </c>
      <c r="DR63" s="68">
        <f>IF($U63=0,0,IF($F63=4,0,IF($F63=3,0,IF(OR(77&gt;$R63,DQ63&lt;=$I63),DQ63,DQ63-MIN(INT(ROUND(IF($F63=1,$C63*$J63,IF(HP63&gt;0,HP63*$K63,DQ63*$J63))*IF(77=$R63,$S63,12)/12,6)+$B$4),DQ63-$I63)))))</f>
        <v/>
      </c>
      <c r="DS63" s="68">
        <f>IF($U63=0,0,IF($F63=4,0,IF($F63=3,0,IF(OR(78&gt;$R63,DR63&lt;=$I63),DR63,DR63-MIN(INT(ROUND(IF($F63=1,$C63*$J63,IF(HQ63&gt;0,HQ63*$K63,DR63*$J63))*IF(78=$R63,$S63,12)/12,6)+$B$4),DR63-$I63)))))</f>
        <v/>
      </c>
      <c r="DT63" s="68">
        <f>IF($U63=0,0,IF($F63=4,0,IF($F63=3,0,IF(OR(79&gt;$R63,DS63&lt;=$I63),DS63,DS63-MIN(INT(ROUND(IF($F63=1,$C63*$J63,IF(HR63&gt;0,HR63*$K63,DS63*$J63))*IF(79=$R63,$S63,12)/12,6)+$B$4),DS63-$I63)))))</f>
        <v/>
      </c>
      <c r="DU63" s="68">
        <f>IF($U63=0,0,IF($F63=4,0,IF($F63=3,0,IF(OR(80&gt;$R63,DT63&lt;=$I63),DT63,DT63-MIN(INT(ROUND(IF($F63=1,$C63*$J63,IF(HS63&gt;0,HS63*$K63,DT63*$J63))*IF(80=$R63,$S63,12)/12,6)+$B$4),DT63-$I63)))))</f>
        <v/>
      </c>
      <c r="DV63" s="68">
        <f>IF($U63=0,0,IF($F63=4,0,IF($F63=3,0,IF(OR(81&gt;$R63,DU63&lt;=$I63),DU63,DU63-MIN(INT(ROUND(IF($F63=1,$C63*$J63,IF(HT63&gt;0,HT63*$K63,DU63*$J63))*IF(81=$R63,$S63,12)/12,6)+$B$4),DU63-$I63)))))</f>
        <v/>
      </c>
      <c r="DW63" s="68">
        <f>IF($U63=0,0,IF($F63=4,0,IF($F63=3,0,IF(OR(82&gt;$R63,DV63&lt;=$I63),DV63,DV63-MIN(INT(ROUND(IF($F63=1,$C63*$J63,IF(HU63&gt;0,HU63*$K63,DV63*$J63))*IF(82=$R63,$S63,12)/12,6)+$B$4),DV63-$I63)))))</f>
        <v/>
      </c>
      <c r="DX63" s="68">
        <f>IF($U63=0,0,IF($F63=4,0,IF($F63=3,0,IF(OR(83&gt;$R63,DW63&lt;=$I63),DW63,DW63-MIN(INT(ROUND(IF($F63=1,$C63*$J63,IF(HV63&gt;0,HV63*$K63,DW63*$J63))*IF(83=$R63,$S63,12)/12,6)+$B$4),DW63-$I63)))))</f>
        <v/>
      </c>
      <c r="DY63" s="68">
        <f>IF($U63=0,0,IF($F63=4,0,IF($F63=3,0,IF(OR(84&gt;$R63,DX63&lt;=$I63),DX63,DX63-MIN(INT(ROUND(IF($F63=1,$C63*$J63,IF(HW63&gt;0,HW63*$K63,DX63*$J63))*IF(84=$R63,$S63,12)/12,6)+$B$4),DX63-$I63)))))</f>
        <v/>
      </c>
      <c r="DZ63" s="68">
        <f>IF($U63=0,0,IF($F63=4,0,IF($F63=3,0,IF(OR(85&gt;$R63,DY63&lt;=$I63),DY63,DY63-MIN(INT(ROUND(IF($F63=1,$C63*$J63,IF(HX63&gt;0,HX63*$K63,DY63*$J63))*IF(85=$R63,$S63,12)/12,6)+$B$4),DY63-$I63)))))</f>
        <v/>
      </c>
      <c r="EA63" s="68">
        <f>IF($U63=0,0,IF($F63=4,0,IF($F63=3,0,IF(OR(86&gt;$R63,DZ63&lt;=$I63),DZ63,DZ63-MIN(INT(ROUND(IF($F63=1,$C63*$J63,IF(HY63&gt;0,HY63*$K63,DZ63*$J63))*IF(86=$R63,$S63,12)/12,6)+$B$4),DZ63-$I63)))))</f>
        <v/>
      </c>
      <c r="EB63" s="68">
        <f>IF($U63=0,0,IF($F63=4,0,IF($F63=3,0,IF(OR(87&gt;$R63,EA63&lt;=$I63),EA63,EA63-MIN(INT(ROUND(IF($F63=1,$C63*$J63,IF(HZ63&gt;0,HZ63*$K63,EA63*$J63))*IF(87=$R63,$S63,12)/12,6)+$B$4),EA63-$I63)))))</f>
        <v/>
      </c>
      <c r="EC63" s="68">
        <f>IF($U63=0,0,IF($F63=4,0,IF($F63=3,0,IF(OR(88&gt;$R63,EB63&lt;=$I63),EB63,EB63-MIN(INT(ROUND(IF($F63=1,$C63*$J63,IF(IA63&gt;0,IA63*$K63,EB63*$J63))*IF(88=$R63,$S63,12)/12,6)+$B$4),EB63-$I63)))))</f>
        <v/>
      </c>
      <c r="ED63" s="68">
        <f>IF($U63=0,0,IF($F63=4,0,IF($F63=3,0,IF(OR(89&gt;$R63,EC63&lt;=$I63),EC63,EC63-MIN(INT(ROUND(IF($F63=1,$C63*$J63,IF(IB63&gt;0,IB63*$K63,EC63*$J63))*IF(89=$R63,$S63,12)/12,6)+$B$4),EC63-$I63)))))</f>
        <v/>
      </c>
      <c r="EE63" s="68">
        <f>IF($U63=0,0,IF($F63=4,0,IF($F63=3,0,IF(OR(90&gt;$R63,ED63&lt;=$I63),ED63,ED63-MIN(INT(ROUND(IF($F63=1,$C63*$J63,IF(IC63&gt;0,IC63*$K63,ED63*$J63))*IF(90=$R63,$S63,12)/12,6)+$B$4),ED63-$I63)))))</f>
        <v/>
      </c>
      <c r="EF63" s="68">
        <f>IF($U63=0,0,IF($F63=4,0,IF($F63=3,0,IF(OR(91&gt;$R63,EE63&lt;=$I63),EE63,EE63-MIN(INT(ROUND(IF($F63=1,$C63*$J63,IF(ID63&gt;0,ID63*$K63,EE63*$J63))*IF(91=$R63,$S63,12)/12,6)+$B$4),EE63-$I63)))))</f>
        <v/>
      </c>
      <c r="EG63" s="68">
        <f>IF($U63=0,0,IF($F63=4,0,IF($F63=3,0,IF(OR(92&gt;$R63,EF63&lt;=$I63),EF63,EF63-MIN(INT(ROUND(IF($F63=1,$C63*$J63,IF(IE63&gt;0,IE63*$K63,EF63*$J63))*IF(92=$R63,$S63,12)/12,6)+$B$4),EF63-$I63)))))</f>
        <v/>
      </c>
      <c r="EH63" s="68">
        <f>IF($U63=0,0,IF($F63=4,0,IF($F63=3,0,IF(OR(93&gt;$R63,EG63&lt;=$I63),EG63,EG63-MIN(INT(ROUND(IF($F63=1,$C63*$J63,IF(IF63&gt;0,IF63*$K63,EG63*$J63))*IF(93=$R63,$S63,12)/12,6)+$B$4),EG63-$I63)))))</f>
        <v/>
      </c>
      <c r="EI63" s="68">
        <f>IF($U63=0,0,IF($F63=4,0,IF($F63=3,0,IF(OR(94&gt;$R63,EH63&lt;=$I63),EH63,EH63-MIN(INT(ROUND(IF($F63=1,$C63*$J63,IF(IG63&gt;0,IG63*$K63,EH63*$J63))*IF(94=$R63,$S63,12)/12,6)+$B$4),EH63-$I63)))))</f>
        <v/>
      </c>
      <c r="EJ63" s="68">
        <f>IF($U63=0,0,IF($F63=4,0,IF($F63=3,0,IF(OR(95&gt;$R63,EI63&lt;=$I63),EI63,EI63-MIN(INT(ROUND(IF($F63=1,$C63*$J63,IF(IH63&gt;0,IH63*$K63,EI63*$J63))*IF(95=$R63,$S63,12)/12,6)+$B$4),EI63-$I63)))))</f>
        <v/>
      </c>
      <c r="EK63" s="68">
        <f>IF($U63=0,0,IF($F63=4,0,IF($F63=3,0,IF(OR(96&gt;$R63,EJ63&lt;=$I63),EJ63,EJ63-MIN(INT(ROUND(IF($F63=1,$C63*$J63,IF(II63&gt;0,II63*$K63,EJ63*$J63))*IF(96=$R63,$S63,12)/12,6)+$B$4),EJ63-$I63)))))</f>
        <v/>
      </c>
      <c r="EL63" s="68">
        <f>IF($U63=0,0,IF($F63=4,0,IF($F63=3,0,IF(OR(97&gt;$R63,EK63&lt;=$I63),EK63,EK63-MIN(INT(ROUND(IF($F63=1,$C63*$J63,IF(IJ63&gt;0,IJ63*$K63,EK63*$J63))*IF(97=$R63,$S63,12)/12,6)+$B$4),EK63-$I63)))))</f>
        <v/>
      </c>
      <c r="EM63" s="68">
        <f>IF($U63=0,0,IF($F63=4,0,IF($F63=3,0,IF(OR(98&gt;$R63,EL63&lt;=$I63),EL63,EL63-MIN(INT(ROUND(IF($F63=1,$C63*$J63,IF(IK63&gt;0,IK63*$K63,EL63*$J63))*IF(98=$R63,$S63,12)/12,6)+$B$4),EL63-$I63)))))</f>
        <v/>
      </c>
      <c r="EN63" s="68">
        <f>IF($U63=0,0,IF($F63=4,0,IF($F63=3,0,IF(OR(99&gt;$R63,EM63&lt;=$I63),EM63,EM63-MIN(INT(ROUND(IF($F63=1,$C63*$J63,IF(IL63&gt;0,IL63*$K63,EM63*$J63))*IF(99=$R63,$S63,12)/12,6)+$B$4),EM63-$I63)))))</f>
        <v/>
      </c>
      <c r="EO63" s="68">
        <f>IF($U63=0,0,IF($F63=4,0,IF($F63=3,0,IF(OR(100&gt;$R63,EN63&lt;=$I63),EN63,EN63-MIN(INT(ROUND(IF($F63=1,$C63*$J63,IF(IM63&gt;0,IM63*$K63,EN63*$J63))*IF(100=$R63,$S63,12)/12,6)+$B$4),EN63-$I63)))))</f>
        <v/>
      </c>
      <c r="EP63" s="68">
        <f>IF($U63=0,0,IF($F63=4,0,IF($F63=3,0,IF(OR(101&gt;$R63,EO63&lt;=$I63),EO63,EO63-MIN(INT(ROUND(IF($F63=1,$C63*$J63,IF(IN63&gt;0,IN63*$K63,EO63*$J63))*IF(101=$R63,$S63,12)/12,6)+$B$4),EO63-$I63)))))</f>
        <v/>
      </c>
      <c r="EQ63" s="68" t="n"/>
      <c r="ER63" s="68">
        <f>IF(OR($U63=0,$F63&lt;&gt;2),0,IF(ROUND(AS63*$J63,6)&lt;ROUND($M63,6),AS63,0))</f>
        <v/>
      </c>
      <c r="ES63" s="68">
        <f>IF(OR($U63=0,$F63&lt;&gt;2),0,IF(ER63&gt;0,ER63,IF(ROUND(AT63*$J63,6)&lt;ROUND($M63,6),AT63,0)))</f>
        <v/>
      </c>
      <c r="ET63" s="68">
        <f>IF(OR($U63=0,$F63&lt;&gt;2),0,IF(ES63&gt;0,ES63,IF(ROUND(AU63*$J63,6)&lt;ROUND($M63,6),AU63,0)))</f>
        <v/>
      </c>
      <c r="EU63" s="68">
        <f>IF(OR($U63=0,$F63&lt;&gt;2),0,IF(ET63&gt;0,ET63,IF(ROUND(AV63*$J63,6)&lt;ROUND($M63,6),AV63,0)))</f>
        <v/>
      </c>
      <c r="EV63" s="68">
        <f>IF(OR($U63=0,$F63&lt;&gt;2),0,IF(EU63&gt;0,EU63,IF(ROUND(AW63*$J63,6)&lt;ROUND($M63,6),AW63,0)))</f>
        <v/>
      </c>
      <c r="EW63" s="68">
        <f>IF(OR($U63=0,$F63&lt;&gt;2),0,IF(EV63&gt;0,EV63,IF(ROUND(AX63*$J63,6)&lt;ROUND($M63,6),AX63,0)))</f>
        <v/>
      </c>
      <c r="EX63" s="68">
        <f>IF(OR($U63=0,$F63&lt;&gt;2),0,IF(EW63&gt;0,EW63,IF(ROUND(AY63*$J63,6)&lt;ROUND($M63,6),AY63,0)))</f>
        <v/>
      </c>
      <c r="EY63" s="68">
        <f>IF(OR($U63=0,$F63&lt;&gt;2),0,IF(EX63&gt;0,EX63,IF(ROUND(AZ63*$J63,6)&lt;ROUND($M63,6),AZ63,0)))</f>
        <v/>
      </c>
      <c r="EZ63" s="68">
        <f>IF(OR($U63=0,$F63&lt;&gt;2),0,IF(EY63&gt;0,EY63,IF(ROUND(BA63*$J63,6)&lt;ROUND($M63,6),BA63,0)))</f>
        <v/>
      </c>
      <c r="FA63" s="68">
        <f>IF(OR($U63=0,$F63&lt;&gt;2),0,IF(EZ63&gt;0,EZ63,IF(ROUND(BB63*$J63,6)&lt;ROUND($M63,6),BB63,0)))</f>
        <v/>
      </c>
      <c r="FB63" s="68">
        <f>IF(OR($U63=0,$F63&lt;&gt;2),0,IF(FA63&gt;0,FA63,IF(ROUND(BC63*$J63,6)&lt;ROUND($M63,6),BC63,0)))</f>
        <v/>
      </c>
      <c r="FC63" s="68">
        <f>IF(OR($U63=0,$F63&lt;&gt;2),0,IF(FB63&gt;0,FB63,IF(ROUND(BD63*$J63,6)&lt;ROUND($M63,6),BD63,0)))</f>
        <v/>
      </c>
      <c r="FD63" s="68">
        <f>IF(OR($U63=0,$F63&lt;&gt;2),0,IF(FC63&gt;0,FC63,IF(ROUND(BE63*$J63,6)&lt;ROUND($M63,6),BE63,0)))</f>
        <v/>
      </c>
      <c r="FE63" s="68">
        <f>IF(OR($U63=0,$F63&lt;&gt;2),0,IF(FD63&gt;0,FD63,IF(ROUND(BF63*$J63,6)&lt;ROUND($M63,6),BF63,0)))</f>
        <v/>
      </c>
      <c r="FF63" s="68">
        <f>IF(OR($U63=0,$F63&lt;&gt;2),0,IF(FE63&gt;0,FE63,IF(ROUND(BG63*$J63,6)&lt;ROUND($M63,6),BG63,0)))</f>
        <v/>
      </c>
      <c r="FG63" s="68">
        <f>IF(OR($U63=0,$F63&lt;&gt;2),0,IF(FF63&gt;0,FF63,IF(ROUND(BH63*$J63,6)&lt;ROUND($M63,6),BH63,0)))</f>
        <v/>
      </c>
      <c r="FH63" s="68">
        <f>IF(OR($U63=0,$F63&lt;&gt;2),0,IF(FG63&gt;0,FG63,IF(ROUND(BI63*$J63,6)&lt;ROUND($M63,6),BI63,0)))</f>
        <v/>
      </c>
      <c r="FI63" s="68">
        <f>IF(OR($U63=0,$F63&lt;&gt;2),0,IF(FH63&gt;0,FH63,IF(ROUND(BJ63*$J63,6)&lt;ROUND($M63,6),BJ63,0)))</f>
        <v/>
      </c>
      <c r="FJ63" s="68">
        <f>IF(OR($U63=0,$F63&lt;&gt;2),0,IF(FI63&gt;0,FI63,IF(ROUND(BK63*$J63,6)&lt;ROUND($M63,6),BK63,0)))</f>
        <v/>
      </c>
      <c r="FK63" s="68">
        <f>IF(OR($U63=0,$F63&lt;&gt;2),0,IF(FJ63&gt;0,FJ63,IF(ROUND(BL63*$J63,6)&lt;ROUND($M63,6),BL63,0)))</f>
        <v/>
      </c>
      <c r="FL63" s="68">
        <f>IF(OR($U63=0,$F63&lt;&gt;2),0,IF(FK63&gt;0,FK63,IF(ROUND(BM63*$J63,6)&lt;ROUND($M63,6),BM63,0)))</f>
        <v/>
      </c>
      <c r="FM63" s="68">
        <f>IF(OR($U63=0,$F63&lt;&gt;2),0,IF(FL63&gt;0,FL63,IF(ROUND(BN63*$J63,6)&lt;ROUND($M63,6),BN63,0)))</f>
        <v/>
      </c>
      <c r="FN63" s="68">
        <f>IF(OR($U63=0,$F63&lt;&gt;2),0,IF(FM63&gt;0,FM63,IF(ROUND(BO63*$J63,6)&lt;ROUND($M63,6),BO63,0)))</f>
        <v/>
      </c>
      <c r="FO63" s="68">
        <f>IF(OR($U63=0,$F63&lt;&gt;2),0,IF(FN63&gt;0,FN63,IF(ROUND(BP63*$J63,6)&lt;ROUND($M63,6),BP63,0)))</f>
        <v/>
      </c>
      <c r="FP63" s="68">
        <f>IF(OR($U63=0,$F63&lt;&gt;2),0,IF(FO63&gt;0,FO63,IF(ROUND(BQ63*$J63,6)&lt;ROUND($M63,6),BQ63,0)))</f>
        <v/>
      </c>
      <c r="FQ63" s="68">
        <f>IF(OR($U63=0,$F63&lt;&gt;2),0,IF(FP63&gt;0,FP63,IF(ROUND(BR63*$J63,6)&lt;ROUND($M63,6),BR63,0)))</f>
        <v/>
      </c>
      <c r="FR63" s="68">
        <f>IF(OR($U63=0,$F63&lt;&gt;2),0,IF(FQ63&gt;0,FQ63,IF(ROUND(BS63*$J63,6)&lt;ROUND($M63,6),BS63,0)))</f>
        <v/>
      </c>
      <c r="FS63" s="68">
        <f>IF(OR($U63=0,$F63&lt;&gt;2),0,IF(FR63&gt;0,FR63,IF(ROUND(BT63*$J63,6)&lt;ROUND($M63,6),BT63,0)))</f>
        <v/>
      </c>
      <c r="FT63" s="68">
        <f>IF(OR($U63=0,$F63&lt;&gt;2),0,IF(FS63&gt;0,FS63,IF(ROUND(BU63*$J63,6)&lt;ROUND($M63,6),BU63,0)))</f>
        <v/>
      </c>
      <c r="FU63" s="68">
        <f>IF(OR($U63=0,$F63&lt;&gt;2),0,IF(FT63&gt;0,FT63,IF(ROUND(BV63*$J63,6)&lt;ROUND($M63,6),BV63,0)))</f>
        <v/>
      </c>
      <c r="FV63" s="68">
        <f>IF(OR($U63=0,$F63&lt;&gt;2),0,IF(FU63&gt;0,FU63,IF(ROUND(BW63*$J63,6)&lt;ROUND($M63,6),BW63,0)))</f>
        <v/>
      </c>
      <c r="FW63" s="68">
        <f>IF(OR($U63=0,$F63&lt;&gt;2),0,IF(FV63&gt;0,FV63,IF(ROUND(BX63*$J63,6)&lt;ROUND($M63,6),BX63,0)))</f>
        <v/>
      </c>
      <c r="FX63" s="68">
        <f>IF(OR($U63=0,$F63&lt;&gt;2),0,IF(FW63&gt;0,FW63,IF(ROUND(BY63*$J63,6)&lt;ROUND($M63,6),BY63,0)))</f>
        <v/>
      </c>
      <c r="FY63" s="68">
        <f>IF(OR($U63=0,$F63&lt;&gt;2),0,IF(FX63&gt;0,FX63,IF(ROUND(BZ63*$J63,6)&lt;ROUND($M63,6),BZ63,0)))</f>
        <v/>
      </c>
      <c r="FZ63" s="68">
        <f>IF(OR($U63=0,$F63&lt;&gt;2),0,IF(FY63&gt;0,FY63,IF(ROUND(CA63*$J63,6)&lt;ROUND($M63,6),CA63,0)))</f>
        <v/>
      </c>
      <c r="GA63" s="68">
        <f>IF(OR($U63=0,$F63&lt;&gt;2),0,IF(FZ63&gt;0,FZ63,IF(ROUND(CB63*$J63,6)&lt;ROUND($M63,6),CB63,0)))</f>
        <v/>
      </c>
      <c r="GB63" s="68">
        <f>IF(OR($U63=0,$F63&lt;&gt;2),0,IF(GA63&gt;0,GA63,IF(ROUND(CC63*$J63,6)&lt;ROUND($M63,6),CC63,0)))</f>
        <v/>
      </c>
      <c r="GC63" s="68">
        <f>IF(OR($U63=0,$F63&lt;&gt;2),0,IF(GB63&gt;0,GB63,IF(ROUND(CD63*$J63,6)&lt;ROUND($M63,6),CD63,0)))</f>
        <v/>
      </c>
      <c r="GD63" s="68">
        <f>IF(OR($U63=0,$F63&lt;&gt;2),0,IF(GC63&gt;0,GC63,IF(ROUND(CE63*$J63,6)&lt;ROUND($M63,6),CE63,0)))</f>
        <v/>
      </c>
      <c r="GE63" s="68">
        <f>IF(OR($U63=0,$F63&lt;&gt;2),0,IF(GD63&gt;0,GD63,IF(ROUND(CF63*$J63,6)&lt;ROUND($M63,6),CF63,0)))</f>
        <v/>
      </c>
      <c r="GF63" s="68">
        <f>IF(OR($U63=0,$F63&lt;&gt;2),0,IF(GE63&gt;0,GE63,IF(ROUND(CG63*$J63,6)&lt;ROUND($M63,6),CG63,0)))</f>
        <v/>
      </c>
      <c r="GG63" s="68">
        <f>IF(OR($U63=0,$F63&lt;&gt;2),0,IF(GF63&gt;0,GF63,IF(ROUND(CH63*$J63,6)&lt;ROUND($M63,6),CH63,0)))</f>
        <v/>
      </c>
      <c r="GH63" s="68">
        <f>IF(OR($U63=0,$F63&lt;&gt;2),0,IF(GG63&gt;0,GG63,IF(ROUND(CI63*$J63,6)&lt;ROUND($M63,6),CI63,0)))</f>
        <v/>
      </c>
      <c r="GI63" s="68">
        <f>IF(OR($U63=0,$F63&lt;&gt;2),0,IF(GH63&gt;0,GH63,IF(ROUND(CJ63*$J63,6)&lt;ROUND($M63,6),CJ63,0)))</f>
        <v/>
      </c>
      <c r="GJ63" s="68">
        <f>IF(OR($U63=0,$F63&lt;&gt;2),0,IF(GI63&gt;0,GI63,IF(ROUND(CK63*$J63,6)&lt;ROUND($M63,6),CK63,0)))</f>
        <v/>
      </c>
      <c r="GK63" s="68">
        <f>IF(OR($U63=0,$F63&lt;&gt;2),0,IF(GJ63&gt;0,GJ63,IF(ROUND(CL63*$J63,6)&lt;ROUND($M63,6),CL63,0)))</f>
        <v/>
      </c>
      <c r="GL63" s="68">
        <f>IF(OR($U63=0,$F63&lt;&gt;2),0,IF(GK63&gt;0,GK63,IF(ROUND(CM63*$J63,6)&lt;ROUND($M63,6),CM63,0)))</f>
        <v/>
      </c>
      <c r="GM63" s="68">
        <f>IF(OR($U63=0,$F63&lt;&gt;2),0,IF(GL63&gt;0,GL63,IF(ROUND(CN63*$J63,6)&lt;ROUND($M63,6),CN63,0)))</f>
        <v/>
      </c>
      <c r="GN63" s="68">
        <f>IF(OR($U63=0,$F63&lt;&gt;2),0,IF(GM63&gt;0,GM63,IF(ROUND(CO63*$J63,6)&lt;ROUND($M63,6),CO63,0)))</f>
        <v/>
      </c>
      <c r="GO63" s="68">
        <f>IF(OR($U63=0,$F63&lt;&gt;2),0,IF(GN63&gt;0,GN63,IF(ROUND(CP63*$J63,6)&lt;ROUND($M63,6),CP63,0)))</f>
        <v/>
      </c>
      <c r="GP63" s="68">
        <f>IF(OR($U63=0,$F63&lt;&gt;2),0,IF(GO63&gt;0,GO63,IF(ROUND(CQ63*$J63,6)&lt;ROUND($M63,6),CQ63,0)))</f>
        <v/>
      </c>
      <c r="GQ63" s="68">
        <f>IF(OR($U63=0,$F63&lt;&gt;2),0,IF(GP63&gt;0,GP63,IF(ROUND(CR63*$J63,6)&lt;ROUND($M63,6),CR63,0)))</f>
        <v/>
      </c>
      <c r="GR63" s="68">
        <f>IF(OR($U63=0,$F63&lt;&gt;2),0,IF(GQ63&gt;0,GQ63,IF(ROUND(CS63*$J63,6)&lt;ROUND($M63,6),CS63,0)))</f>
        <v/>
      </c>
      <c r="GS63" s="68">
        <f>IF(OR($U63=0,$F63&lt;&gt;2),0,IF(GR63&gt;0,GR63,IF(ROUND(CT63*$J63,6)&lt;ROUND($M63,6),CT63,0)))</f>
        <v/>
      </c>
      <c r="GT63" s="68">
        <f>IF(OR($U63=0,$F63&lt;&gt;2),0,IF(GS63&gt;0,GS63,IF(ROUND(CU63*$J63,6)&lt;ROUND($M63,6),CU63,0)))</f>
        <v/>
      </c>
      <c r="GU63" s="68">
        <f>IF(OR($U63=0,$F63&lt;&gt;2),0,IF(GT63&gt;0,GT63,IF(ROUND(CV63*$J63,6)&lt;ROUND($M63,6),CV63,0)))</f>
        <v/>
      </c>
      <c r="GV63" s="68">
        <f>IF(OR($U63=0,$F63&lt;&gt;2),0,IF(GU63&gt;0,GU63,IF(ROUND(CW63*$J63,6)&lt;ROUND($M63,6),CW63,0)))</f>
        <v/>
      </c>
      <c r="GW63" s="68">
        <f>IF(OR($U63=0,$F63&lt;&gt;2),0,IF(GV63&gt;0,GV63,IF(ROUND(CX63*$J63,6)&lt;ROUND($M63,6),CX63,0)))</f>
        <v/>
      </c>
      <c r="GX63" s="68">
        <f>IF(OR($U63=0,$F63&lt;&gt;2),0,IF(GW63&gt;0,GW63,IF(ROUND(CY63*$J63,6)&lt;ROUND($M63,6),CY63,0)))</f>
        <v/>
      </c>
      <c r="GY63" s="68">
        <f>IF(OR($U63=0,$F63&lt;&gt;2),0,IF(GX63&gt;0,GX63,IF(ROUND(CZ63*$J63,6)&lt;ROUND($M63,6),CZ63,0)))</f>
        <v/>
      </c>
      <c r="GZ63" s="68">
        <f>IF(OR($U63=0,$F63&lt;&gt;2),0,IF(GY63&gt;0,GY63,IF(ROUND(DA63*$J63,6)&lt;ROUND($M63,6),DA63,0)))</f>
        <v/>
      </c>
      <c r="HA63" s="68">
        <f>IF(OR($U63=0,$F63&lt;&gt;2),0,IF(GZ63&gt;0,GZ63,IF(ROUND(DB63*$J63,6)&lt;ROUND($M63,6),DB63,0)))</f>
        <v/>
      </c>
      <c r="HB63" s="68">
        <f>IF(OR($U63=0,$F63&lt;&gt;2),0,IF(HA63&gt;0,HA63,IF(ROUND(DC63*$J63,6)&lt;ROUND($M63,6),DC63,0)))</f>
        <v/>
      </c>
      <c r="HC63" s="68">
        <f>IF(OR($U63=0,$F63&lt;&gt;2),0,IF(HB63&gt;0,HB63,IF(ROUND(DD63*$J63,6)&lt;ROUND($M63,6),DD63,0)))</f>
        <v/>
      </c>
      <c r="HD63" s="68">
        <f>IF(OR($U63=0,$F63&lt;&gt;2),0,IF(HC63&gt;0,HC63,IF(ROUND(DE63*$J63,6)&lt;ROUND($M63,6),DE63,0)))</f>
        <v/>
      </c>
      <c r="HE63" s="68">
        <f>IF(OR($U63=0,$F63&lt;&gt;2),0,IF(HD63&gt;0,HD63,IF(ROUND(DF63*$J63,6)&lt;ROUND($M63,6),DF63,0)))</f>
        <v/>
      </c>
      <c r="HF63" s="68">
        <f>IF(OR($U63=0,$F63&lt;&gt;2),0,IF(HE63&gt;0,HE63,IF(ROUND(DG63*$J63,6)&lt;ROUND($M63,6),DG63,0)))</f>
        <v/>
      </c>
      <c r="HG63" s="68">
        <f>IF(OR($U63=0,$F63&lt;&gt;2),0,IF(HF63&gt;0,HF63,IF(ROUND(DH63*$J63,6)&lt;ROUND($M63,6),DH63,0)))</f>
        <v/>
      </c>
      <c r="HH63" s="68">
        <f>IF(OR($U63=0,$F63&lt;&gt;2),0,IF(HG63&gt;0,HG63,IF(ROUND(DI63*$J63,6)&lt;ROUND($M63,6),DI63,0)))</f>
        <v/>
      </c>
      <c r="HI63" s="68">
        <f>IF(OR($U63=0,$F63&lt;&gt;2),0,IF(HH63&gt;0,HH63,IF(ROUND(DJ63*$J63,6)&lt;ROUND($M63,6),DJ63,0)))</f>
        <v/>
      </c>
      <c r="HJ63" s="68">
        <f>IF(OR($U63=0,$F63&lt;&gt;2),0,IF(HI63&gt;0,HI63,IF(ROUND(DK63*$J63,6)&lt;ROUND($M63,6),DK63,0)))</f>
        <v/>
      </c>
      <c r="HK63" s="68">
        <f>IF(OR($U63=0,$F63&lt;&gt;2),0,IF(HJ63&gt;0,HJ63,IF(ROUND(DL63*$J63,6)&lt;ROUND($M63,6),DL63,0)))</f>
        <v/>
      </c>
      <c r="HL63" s="68">
        <f>IF(OR($U63=0,$F63&lt;&gt;2),0,IF(HK63&gt;0,HK63,IF(ROUND(DM63*$J63,6)&lt;ROUND($M63,6),DM63,0)))</f>
        <v/>
      </c>
      <c r="HM63" s="68">
        <f>IF(OR($U63=0,$F63&lt;&gt;2),0,IF(HL63&gt;0,HL63,IF(ROUND(DN63*$J63,6)&lt;ROUND($M63,6),DN63,0)))</f>
        <v/>
      </c>
      <c r="HN63" s="68">
        <f>IF(OR($U63=0,$F63&lt;&gt;2),0,IF(HM63&gt;0,HM63,IF(ROUND(DO63*$J63,6)&lt;ROUND($M63,6),DO63,0)))</f>
        <v/>
      </c>
      <c r="HO63" s="68">
        <f>IF(OR($U63=0,$F63&lt;&gt;2),0,IF(HN63&gt;0,HN63,IF(ROUND(DP63*$J63,6)&lt;ROUND($M63,6),DP63,0)))</f>
        <v/>
      </c>
      <c r="HP63" s="68">
        <f>IF(OR($U63=0,$F63&lt;&gt;2),0,IF(HO63&gt;0,HO63,IF(ROUND(DQ63*$J63,6)&lt;ROUND($M63,6),DQ63,0)))</f>
        <v/>
      </c>
      <c r="HQ63" s="68">
        <f>IF(OR($U63=0,$F63&lt;&gt;2),0,IF(HP63&gt;0,HP63,IF(ROUND(DR63*$J63,6)&lt;ROUND($M63,6),DR63,0)))</f>
        <v/>
      </c>
      <c r="HR63" s="68">
        <f>IF(OR($U63=0,$F63&lt;&gt;2),0,IF(HQ63&gt;0,HQ63,IF(ROUND(DS63*$J63,6)&lt;ROUND($M63,6),DS63,0)))</f>
        <v/>
      </c>
      <c r="HS63" s="68">
        <f>IF(OR($U63=0,$F63&lt;&gt;2),0,IF(HR63&gt;0,HR63,IF(ROUND(DT63*$J63,6)&lt;ROUND($M63,6),DT63,0)))</f>
        <v/>
      </c>
      <c r="HT63" s="68">
        <f>IF(OR($U63=0,$F63&lt;&gt;2),0,IF(HS63&gt;0,HS63,IF(ROUND(DU63*$J63,6)&lt;ROUND($M63,6),DU63,0)))</f>
        <v/>
      </c>
      <c r="HU63" s="68">
        <f>IF(OR($U63=0,$F63&lt;&gt;2),0,IF(HT63&gt;0,HT63,IF(ROUND(DV63*$J63,6)&lt;ROUND($M63,6),DV63,0)))</f>
        <v/>
      </c>
      <c r="HV63" s="68">
        <f>IF(OR($U63=0,$F63&lt;&gt;2),0,IF(HU63&gt;0,HU63,IF(ROUND(DW63*$J63,6)&lt;ROUND($M63,6),DW63,0)))</f>
        <v/>
      </c>
      <c r="HW63" s="68">
        <f>IF(OR($U63=0,$F63&lt;&gt;2),0,IF(HV63&gt;0,HV63,IF(ROUND(DX63*$J63,6)&lt;ROUND($M63,6),DX63,0)))</f>
        <v/>
      </c>
      <c r="HX63" s="68">
        <f>IF(OR($U63=0,$F63&lt;&gt;2),0,IF(HW63&gt;0,HW63,IF(ROUND(DY63*$J63,6)&lt;ROUND($M63,6),DY63,0)))</f>
        <v/>
      </c>
      <c r="HY63" s="68">
        <f>IF(OR($U63=0,$F63&lt;&gt;2),0,IF(HX63&gt;0,HX63,IF(ROUND(DZ63*$J63,6)&lt;ROUND($M63,6),DZ63,0)))</f>
        <v/>
      </c>
      <c r="HZ63" s="68">
        <f>IF(OR($U63=0,$F63&lt;&gt;2),0,IF(HY63&gt;0,HY63,IF(ROUND(EA63*$J63,6)&lt;ROUND($M63,6),EA63,0)))</f>
        <v/>
      </c>
      <c r="IA63" s="68">
        <f>IF(OR($U63=0,$F63&lt;&gt;2),0,IF(HZ63&gt;0,HZ63,IF(ROUND(EB63*$J63,6)&lt;ROUND($M63,6),EB63,0)))</f>
        <v/>
      </c>
      <c r="IB63" s="68">
        <f>IF(OR($U63=0,$F63&lt;&gt;2),0,IF(IA63&gt;0,IA63,IF(ROUND(EC63*$J63,6)&lt;ROUND($M63,6),EC63,0)))</f>
        <v/>
      </c>
      <c r="IC63" s="68">
        <f>IF(OR($U63=0,$F63&lt;&gt;2),0,IF(IB63&gt;0,IB63,IF(ROUND(ED63*$J63,6)&lt;ROUND($M63,6),ED63,0)))</f>
        <v/>
      </c>
      <c r="ID63" s="68">
        <f>IF(OR($U63=0,$F63&lt;&gt;2),0,IF(IC63&gt;0,IC63,IF(ROUND(EE63*$J63,6)&lt;ROUND($M63,6),EE63,0)))</f>
        <v/>
      </c>
      <c r="IE63" s="68">
        <f>IF(OR($U63=0,$F63&lt;&gt;2),0,IF(ID63&gt;0,ID63,IF(ROUND(EF63*$J63,6)&lt;ROUND($M63,6),EF63,0)))</f>
        <v/>
      </c>
      <c r="IF63" s="68">
        <f>IF(OR($U63=0,$F63&lt;&gt;2),0,IF(IE63&gt;0,IE63,IF(ROUND(EG63*$J63,6)&lt;ROUND($M63,6),EG63,0)))</f>
        <v/>
      </c>
      <c r="IG63" s="68">
        <f>IF(OR($U63=0,$F63&lt;&gt;2),0,IF(IF63&gt;0,IF63,IF(ROUND(EH63*$J63,6)&lt;ROUND($M63,6),EH63,0)))</f>
        <v/>
      </c>
      <c r="IH63" s="68">
        <f>IF(OR($U63=0,$F63&lt;&gt;2),0,IF(IG63&gt;0,IG63,IF(ROUND(EI63*$J63,6)&lt;ROUND($M63,6),EI63,0)))</f>
        <v/>
      </c>
      <c r="II63" s="68">
        <f>IF(OR($U63=0,$F63&lt;&gt;2),0,IF(IH63&gt;0,IH63,IF(ROUND(EJ63*$J63,6)&lt;ROUND($M63,6),EJ63,0)))</f>
        <v/>
      </c>
      <c r="IJ63" s="68">
        <f>IF(OR($U63=0,$F63&lt;&gt;2),0,IF(II63&gt;0,II63,IF(ROUND(EK63*$J63,6)&lt;ROUND($M63,6),EK63,0)))</f>
        <v/>
      </c>
      <c r="IK63" s="68">
        <f>IF(OR($U63=0,$F63&lt;&gt;2),0,IF(IJ63&gt;0,IJ63,IF(ROUND(EL63*$J63,6)&lt;ROUND($M63,6),EL63,0)))</f>
        <v/>
      </c>
      <c r="IL63" s="68">
        <f>IF(OR($U63=0,$F63&lt;&gt;2),0,IF(IK63&gt;0,IK63,IF(ROUND(EM63*$J63,6)&lt;ROUND($M63,6),EM63,0)))</f>
        <v/>
      </c>
      <c r="IM63" s="68">
        <f>IF(OR($U63=0,$F63&lt;&gt;2),0,IF(IL63&gt;0,IL63,IF(ROUND(EN63*$J63,6)&lt;ROUND($M63,6),EN63,0)))</f>
        <v/>
      </c>
      <c r="IN63" s="68">
        <f>IF(OR($U63=0,$F63&lt;&gt;2),0,IF(IM63&gt;0,IM63,IF(ROUND(EO63*$J63,6)&lt;ROUND($M63,6),EO63,0)))</f>
        <v/>
      </c>
    </row>
    <row r="64">
      <c r="A64" s="68" t="n">
        <v>59</v>
      </c>
      <c r="B64" s="68">
        <f>IF(OR(TRIM('固定資産台帳'!$B64)&lt;&gt;"",'固定資産台帳'!$E64&lt;&gt;"",'固定資産台帳'!$G64&lt;&gt;"",'固定資産台帳'!$H64&lt;&gt;""),1,0)</f>
        <v/>
      </c>
      <c r="C64" s="68">
        <f>IF(ISNUMBER('固定資産台帳'!$G64),MAX(ROUND('固定資産台帳'!$G64,0),0),0)</f>
        <v/>
      </c>
      <c r="D64" s="84">
        <f>IF(ISNUMBER('固定資産台帳'!$E64),INT('固定資産台帳'!$E64),0)</f>
        <v/>
      </c>
      <c r="E64" s="84">
        <f>IF(ISNUMBER('固定資産台帳'!$F64),INT('固定資産台帳'!$F64),$D64)</f>
        <v/>
      </c>
      <c r="F64" s="68">
        <f>IF('固定資産台帳'!$H64="定額法",1,IF(OR('固定資産台帳'!$H64="定率法",'固定資産台帳'!$H64="定率法（200%）",'固定資産台帳'!$H64="定率法（250%）"),2,IF('固定資産台帳'!$H64="一括償却（3年）",3,IF('固定資産台帳'!$H64="少額特例",4,0))))</f>
        <v/>
      </c>
      <c r="G64" s="68">
        <f>IF('固定資産台帳'!$H64="定率法（250%）",250,IF('固定資産台帳'!$H64="定率法（200%）",200,IF($D64&gt;=DATE(2012,4,1),200,250)))</f>
        <v/>
      </c>
      <c r="H64" s="68">
        <f>IF(ISNUMBER('固定資産台帳'!$I64),IF(AND('固定資産台帳'!$I64&gt;=2,'固定資産台帳'!$I64&lt;=100,'固定資産台帳'!$I64=INT('固定資産台帳'!$I64)),'固定資産台帳'!$I64,0),0)</f>
        <v/>
      </c>
      <c r="I64" s="68">
        <f>IF('固定資産台帳'!$C64="無形固定資産",0,1)</f>
        <v/>
      </c>
      <c r="J64" s="68">
        <f>IF(OR($H64=0,$F64=0,$F64&gt;2),0,IF($F64=1,INDEX('償却率表'!$B$6:$B$104,$H64-1),IF($G64=200,INDEX('償却率表'!$C$6:$C$104,$H64-1),INDEX('償却率表'!$F$6:$F$104,$H64-1))))</f>
        <v/>
      </c>
      <c r="K64" s="68">
        <f>IF(AND($F64=2,$H64&gt;0),IF($G64=200,INDEX('償却率表'!$D$6:$D$104,$H64-1),INDEX('償却率表'!$G$6:$G$104,$H64-1)),0)</f>
        <v/>
      </c>
      <c r="L64" s="68">
        <f>IF(AND($F64=2,$H64&gt;0),IF($G64=200,INDEX('償却率表'!$E$6:$E$104,$H64-1),INDEX('償却率表'!$H$6:$H$104,$H64-1)),0)</f>
        <v/>
      </c>
      <c r="M64" s="68">
        <f>$C64*$L64</f>
        <v/>
      </c>
      <c r="N64" s="68">
        <f>IF($B$1=1,1,IF('固定資産台帳'!$J64="",1,IF(ISNUMBER('固定資産台帳'!$J64),IF(AND('固定資産台帳'!$J64&gt;0,'固定資産台帳'!$J64&lt;=1),'固定資産台帳'!$J64,0),0)))</f>
        <v/>
      </c>
      <c r="O64" s="68">
        <f>IF($E64=0,0,YEAR($E64)-IF(MONTH($E64)&lt;$B$2,1,0))</f>
        <v/>
      </c>
      <c r="P64" s="68">
        <f>IF($E64=0,0,12-MOD(MONTH($E64)-$B$2,12))</f>
        <v/>
      </c>
      <c r="Q64" s="84">
        <f>IF(ISNUMBER('固定資産台帳'!$K64),INT('固定資産台帳'!$K64),0)</f>
        <v/>
      </c>
      <c r="R64" s="68">
        <f>IF(OR($Q64=0,$E64=0),999,YEAR($Q64)-IF(MONTH($Q64)&lt;$B$2,1,0)-$O64)</f>
        <v/>
      </c>
      <c r="S64" s="68">
        <f>IF($R64=999,0,MOD(MONTH($Q64)-$B$2,12)+1-IF($R64=0,12-$P64,0))</f>
        <v/>
      </c>
      <c r="T64" s="68">
        <f>IF($B64=0,0,IF($C64&lt;=0,1,IF($D64=0,2,IF($F64=0,3,IF(AND($F64&lt;=2,$H64=0),4,IF(AND($F64&lt;=2,$D64&lt;DATE(2007,4,1)),5,IF($E64&lt;$D64,6,IF(AND($Q64&gt;0,$Q64&lt;$E64),7,IF($N64=0,8,IF($B$3=0,9,0))))))))))</f>
        <v/>
      </c>
      <c r="U64" s="68">
        <f>IF(AND($B64=1,$T64=0),1,0)</f>
        <v/>
      </c>
      <c r="V64" s="68">
        <f>$B$3-$O64</f>
        <v/>
      </c>
      <c r="W64" s="68">
        <f>IF(AND($U64=1,$V64&gt;=0),1,0)</f>
        <v/>
      </c>
      <c r="X64" s="68">
        <f>IF($W64=0,0,IF($V64=0,$C64,INDEX($AS64:$EP64,MIN($V64,102))))</f>
        <v/>
      </c>
      <c r="Y64" s="68">
        <f>IF($W64=0,0,INDEX($AS64:$EP64,MIN($V64,101)+1))</f>
        <v/>
      </c>
      <c r="Z64" s="68">
        <f>$X64-$Y64</f>
        <v/>
      </c>
      <c r="AA64" s="68">
        <f>IF(AND($W64=1,$F64=2,$V64&gt;=1),INDEX($ER64:$IN64,MIN($V64,101)),0)</f>
        <v/>
      </c>
      <c r="AB64" s="68">
        <f>IF(OR($W64=0,$F64&gt;2,$Z64=0),0,IF($V64=0,IF($R64=0,$S64,$P64),IF($V64=$R64,$S64,12)))</f>
        <v/>
      </c>
      <c r="AC64" s="68">
        <f>IF($W64=0,0,INT(ROUND($Z64*$N64,6)+$B$4))</f>
        <v/>
      </c>
      <c r="AD64" s="68">
        <f>IF(AND($W64=1,$F64&lt;=2,$V64=$R64),1,0)</f>
        <v/>
      </c>
      <c r="AE64" s="68">
        <f>IF(AND($W64=1,$F64&lt;=2,$V64&gt;$R64),1,0)</f>
        <v/>
      </c>
      <c r="AF64" s="68">
        <f>IF(AND($W64=1,$AE64=0,OR($Z64&gt;0,$AD64=1)),1,0)</f>
        <v/>
      </c>
      <c r="AG64" s="68">
        <f>IF($AF64=1,SUM($AF$6:$AF64),0)</f>
        <v/>
      </c>
      <c r="AH64" s="68">
        <f>IF($T64=0,"",CHOOSE($T64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64" s="68">
        <f>IF(AND($F64=2,OR('固定資産台帳'!$C64="建物",'固定資産台帳'!$C64="無形固定資産",AND(OR('固定資産台帳'!$C64="建物附属設備",'固定資産台帳'!$C64="構築物"),$D64&gt;=DATE(2016,4,1)))),"この資産は定額法だけです（定率法は使えません）。","")&amp;IF(AND($F64=3,$C64&gt;=200000),"一括償却は20万円未満の資産だけです。","")&amp;IF(AND($F64=3,$B$1=0,$C64&lt;100000),"10万円未満は一括償却にせず、全額をその年の経費にします。","")&amp;IF(AND($F64=4,$C64&lt;100000),"10万円未満は少額特例ではなく、全額をその年の経費にします。","")&amp;IF(AND($F64=4,$D64&lt;DATE(2026,4,1),$C64&gt;=300000),"2026年3月31日までの取得で少額特例が使えるのは30万円未満です。","")&amp;IF(AND($F64=4,$D64&gt;=DATE(2026,4,1),$C64&gt;=400000),"少額特例は40万円未満の資産だけです。","")&amp;IF(AND($F64=4,OR($D64&lt;DATE(2006,4,1),$D64&gt;DATE(2029,3,31))),"少額特例は2006年4月1日〜2029年3月31日に取得した資産だけです。","")&amp;IF(AND($F64=2,$G64=250,$D64&gt;DATE(2012,12,31)),"250%定率法は2012年12月31日までの取得だけです。","")</f>
        <v/>
      </c>
      <c r="AJ64" s="68">
        <f>IF(AND($F64=2,'固定資産台帳'!$H64="定率法（200%）",$D64&lt;DATE(2012,4,1)),"2012年3月31日までの取得に200%を使うのは、経過措置の届出をした場合です。","")&amp;IF(AND($F64=2,'固定資産台帳'!$H64="定率法（250%）",$D64&gt;=DATE(2012,4,1),$D64&lt;=DATE(2012,12,31)),"2012年4〜12月の取得に250%を使うのは、経過措置を選んだ場合です。","")</f>
        <v/>
      </c>
      <c r="AK64" s="68">
        <f>IF($U64=0,"",IF($V64&lt;0,"表示している年より後に使い始める資産です。",IF($AE64=1,"売却・除却済みです。",IF($AD64=1,"この年に売却・除却。期末の帳簿価額 "&amp;TEXT($Y64,"#,##0")&amp;"円を帳簿から外します。",IF($F64=4,IF($V64=0,"少額特例：この年に全額を経費にします。","少額特例で経費にした資産です。"),IF($F64=3,IF($V64&gt;2,"一括償却は終わっています。","一括償却 "&amp;($V64+1)&amp;"年目（3年のうち）。"),IF($Z64=0,"償却済み（帳簿価額 "&amp;TEXT($Y64,"#,##0")&amp;"円）。",IF($AA64&gt;0,"改定償却率で計算（改定取得価額 "&amp;TEXT($AA64,"#,##0")&amp;"円）。",IF($V64=0,"この年に使い始め（"&amp;$AB64&amp;"か月分）。","")))))))))</f>
        <v/>
      </c>
      <c r="AL64" s="68">
        <f>IF(AND($U64=1,$F64=4,$V64=0),$C64,0)</f>
        <v/>
      </c>
      <c r="AM64" s="68">
        <f>IF($F64=2,INT(ROUND($M64,6)+$B$4),0)</f>
        <v/>
      </c>
      <c r="AN64" s="68">
        <f>IF($W64=0,0,IF($F64=2,IF($AA64&gt;0,$AA64,$X64),$C64))</f>
        <v/>
      </c>
      <c r="AO64" s="68">
        <f>IF($W64=0,"",IF($F64=3,"1/3",IF($F64=4,"―",IF($AA64&gt;0,$K64,$J64))))</f>
        <v/>
      </c>
      <c r="AP64" s="68" t="n"/>
      <c r="AQ64" s="68" t="n"/>
      <c r="AR64" s="68" t="n"/>
      <c r="AS64" s="68">
        <f>IF($U64=0,0,IF($F64=4,0,IF($F64=3,MAX($C64-INT(ROUND($C64/3,6)+$B$4),0),$C64-MIN(INT(ROUND($C64*$J64*IF($R64=0,$S64,$P64)/12,6)+$B$4),MAX($C64-$I64,0)))))</f>
        <v/>
      </c>
      <c r="AT64" s="68">
        <f>IF($U64=0,0,IF($F64=4,0,IF($F64=3,AS64-MIN(INT(ROUND($C64/3,6)+$B$4),AS64),IF(OR(1&gt;$R64,AS64&lt;=$I64),AS64,AS64-MIN(INT(ROUND(IF($F64=1,$C64*$J64,IF(ER64&gt;0,ER64*$K64,AS64*$J64))*IF(1=$R64,$S64,12)/12,6)+$B$4),AS64-$I64)))))</f>
        <v/>
      </c>
      <c r="AU64" s="68">
        <f>IF($U64=0,0,IF($F64=4,0,IF($F64=3,0,IF(OR(2&gt;$R64,AT64&lt;=$I64),AT64,AT64-MIN(INT(ROUND(IF($F64=1,$C64*$J64,IF(ES64&gt;0,ES64*$K64,AT64*$J64))*IF(2=$R64,$S64,12)/12,6)+$B$4),AT64-$I64)))))</f>
        <v/>
      </c>
      <c r="AV64" s="68">
        <f>IF($U64=0,0,IF($F64=4,0,IF($F64=3,0,IF(OR(3&gt;$R64,AU64&lt;=$I64),AU64,AU64-MIN(INT(ROUND(IF($F64=1,$C64*$J64,IF(ET64&gt;0,ET64*$K64,AU64*$J64))*IF(3=$R64,$S64,12)/12,6)+$B$4),AU64-$I64)))))</f>
        <v/>
      </c>
      <c r="AW64" s="68">
        <f>IF($U64=0,0,IF($F64=4,0,IF($F64=3,0,IF(OR(4&gt;$R64,AV64&lt;=$I64),AV64,AV64-MIN(INT(ROUND(IF($F64=1,$C64*$J64,IF(EU64&gt;0,EU64*$K64,AV64*$J64))*IF(4=$R64,$S64,12)/12,6)+$B$4),AV64-$I64)))))</f>
        <v/>
      </c>
      <c r="AX64" s="68">
        <f>IF($U64=0,0,IF($F64=4,0,IF($F64=3,0,IF(OR(5&gt;$R64,AW64&lt;=$I64),AW64,AW64-MIN(INT(ROUND(IF($F64=1,$C64*$J64,IF(EV64&gt;0,EV64*$K64,AW64*$J64))*IF(5=$R64,$S64,12)/12,6)+$B$4),AW64-$I64)))))</f>
        <v/>
      </c>
      <c r="AY64" s="68">
        <f>IF($U64=0,0,IF($F64=4,0,IF($F64=3,0,IF(OR(6&gt;$R64,AX64&lt;=$I64),AX64,AX64-MIN(INT(ROUND(IF($F64=1,$C64*$J64,IF(EW64&gt;0,EW64*$K64,AX64*$J64))*IF(6=$R64,$S64,12)/12,6)+$B$4),AX64-$I64)))))</f>
        <v/>
      </c>
      <c r="AZ64" s="68">
        <f>IF($U64=0,0,IF($F64=4,0,IF($F64=3,0,IF(OR(7&gt;$R64,AY64&lt;=$I64),AY64,AY64-MIN(INT(ROUND(IF($F64=1,$C64*$J64,IF(EX64&gt;0,EX64*$K64,AY64*$J64))*IF(7=$R64,$S64,12)/12,6)+$B$4),AY64-$I64)))))</f>
        <v/>
      </c>
      <c r="BA64" s="68">
        <f>IF($U64=0,0,IF($F64=4,0,IF($F64=3,0,IF(OR(8&gt;$R64,AZ64&lt;=$I64),AZ64,AZ64-MIN(INT(ROUND(IF($F64=1,$C64*$J64,IF(EY64&gt;0,EY64*$K64,AZ64*$J64))*IF(8=$R64,$S64,12)/12,6)+$B$4),AZ64-$I64)))))</f>
        <v/>
      </c>
      <c r="BB64" s="68">
        <f>IF($U64=0,0,IF($F64=4,0,IF($F64=3,0,IF(OR(9&gt;$R64,BA64&lt;=$I64),BA64,BA64-MIN(INT(ROUND(IF($F64=1,$C64*$J64,IF(EZ64&gt;0,EZ64*$K64,BA64*$J64))*IF(9=$R64,$S64,12)/12,6)+$B$4),BA64-$I64)))))</f>
        <v/>
      </c>
      <c r="BC64" s="68">
        <f>IF($U64=0,0,IF($F64=4,0,IF($F64=3,0,IF(OR(10&gt;$R64,BB64&lt;=$I64),BB64,BB64-MIN(INT(ROUND(IF($F64=1,$C64*$J64,IF(FA64&gt;0,FA64*$K64,BB64*$J64))*IF(10=$R64,$S64,12)/12,6)+$B$4),BB64-$I64)))))</f>
        <v/>
      </c>
      <c r="BD64" s="68">
        <f>IF($U64=0,0,IF($F64=4,0,IF($F64=3,0,IF(OR(11&gt;$R64,BC64&lt;=$I64),BC64,BC64-MIN(INT(ROUND(IF($F64=1,$C64*$J64,IF(FB64&gt;0,FB64*$K64,BC64*$J64))*IF(11=$R64,$S64,12)/12,6)+$B$4),BC64-$I64)))))</f>
        <v/>
      </c>
      <c r="BE64" s="68">
        <f>IF($U64=0,0,IF($F64=4,0,IF($F64=3,0,IF(OR(12&gt;$R64,BD64&lt;=$I64),BD64,BD64-MIN(INT(ROUND(IF($F64=1,$C64*$J64,IF(FC64&gt;0,FC64*$K64,BD64*$J64))*IF(12=$R64,$S64,12)/12,6)+$B$4),BD64-$I64)))))</f>
        <v/>
      </c>
      <c r="BF64" s="68">
        <f>IF($U64=0,0,IF($F64=4,0,IF($F64=3,0,IF(OR(13&gt;$R64,BE64&lt;=$I64),BE64,BE64-MIN(INT(ROUND(IF($F64=1,$C64*$J64,IF(FD64&gt;0,FD64*$K64,BE64*$J64))*IF(13=$R64,$S64,12)/12,6)+$B$4),BE64-$I64)))))</f>
        <v/>
      </c>
      <c r="BG64" s="68">
        <f>IF($U64=0,0,IF($F64=4,0,IF($F64=3,0,IF(OR(14&gt;$R64,BF64&lt;=$I64),BF64,BF64-MIN(INT(ROUND(IF($F64=1,$C64*$J64,IF(FE64&gt;0,FE64*$K64,BF64*$J64))*IF(14=$R64,$S64,12)/12,6)+$B$4),BF64-$I64)))))</f>
        <v/>
      </c>
      <c r="BH64" s="68">
        <f>IF($U64=0,0,IF($F64=4,0,IF($F64=3,0,IF(OR(15&gt;$R64,BG64&lt;=$I64),BG64,BG64-MIN(INT(ROUND(IF($F64=1,$C64*$J64,IF(FF64&gt;0,FF64*$K64,BG64*$J64))*IF(15=$R64,$S64,12)/12,6)+$B$4),BG64-$I64)))))</f>
        <v/>
      </c>
      <c r="BI64" s="68">
        <f>IF($U64=0,0,IF($F64=4,0,IF($F64=3,0,IF(OR(16&gt;$R64,BH64&lt;=$I64),BH64,BH64-MIN(INT(ROUND(IF($F64=1,$C64*$J64,IF(FG64&gt;0,FG64*$K64,BH64*$J64))*IF(16=$R64,$S64,12)/12,6)+$B$4),BH64-$I64)))))</f>
        <v/>
      </c>
      <c r="BJ64" s="68">
        <f>IF($U64=0,0,IF($F64=4,0,IF($F64=3,0,IF(OR(17&gt;$R64,BI64&lt;=$I64),BI64,BI64-MIN(INT(ROUND(IF($F64=1,$C64*$J64,IF(FH64&gt;0,FH64*$K64,BI64*$J64))*IF(17=$R64,$S64,12)/12,6)+$B$4),BI64-$I64)))))</f>
        <v/>
      </c>
      <c r="BK64" s="68">
        <f>IF($U64=0,0,IF($F64=4,0,IF($F64=3,0,IF(OR(18&gt;$R64,BJ64&lt;=$I64),BJ64,BJ64-MIN(INT(ROUND(IF($F64=1,$C64*$J64,IF(FI64&gt;0,FI64*$K64,BJ64*$J64))*IF(18=$R64,$S64,12)/12,6)+$B$4),BJ64-$I64)))))</f>
        <v/>
      </c>
      <c r="BL64" s="68">
        <f>IF($U64=0,0,IF($F64=4,0,IF($F64=3,0,IF(OR(19&gt;$R64,BK64&lt;=$I64),BK64,BK64-MIN(INT(ROUND(IF($F64=1,$C64*$J64,IF(FJ64&gt;0,FJ64*$K64,BK64*$J64))*IF(19=$R64,$S64,12)/12,6)+$B$4),BK64-$I64)))))</f>
        <v/>
      </c>
      <c r="BM64" s="68">
        <f>IF($U64=0,0,IF($F64=4,0,IF($F64=3,0,IF(OR(20&gt;$R64,BL64&lt;=$I64),BL64,BL64-MIN(INT(ROUND(IF($F64=1,$C64*$J64,IF(FK64&gt;0,FK64*$K64,BL64*$J64))*IF(20=$R64,$S64,12)/12,6)+$B$4),BL64-$I64)))))</f>
        <v/>
      </c>
      <c r="BN64" s="68">
        <f>IF($U64=0,0,IF($F64=4,0,IF($F64=3,0,IF(OR(21&gt;$R64,BM64&lt;=$I64),BM64,BM64-MIN(INT(ROUND(IF($F64=1,$C64*$J64,IF(FL64&gt;0,FL64*$K64,BM64*$J64))*IF(21=$R64,$S64,12)/12,6)+$B$4),BM64-$I64)))))</f>
        <v/>
      </c>
      <c r="BO64" s="68">
        <f>IF($U64=0,0,IF($F64=4,0,IF($F64=3,0,IF(OR(22&gt;$R64,BN64&lt;=$I64),BN64,BN64-MIN(INT(ROUND(IF($F64=1,$C64*$J64,IF(FM64&gt;0,FM64*$K64,BN64*$J64))*IF(22=$R64,$S64,12)/12,6)+$B$4),BN64-$I64)))))</f>
        <v/>
      </c>
      <c r="BP64" s="68">
        <f>IF($U64=0,0,IF($F64=4,0,IF($F64=3,0,IF(OR(23&gt;$R64,BO64&lt;=$I64),BO64,BO64-MIN(INT(ROUND(IF($F64=1,$C64*$J64,IF(FN64&gt;0,FN64*$K64,BO64*$J64))*IF(23=$R64,$S64,12)/12,6)+$B$4),BO64-$I64)))))</f>
        <v/>
      </c>
      <c r="BQ64" s="68">
        <f>IF($U64=0,0,IF($F64=4,0,IF($F64=3,0,IF(OR(24&gt;$R64,BP64&lt;=$I64),BP64,BP64-MIN(INT(ROUND(IF($F64=1,$C64*$J64,IF(FO64&gt;0,FO64*$K64,BP64*$J64))*IF(24=$R64,$S64,12)/12,6)+$B$4),BP64-$I64)))))</f>
        <v/>
      </c>
      <c r="BR64" s="68">
        <f>IF($U64=0,0,IF($F64=4,0,IF($F64=3,0,IF(OR(25&gt;$R64,BQ64&lt;=$I64),BQ64,BQ64-MIN(INT(ROUND(IF($F64=1,$C64*$J64,IF(FP64&gt;0,FP64*$K64,BQ64*$J64))*IF(25=$R64,$S64,12)/12,6)+$B$4),BQ64-$I64)))))</f>
        <v/>
      </c>
      <c r="BS64" s="68">
        <f>IF($U64=0,0,IF($F64=4,0,IF($F64=3,0,IF(OR(26&gt;$R64,BR64&lt;=$I64),BR64,BR64-MIN(INT(ROUND(IF($F64=1,$C64*$J64,IF(FQ64&gt;0,FQ64*$K64,BR64*$J64))*IF(26=$R64,$S64,12)/12,6)+$B$4),BR64-$I64)))))</f>
        <v/>
      </c>
      <c r="BT64" s="68">
        <f>IF($U64=0,0,IF($F64=4,0,IF($F64=3,0,IF(OR(27&gt;$R64,BS64&lt;=$I64),BS64,BS64-MIN(INT(ROUND(IF($F64=1,$C64*$J64,IF(FR64&gt;0,FR64*$K64,BS64*$J64))*IF(27=$R64,$S64,12)/12,6)+$B$4),BS64-$I64)))))</f>
        <v/>
      </c>
      <c r="BU64" s="68">
        <f>IF($U64=0,0,IF($F64=4,0,IF($F64=3,0,IF(OR(28&gt;$R64,BT64&lt;=$I64),BT64,BT64-MIN(INT(ROUND(IF($F64=1,$C64*$J64,IF(FS64&gt;0,FS64*$K64,BT64*$J64))*IF(28=$R64,$S64,12)/12,6)+$B$4),BT64-$I64)))))</f>
        <v/>
      </c>
      <c r="BV64" s="68">
        <f>IF($U64=0,0,IF($F64=4,0,IF($F64=3,0,IF(OR(29&gt;$R64,BU64&lt;=$I64),BU64,BU64-MIN(INT(ROUND(IF($F64=1,$C64*$J64,IF(FT64&gt;0,FT64*$K64,BU64*$J64))*IF(29=$R64,$S64,12)/12,6)+$B$4),BU64-$I64)))))</f>
        <v/>
      </c>
      <c r="BW64" s="68">
        <f>IF($U64=0,0,IF($F64=4,0,IF($F64=3,0,IF(OR(30&gt;$R64,BV64&lt;=$I64),BV64,BV64-MIN(INT(ROUND(IF($F64=1,$C64*$J64,IF(FU64&gt;0,FU64*$K64,BV64*$J64))*IF(30=$R64,$S64,12)/12,6)+$B$4),BV64-$I64)))))</f>
        <v/>
      </c>
      <c r="BX64" s="68">
        <f>IF($U64=0,0,IF($F64=4,0,IF($F64=3,0,IF(OR(31&gt;$R64,BW64&lt;=$I64),BW64,BW64-MIN(INT(ROUND(IF($F64=1,$C64*$J64,IF(FV64&gt;0,FV64*$K64,BW64*$J64))*IF(31=$R64,$S64,12)/12,6)+$B$4),BW64-$I64)))))</f>
        <v/>
      </c>
      <c r="BY64" s="68">
        <f>IF($U64=0,0,IF($F64=4,0,IF($F64=3,0,IF(OR(32&gt;$R64,BX64&lt;=$I64),BX64,BX64-MIN(INT(ROUND(IF($F64=1,$C64*$J64,IF(FW64&gt;0,FW64*$K64,BX64*$J64))*IF(32=$R64,$S64,12)/12,6)+$B$4),BX64-$I64)))))</f>
        <v/>
      </c>
      <c r="BZ64" s="68">
        <f>IF($U64=0,0,IF($F64=4,0,IF($F64=3,0,IF(OR(33&gt;$R64,BY64&lt;=$I64),BY64,BY64-MIN(INT(ROUND(IF($F64=1,$C64*$J64,IF(FX64&gt;0,FX64*$K64,BY64*$J64))*IF(33=$R64,$S64,12)/12,6)+$B$4),BY64-$I64)))))</f>
        <v/>
      </c>
      <c r="CA64" s="68">
        <f>IF($U64=0,0,IF($F64=4,0,IF($F64=3,0,IF(OR(34&gt;$R64,BZ64&lt;=$I64),BZ64,BZ64-MIN(INT(ROUND(IF($F64=1,$C64*$J64,IF(FY64&gt;0,FY64*$K64,BZ64*$J64))*IF(34=$R64,$S64,12)/12,6)+$B$4),BZ64-$I64)))))</f>
        <v/>
      </c>
      <c r="CB64" s="68">
        <f>IF($U64=0,0,IF($F64=4,0,IF($F64=3,0,IF(OR(35&gt;$R64,CA64&lt;=$I64),CA64,CA64-MIN(INT(ROUND(IF($F64=1,$C64*$J64,IF(FZ64&gt;0,FZ64*$K64,CA64*$J64))*IF(35=$R64,$S64,12)/12,6)+$B$4),CA64-$I64)))))</f>
        <v/>
      </c>
      <c r="CC64" s="68">
        <f>IF($U64=0,0,IF($F64=4,0,IF($F64=3,0,IF(OR(36&gt;$R64,CB64&lt;=$I64),CB64,CB64-MIN(INT(ROUND(IF($F64=1,$C64*$J64,IF(GA64&gt;0,GA64*$K64,CB64*$J64))*IF(36=$R64,$S64,12)/12,6)+$B$4),CB64-$I64)))))</f>
        <v/>
      </c>
      <c r="CD64" s="68">
        <f>IF($U64=0,0,IF($F64=4,0,IF($F64=3,0,IF(OR(37&gt;$R64,CC64&lt;=$I64),CC64,CC64-MIN(INT(ROUND(IF($F64=1,$C64*$J64,IF(GB64&gt;0,GB64*$K64,CC64*$J64))*IF(37=$R64,$S64,12)/12,6)+$B$4),CC64-$I64)))))</f>
        <v/>
      </c>
      <c r="CE64" s="68">
        <f>IF($U64=0,0,IF($F64=4,0,IF($F64=3,0,IF(OR(38&gt;$R64,CD64&lt;=$I64),CD64,CD64-MIN(INT(ROUND(IF($F64=1,$C64*$J64,IF(GC64&gt;0,GC64*$K64,CD64*$J64))*IF(38=$R64,$S64,12)/12,6)+$B$4),CD64-$I64)))))</f>
        <v/>
      </c>
      <c r="CF64" s="68">
        <f>IF($U64=0,0,IF($F64=4,0,IF($F64=3,0,IF(OR(39&gt;$R64,CE64&lt;=$I64),CE64,CE64-MIN(INT(ROUND(IF($F64=1,$C64*$J64,IF(GD64&gt;0,GD64*$K64,CE64*$J64))*IF(39=$R64,$S64,12)/12,6)+$B$4),CE64-$I64)))))</f>
        <v/>
      </c>
      <c r="CG64" s="68">
        <f>IF($U64=0,0,IF($F64=4,0,IF($F64=3,0,IF(OR(40&gt;$R64,CF64&lt;=$I64),CF64,CF64-MIN(INT(ROUND(IF($F64=1,$C64*$J64,IF(GE64&gt;0,GE64*$K64,CF64*$J64))*IF(40=$R64,$S64,12)/12,6)+$B$4),CF64-$I64)))))</f>
        <v/>
      </c>
      <c r="CH64" s="68">
        <f>IF($U64=0,0,IF($F64=4,0,IF($F64=3,0,IF(OR(41&gt;$R64,CG64&lt;=$I64),CG64,CG64-MIN(INT(ROUND(IF($F64=1,$C64*$J64,IF(GF64&gt;0,GF64*$K64,CG64*$J64))*IF(41=$R64,$S64,12)/12,6)+$B$4),CG64-$I64)))))</f>
        <v/>
      </c>
      <c r="CI64" s="68">
        <f>IF($U64=0,0,IF($F64=4,0,IF($F64=3,0,IF(OR(42&gt;$R64,CH64&lt;=$I64),CH64,CH64-MIN(INT(ROUND(IF($F64=1,$C64*$J64,IF(GG64&gt;0,GG64*$K64,CH64*$J64))*IF(42=$R64,$S64,12)/12,6)+$B$4),CH64-$I64)))))</f>
        <v/>
      </c>
      <c r="CJ64" s="68">
        <f>IF($U64=0,0,IF($F64=4,0,IF($F64=3,0,IF(OR(43&gt;$R64,CI64&lt;=$I64),CI64,CI64-MIN(INT(ROUND(IF($F64=1,$C64*$J64,IF(GH64&gt;0,GH64*$K64,CI64*$J64))*IF(43=$R64,$S64,12)/12,6)+$B$4),CI64-$I64)))))</f>
        <v/>
      </c>
      <c r="CK64" s="68">
        <f>IF($U64=0,0,IF($F64=4,0,IF($F64=3,0,IF(OR(44&gt;$R64,CJ64&lt;=$I64),CJ64,CJ64-MIN(INT(ROUND(IF($F64=1,$C64*$J64,IF(GI64&gt;0,GI64*$K64,CJ64*$J64))*IF(44=$R64,$S64,12)/12,6)+$B$4),CJ64-$I64)))))</f>
        <v/>
      </c>
      <c r="CL64" s="68">
        <f>IF($U64=0,0,IF($F64=4,0,IF($F64=3,0,IF(OR(45&gt;$R64,CK64&lt;=$I64),CK64,CK64-MIN(INT(ROUND(IF($F64=1,$C64*$J64,IF(GJ64&gt;0,GJ64*$K64,CK64*$J64))*IF(45=$R64,$S64,12)/12,6)+$B$4),CK64-$I64)))))</f>
        <v/>
      </c>
      <c r="CM64" s="68">
        <f>IF($U64=0,0,IF($F64=4,0,IF($F64=3,0,IF(OR(46&gt;$R64,CL64&lt;=$I64),CL64,CL64-MIN(INT(ROUND(IF($F64=1,$C64*$J64,IF(GK64&gt;0,GK64*$K64,CL64*$J64))*IF(46=$R64,$S64,12)/12,6)+$B$4),CL64-$I64)))))</f>
        <v/>
      </c>
      <c r="CN64" s="68">
        <f>IF($U64=0,0,IF($F64=4,0,IF($F64=3,0,IF(OR(47&gt;$R64,CM64&lt;=$I64),CM64,CM64-MIN(INT(ROUND(IF($F64=1,$C64*$J64,IF(GL64&gt;0,GL64*$K64,CM64*$J64))*IF(47=$R64,$S64,12)/12,6)+$B$4),CM64-$I64)))))</f>
        <v/>
      </c>
      <c r="CO64" s="68">
        <f>IF($U64=0,0,IF($F64=4,0,IF($F64=3,0,IF(OR(48&gt;$R64,CN64&lt;=$I64),CN64,CN64-MIN(INT(ROUND(IF($F64=1,$C64*$J64,IF(GM64&gt;0,GM64*$K64,CN64*$J64))*IF(48=$R64,$S64,12)/12,6)+$B$4),CN64-$I64)))))</f>
        <v/>
      </c>
      <c r="CP64" s="68">
        <f>IF($U64=0,0,IF($F64=4,0,IF($F64=3,0,IF(OR(49&gt;$R64,CO64&lt;=$I64),CO64,CO64-MIN(INT(ROUND(IF($F64=1,$C64*$J64,IF(GN64&gt;0,GN64*$K64,CO64*$J64))*IF(49=$R64,$S64,12)/12,6)+$B$4),CO64-$I64)))))</f>
        <v/>
      </c>
      <c r="CQ64" s="68">
        <f>IF($U64=0,0,IF($F64=4,0,IF($F64=3,0,IF(OR(50&gt;$R64,CP64&lt;=$I64),CP64,CP64-MIN(INT(ROUND(IF($F64=1,$C64*$J64,IF(GO64&gt;0,GO64*$K64,CP64*$J64))*IF(50=$R64,$S64,12)/12,6)+$B$4),CP64-$I64)))))</f>
        <v/>
      </c>
      <c r="CR64" s="68">
        <f>IF($U64=0,0,IF($F64=4,0,IF($F64=3,0,IF(OR(51&gt;$R64,CQ64&lt;=$I64),CQ64,CQ64-MIN(INT(ROUND(IF($F64=1,$C64*$J64,IF(GP64&gt;0,GP64*$K64,CQ64*$J64))*IF(51=$R64,$S64,12)/12,6)+$B$4),CQ64-$I64)))))</f>
        <v/>
      </c>
      <c r="CS64" s="68">
        <f>IF($U64=0,0,IF($F64=4,0,IF($F64=3,0,IF(OR(52&gt;$R64,CR64&lt;=$I64),CR64,CR64-MIN(INT(ROUND(IF($F64=1,$C64*$J64,IF(GQ64&gt;0,GQ64*$K64,CR64*$J64))*IF(52=$R64,$S64,12)/12,6)+$B$4),CR64-$I64)))))</f>
        <v/>
      </c>
      <c r="CT64" s="68">
        <f>IF($U64=0,0,IF($F64=4,0,IF($F64=3,0,IF(OR(53&gt;$R64,CS64&lt;=$I64),CS64,CS64-MIN(INT(ROUND(IF($F64=1,$C64*$J64,IF(GR64&gt;0,GR64*$K64,CS64*$J64))*IF(53=$R64,$S64,12)/12,6)+$B$4),CS64-$I64)))))</f>
        <v/>
      </c>
      <c r="CU64" s="68">
        <f>IF($U64=0,0,IF($F64=4,0,IF($F64=3,0,IF(OR(54&gt;$R64,CT64&lt;=$I64),CT64,CT64-MIN(INT(ROUND(IF($F64=1,$C64*$J64,IF(GS64&gt;0,GS64*$K64,CT64*$J64))*IF(54=$R64,$S64,12)/12,6)+$B$4),CT64-$I64)))))</f>
        <v/>
      </c>
      <c r="CV64" s="68">
        <f>IF($U64=0,0,IF($F64=4,0,IF($F64=3,0,IF(OR(55&gt;$R64,CU64&lt;=$I64),CU64,CU64-MIN(INT(ROUND(IF($F64=1,$C64*$J64,IF(GT64&gt;0,GT64*$K64,CU64*$J64))*IF(55=$R64,$S64,12)/12,6)+$B$4),CU64-$I64)))))</f>
        <v/>
      </c>
      <c r="CW64" s="68">
        <f>IF($U64=0,0,IF($F64=4,0,IF($F64=3,0,IF(OR(56&gt;$R64,CV64&lt;=$I64),CV64,CV64-MIN(INT(ROUND(IF($F64=1,$C64*$J64,IF(GU64&gt;0,GU64*$K64,CV64*$J64))*IF(56=$R64,$S64,12)/12,6)+$B$4),CV64-$I64)))))</f>
        <v/>
      </c>
      <c r="CX64" s="68">
        <f>IF($U64=0,0,IF($F64=4,0,IF($F64=3,0,IF(OR(57&gt;$R64,CW64&lt;=$I64),CW64,CW64-MIN(INT(ROUND(IF($F64=1,$C64*$J64,IF(GV64&gt;0,GV64*$K64,CW64*$J64))*IF(57=$R64,$S64,12)/12,6)+$B$4),CW64-$I64)))))</f>
        <v/>
      </c>
      <c r="CY64" s="68">
        <f>IF($U64=0,0,IF($F64=4,0,IF($F64=3,0,IF(OR(58&gt;$R64,CX64&lt;=$I64),CX64,CX64-MIN(INT(ROUND(IF($F64=1,$C64*$J64,IF(GW64&gt;0,GW64*$K64,CX64*$J64))*IF(58=$R64,$S64,12)/12,6)+$B$4),CX64-$I64)))))</f>
        <v/>
      </c>
      <c r="CZ64" s="68">
        <f>IF($U64=0,0,IF($F64=4,0,IF($F64=3,0,IF(OR(59&gt;$R64,CY64&lt;=$I64),CY64,CY64-MIN(INT(ROUND(IF($F64=1,$C64*$J64,IF(GX64&gt;0,GX64*$K64,CY64*$J64))*IF(59=$R64,$S64,12)/12,6)+$B$4),CY64-$I64)))))</f>
        <v/>
      </c>
      <c r="DA64" s="68">
        <f>IF($U64=0,0,IF($F64=4,0,IF($F64=3,0,IF(OR(60&gt;$R64,CZ64&lt;=$I64),CZ64,CZ64-MIN(INT(ROUND(IF($F64=1,$C64*$J64,IF(GY64&gt;0,GY64*$K64,CZ64*$J64))*IF(60=$R64,$S64,12)/12,6)+$B$4),CZ64-$I64)))))</f>
        <v/>
      </c>
      <c r="DB64" s="68">
        <f>IF($U64=0,0,IF($F64=4,0,IF($F64=3,0,IF(OR(61&gt;$R64,DA64&lt;=$I64),DA64,DA64-MIN(INT(ROUND(IF($F64=1,$C64*$J64,IF(GZ64&gt;0,GZ64*$K64,DA64*$J64))*IF(61=$R64,$S64,12)/12,6)+$B$4),DA64-$I64)))))</f>
        <v/>
      </c>
      <c r="DC64" s="68">
        <f>IF($U64=0,0,IF($F64=4,0,IF($F64=3,0,IF(OR(62&gt;$R64,DB64&lt;=$I64),DB64,DB64-MIN(INT(ROUND(IF($F64=1,$C64*$J64,IF(HA64&gt;0,HA64*$K64,DB64*$J64))*IF(62=$R64,$S64,12)/12,6)+$B$4),DB64-$I64)))))</f>
        <v/>
      </c>
      <c r="DD64" s="68">
        <f>IF($U64=0,0,IF($F64=4,0,IF($F64=3,0,IF(OR(63&gt;$R64,DC64&lt;=$I64),DC64,DC64-MIN(INT(ROUND(IF($F64=1,$C64*$J64,IF(HB64&gt;0,HB64*$K64,DC64*$J64))*IF(63=$R64,$S64,12)/12,6)+$B$4),DC64-$I64)))))</f>
        <v/>
      </c>
      <c r="DE64" s="68">
        <f>IF($U64=0,0,IF($F64=4,0,IF($F64=3,0,IF(OR(64&gt;$R64,DD64&lt;=$I64),DD64,DD64-MIN(INT(ROUND(IF($F64=1,$C64*$J64,IF(HC64&gt;0,HC64*$K64,DD64*$J64))*IF(64=$R64,$S64,12)/12,6)+$B$4),DD64-$I64)))))</f>
        <v/>
      </c>
      <c r="DF64" s="68">
        <f>IF($U64=0,0,IF($F64=4,0,IF($F64=3,0,IF(OR(65&gt;$R64,DE64&lt;=$I64),DE64,DE64-MIN(INT(ROUND(IF($F64=1,$C64*$J64,IF(HD64&gt;0,HD64*$K64,DE64*$J64))*IF(65=$R64,$S64,12)/12,6)+$B$4),DE64-$I64)))))</f>
        <v/>
      </c>
      <c r="DG64" s="68">
        <f>IF($U64=0,0,IF($F64=4,0,IF($F64=3,0,IF(OR(66&gt;$R64,DF64&lt;=$I64),DF64,DF64-MIN(INT(ROUND(IF($F64=1,$C64*$J64,IF(HE64&gt;0,HE64*$K64,DF64*$J64))*IF(66=$R64,$S64,12)/12,6)+$B$4),DF64-$I64)))))</f>
        <v/>
      </c>
      <c r="DH64" s="68">
        <f>IF($U64=0,0,IF($F64=4,0,IF($F64=3,0,IF(OR(67&gt;$R64,DG64&lt;=$I64),DG64,DG64-MIN(INT(ROUND(IF($F64=1,$C64*$J64,IF(HF64&gt;0,HF64*$K64,DG64*$J64))*IF(67=$R64,$S64,12)/12,6)+$B$4),DG64-$I64)))))</f>
        <v/>
      </c>
      <c r="DI64" s="68">
        <f>IF($U64=0,0,IF($F64=4,0,IF($F64=3,0,IF(OR(68&gt;$R64,DH64&lt;=$I64),DH64,DH64-MIN(INT(ROUND(IF($F64=1,$C64*$J64,IF(HG64&gt;0,HG64*$K64,DH64*$J64))*IF(68=$R64,$S64,12)/12,6)+$B$4),DH64-$I64)))))</f>
        <v/>
      </c>
      <c r="DJ64" s="68">
        <f>IF($U64=0,0,IF($F64=4,0,IF($F64=3,0,IF(OR(69&gt;$R64,DI64&lt;=$I64),DI64,DI64-MIN(INT(ROUND(IF($F64=1,$C64*$J64,IF(HH64&gt;0,HH64*$K64,DI64*$J64))*IF(69=$R64,$S64,12)/12,6)+$B$4),DI64-$I64)))))</f>
        <v/>
      </c>
      <c r="DK64" s="68">
        <f>IF($U64=0,0,IF($F64=4,0,IF($F64=3,0,IF(OR(70&gt;$R64,DJ64&lt;=$I64),DJ64,DJ64-MIN(INT(ROUND(IF($F64=1,$C64*$J64,IF(HI64&gt;0,HI64*$K64,DJ64*$J64))*IF(70=$R64,$S64,12)/12,6)+$B$4),DJ64-$I64)))))</f>
        <v/>
      </c>
      <c r="DL64" s="68">
        <f>IF($U64=0,0,IF($F64=4,0,IF($F64=3,0,IF(OR(71&gt;$R64,DK64&lt;=$I64),DK64,DK64-MIN(INT(ROUND(IF($F64=1,$C64*$J64,IF(HJ64&gt;0,HJ64*$K64,DK64*$J64))*IF(71=$R64,$S64,12)/12,6)+$B$4),DK64-$I64)))))</f>
        <v/>
      </c>
      <c r="DM64" s="68">
        <f>IF($U64=0,0,IF($F64=4,0,IF($F64=3,0,IF(OR(72&gt;$R64,DL64&lt;=$I64),DL64,DL64-MIN(INT(ROUND(IF($F64=1,$C64*$J64,IF(HK64&gt;0,HK64*$K64,DL64*$J64))*IF(72=$R64,$S64,12)/12,6)+$B$4),DL64-$I64)))))</f>
        <v/>
      </c>
      <c r="DN64" s="68">
        <f>IF($U64=0,0,IF($F64=4,0,IF($F64=3,0,IF(OR(73&gt;$R64,DM64&lt;=$I64),DM64,DM64-MIN(INT(ROUND(IF($F64=1,$C64*$J64,IF(HL64&gt;0,HL64*$K64,DM64*$J64))*IF(73=$R64,$S64,12)/12,6)+$B$4),DM64-$I64)))))</f>
        <v/>
      </c>
      <c r="DO64" s="68">
        <f>IF($U64=0,0,IF($F64=4,0,IF($F64=3,0,IF(OR(74&gt;$R64,DN64&lt;=$I64),DN64,DN64-MIN(INT(ROUND(IF($F64=1,$C64*$J64,IF(HM64&gt;0,HM64*$K64,DN64*$J64))*IF(74=$R64,$S64,12)/12,6)+$B$4),DN64-$I64)))))</f>
        <v/>
      </c>
      <c r="DP64" s="68">
        <f>IF($U64=0,0,IF($F64=4,0,IF($F64=3,0,IF(OR(75&gt;$R64,DO64&lt;=$I64),DO64,DO64-MIN(INT(ROUND(IF($F64=1,$C64*$J64,IF(HN64&gt;0,HN64*$K64,DO64*$J64))*IF(75=$R64,$S64,12)/12,6)+$B$4),DO64-$I64)))))</f>
        <v/>
      </c>
      <c r="DQ64" s="68">
        <f>IF($U64=0,0,IF($F64=4,0,IF($F64=3,0,IF(OR(76&gt;$R64,DP64&lt;=$I64),DP64,DP64-MIN(INT(ROUND(IF($F64=1,$C64*$J64,IF(HO64&gt;0,HO64*$K64,DP64*$J64))*IF(76=$R64,$S64,12)/12,6)+$B$4),DP64-$I64)))))</f>
        <v/>
      </c>
      <c r="DR64" s="68">
        <f>IF($U64=0,0,IF($F64=4,0,IF($F64=3,0,IF(OR(77&gt;$R64,DQ64&lt;=$I64),DQ64,DQ64-MIN(INT(ROUND(IF($F64=1,$C64*$J64,IF(HP64&gt;0,HP64*$K64,DQ64*$J64))*IF(77=$R64,$S64,12)/12,6)+$B$4),DQ64-$I64)))))</f>
        <v/>
      </c>
      <c r="DS64" s="68">
        <f>IF($U64=0,0,IF($F64=4,0,IF($F64=3,0,IF(OR(78&gt;$R64,DR64&lt;=$I64),DR64,DR64-MIN(INT(ROUND(IF($F64=1,$C64*$J64,IF(HQ64&gt;0,HQ64*$K64,DR64*$J64))*IF(78=$R64,$S64,12)/12,6)+$B$4),DR64-$I64)))))</f>
        <v/>
      </c>
      <c r="DT64" s="68">
        <f>IF($U64=0,0,IF($F64=4,0,IF($F64=3,0,IF(OR(79&gt;$R64,DS64&lt;=$I64),DS64,DS64-MIN(INT(ROUND(IF($F64=1,$C64*$J64,IF(HR64&gt;0,HR64*$K64,DS64*$J64))*IF(79=$R64,$S64,12)/12,6)+$B$4),DS64-$I64)))))</f>
        <v/>
      </c>
      <c r="DU64" s="68">
        <f>IF($U64=0,0,IF($F64=4,0,IF($F64=3,0,IF(OR(80&gt;$R64,DT64&lt;=$I64),DT64,DT64-MIN(INT(ROUND(IF($F64=1,$C64*$J64,IF(HS64&gt;0,HS64*$K64,DT64*$J64))*IF(80=$R64,$S64,12)/12,6)+$B$4),DT64-$I64)))))</f>
        <v/>
      </c>
      <c r="DV64" s="68">
        <f>IF($U64=0,0,IF($F64=4,0,IF($F64=3,0,IF(OR(81&gt;$R64,DU64&lt;=$I64),DU64,DU64-MIN(INT(ROUND(IF($F64=1,$C64*$J64,IF(HT64&gt;0,HT64*$K64,DU64*$J64))*IF(81=$R64,$S64,12)/12,6)+$B$4),DU64-$I64)))))</f>
        <v/>
      </c>
      <c r="DW64" s="68">
        <f>IF($U64=0,0,IF($F64=4,0,IF($F64=3,0,IF(OR(82&gt;$R64,DV64&lt;=$I64),DV64,DV64-MIN(INT(ROUND(IF($F64=1,$C64*$J64,IF(HU64&gt;0,HU64*$K64,DV64*$J64))*IF(82=$R64,$S64,12)/12,6)+$B$4),DV64-$I64)))))</f>
        <v/>
      </c>
      <c r="DX64" s="68">
        <f>IF($U64=0,0,IF($F64=4,0,IF($F64=3,0,IF(OR(83&gt;$R64,DW64&lt;=$I64),DW64,DW64-MIN(INT(ROUND(IF($F64=1,$C64*$J64,IF(HV64&gt;0,HV64*$K64,DW64*$J64))*IF(83=$R64,$S64,12)/12,6)+$B$4),DW64-$I64)))))</f>
        <v/>
      </c>
      <c r="DY64" s="68">
        <f>IF($U64=0,0,IF($F64=4,0,IF($F64=3,0,IF(OR(84&gt;$R64,DX64&lt;=$I64),DX64,DX64-MIN(INT(ROUND(IF($F64=1,$C64*$J64,IF(HW64&gt;0,HW64*$K64,DX64*$J64))*IF(84=$R64,$S64,12)/12,6)+$B$4),DX64-$I64)))))</f>
        <v/>
      </c>
      <c r="DZ64" s="68">
        <f>IF($U64=0,0,IF($F64=4,0,IF($F64=3,0,IF(OR(85&gt;$R64,DY64&lt;=$I64),DY64,DY64-MIN(INT(ROUND(IF($F64=1,$C64*$J64,IF(HX64&gt;0,HX64*$K64,DY64*$J64))*IF(85=$R64,$S64,12)/12,6)+$B$4),DY64-$I64)))))</f>
        <v/>
      </c>
      <c r="EA64" s="68">
        <f>IF($U64=0,0,IF($F64=4,0,IF($F64=3,0,IF(OR(86&gt;$R64,DZ64&lt;=$I64),DZ64,DZ64-MIN(INT(ROUND(IF($F64=1,$C64*$J64,IF(HY64&gt;0,HY64*$K64,DZ64*$J64))*IF(86=$R64,$S64,12)/12,6)+$B$4),DZ64-$I64)))))</f>
        <v/>
      </c>
      <c r="EB64" s="68">
        <f>IF($U64=0,0,IF($F64=4,0,IF($F64=3,0,IF(OR(87&gt;$R64,EA64&lt;=$I64),EA64,EA64-MIN(INT(ROUND(IF($F64=1,$C64*$J64,IF(HZ64&gt;0,HZ64*$K64,EA64*$J64))*IF(87=$R64,$S64,12)/12,6)+$B$4),EA64-$I64)))))</f>
        <v/>
      </c>
      <c r="EC64" s="68">
        <f>IF($U64=0,0,IF($F64=4,0,IF($F64=3,0,IF(OR(88&gt;$R64,EB64&lt;=$I64),EB64,EB64-MIN(INT(ROUND(IF($F64=1,$C64*$J64,IF(IA64&gt;0,IA64*$K64,EB64*$J64))*IF(88=$R64,$S64,12)/12,6)+$B$4),EB64-$I64)))))</f>
        <v/>
      </c>
      <c r="ED64" s="68">
        <f>IF($U64=0,0,IF($F64=4,0,IF($F64=3,0,IF(OR(89&gt;$R64,EC64&lt;=$I64),EC64,EC64-MIN(INT(ROUND(IF($F64=1,$C64*$J64,IF(IB64&gt;0,IB64*$K64,EC64*$J64))*IF(89=$R64,$S64,12)/12,6)+$B$4),EC64-$I64)))))</f>
        <v/>
      </c>
      <c r="EE64" s="68">
        <f>IF($U64=0,0,IF($F64=4,0,IF($F64=3,0,IF(OR(90&gt;$R64,ED64&lt;=$I64),ED64,ED64-MIN(INT(ROUND(IF($F64=1,$C64*$J64,IF(IC64&gt;0,IC64*$K64,ED64*$J64))*IF(90=$R64,$S64,12)/12,6)+$B$4),ED64-$I64)))))</f>
        <v/>
      </c>
      <c r="EF64" s="68">
        <f>IF($U64=0,0,IF($F64=4,0,IF($F64=3,0,IF(OR(91&gt;$R64,EE64&lt;=$I64),EE64,EE64-MIN(INT(ROUND(IF($F64=1,$C64*$J64,IF(ID64&gt;0,ID64*$K64,EE64*$J64))*IF(91=$R64,$S64,12)/12,6)+$B$4),EE64-$I64)))))</f>
        <v/>
      </c>
      <c r="EG64" s="68">
        <f>IF($U64=0,0,IF($F64=4,0,IF($F64=3,0,IF(OR(92&gt;$R64,EF64&lt;=$I64),EF64,EF64-MIN(INT(ROUND(IF($F64=1,$C64*$J64,IF(IE64&gt;0,IE64*$K64,EF64*$J64))*IF(92=$R64,$S64,12)/12,6)+$B$4),EF64-$I64)))))</f>
        <v/>
      </c>
      <c r="EH64" s="68">
        <f>IF($U64=0,0,IF($F64=4,0,IF($F64=3,0,IF(OR(93&gt;$R64,EG64&lt;=$I64),EG64,EG64-MIN(INT(ROUND(IF($F64=1,$C64*$J64,IF(IF64&gt;0,IF64*$K64,EG64*$J64))*IF(93=$R64,$S64,12)/12,6)+$B$4),EG64-$I64)))))</f>
        <v/>
      </c>
      <c r="EI64" s="68">
        <f>IF($U64=0,0,IF($F64=4,0,IF($F64=3,0,IF(OR(94&gt;$R64,EH64&lt;=$I64),EH64,EH64-MIN(INT(ROUND(IF($F64=1,$C64*$J64,IF(IG64&gt;0,IG64*$K64,EH64*$J64))*IF(94=$R64,$S64,12)/12,6)+$B$4),EH64-$I64)))))</f>
        <v/>
      </c>
      <c r="EJ64" s="68">
        <f>IF($U64=0,0,IF($F64=4,0,IF($F64=3,0,IF(OR(95&gt;$R64,EI64&lt;=$I64),EI64,EI64-MIN(INT(ROUND(IF($F64=1,$C64*$J64,IF(IH64&gt;0,IH64*$K64,EI64*$J64))*IF(95=$R64,$S64,12)/12,6)+$B$4),EI64-$I64)))))</f>
        <v/>
      </c>
      <c r="EK64" s="68">
        <f>IF($U64=0,0,IF($F64=4,0,IF($F64=3,0,IF(OR(96&gt;$R64,EJ64&lt;=$I64),EJ64,EJ64-MIN(INT(ROUND(IF($F64=1,$C64*$J64,IF(II64&gt;0,II64*$K64,EJ64*$J64))*IF(96=$R64,$S64,12)/12,6)+$B$4),EJ64-$I64)))))</f>
        <v/>
      </c>
      <c r="EL64" s="68">
        <f>IF($U64=0,0,IF($F64=4,0,IF($F64=3,0,IF(OR(97&gt;$R64,EK64&lt;=$I64),EK64,EK64-MIN(INT(ROUND(IF($F64=1,$C64*$J64,IF(IJ64&gt;0,IJ64*$K64,EK64*$J64))*IF(97=$R64,$S64,12)/12,6)+$B$4),EK64-$I64)))))</f>
        <v/>
      </c>
      <c r="EM64" s="68">
        <f>IF($U64=0,0,IF($F64=4,0,IF($F64=3,0,IF(OR(98&gt;$R64,EL64&lt;=$I64),EL64,EL64-MIN(INT(ROUND(IF($F64=1,$C64*$J64,IF(IK64&gt;0,IK64*$K64,EL64*$J64))*IF(98=$R64,$S64,12)/12,6)+$B$4),EL64-$I64)))))</f>
        <v/>
      </c>
      <c r="EN64" s="68">
        <f>IF($U64=0,0,IF($F64=4,0,IF($F64=3,0,IF(OR(99&gt;$R64,EM64&lt;=$I64),EM64,EM64-MIN(INT(ROUND(IF($F64=1,$C64*$J64,IF(IL64&gt;0,IL64*$K64,EM64*$J64))*IF(99=$R64,$S64,12)/12,6)+$B$4),EM64-$I64)))))</f>
        <v/>
      </c>
      <c r="EO64" s="68">
        <f>IF($U64=0,0,IF($F64=4,0,IF($F64=3,0,IF(OR(100&gt;$R64,EN64&lt;=$I64),EN64,EN64-MIN(INT(ROUND(IF($F64=1,$C64*$J64,IF(IM64&gt;0,IM64*$K64,EN64*$J64))*IF(100=$R64,$S64,12)/12,6)+$B$4),EN64-$I64)))))</f>
        <v/>
      </c>
      <c r="EP64" s="68">
        <f>IF($U64=0,0,IF($F64=4,0,IF($F64=3,0,IF(OR(101&gt;$R64,EO64&lt;=$I64),EO64,EO64-MIN(INT(ROUND(IF($F64=1,$C64*$J64,IF(IN64&gt;0,IN64*$K64,EO64*$J64))*IF(101=$R64,$S64,12)/12,6)+$B$4),EO64-$I64)))))</f>
        <v/>
      </c>
      <c r="EQ64" s="68" t="n"/>
      <c r="ER64" s="68">
        <f>IF(OR($U64=0,$F64&lt;&gt;2),0,IF(ROUND(AS64*$J64,6)&lt;ROUND($M64,6),AS64,0))</f>
        <v/>
      </c>
      <c r="ES64" s="68">
        <f>IF(OR($U64=0,$F64&lt;&gt;2),0,IF(ER64&gt;0,ER64,IF(ROUND(AT64*$J64,6)&lt;ROUND($M64,6),AT64,0)))</f>
        <v/>
      </c>
      <c r="ET64" s="68">
        <f>IF(OR($U64=0,$F64&lt;&gt;2),0,IF(ES64&gt;0,ES64,IF(ROUND(AU64*$J64,6)&lt;ROUND($M64,6),AU64,0)))</f>
        <v/>
      </c>
      <c r="EU64" s="68">
        <f>IF(OR($U64=0,$F64&lt;&gt;2),0,IF(ET64&gt;0,ET64,IF(ROUND(AV64*$J64,6)&lt;ROUND($M64,6),AV64,0)))</f>
        <v/>
      </c>
      <c r="EV64" s="68">
        <f>IF(OR($U64=0,$F64&lt;&gt;2),0,IF(EU64&gt;0,EU64,IF(ROUND(AW64*$J64,6)&lt;ROUND($M64,6),AW64,0)))</f>
        <v/>
      </c>
      <c r="EW64" s="68">
        <f>IF(OR($U64=0,$F64&lt;&gt;2),0,IF(EV64&gt;0,EV64,IF(ROUND(AX64*$J64,6)&lt;ROUND($M64,6),AX64,0)))</f>
        <v/>
      </c>
      <c r="EX64" s="68">
        <f>IF(OR($U64=0,$F64&lt;&gt;2),0,IF(EW64&gt;0,EW64,IF(ROUND(AY64*$J64,6)&lt;ROUND($M64,6),AY64,0)))</f>
        <v/>
      </c>
      <c r="EY64" s="68">
        <f>IF(OR($U64=0,$F64&lt;&gt;2),0,IF(EX64&gt;0,EX64,IF(ROUND(AZ64*$J64,6)&lt;ROUND($M64,6),AZ64,0)))</f>
        <v/>
      </c>
      <c r="EZ64" s="68">
        <f>IF(OR($U64=0,$F64&lt;&gt;2),0,IF(EY64&gt;0,EY64,IF(ROUND(BA64*$J64,6)&lt;ROUND($M64,6),BA64,0)))</f>
        <v/>
      </c>
      <c r="FA64" s="68">
        <f>IF(OR($U64=0,$F64&lt;&gt;2),0,IF(EZ64&gt;0,EZ64,IF(ROUND(BB64*$J64,6)&lt;ROUND($M64,6),BB64,0)))</f>
        <v/>
      </c>
      <c r="FB64" s="68">
        <f>IF(OR($U64=0,$F64&lt;&gt;2),0,IF(FA64&gt;0,FA64,IF(ROUND(BC64*$J64,6)&lt;ROUND($M64,6),BC64,0)))</f>
        <v/>
      </c>
      <c r="FC64" s="68">
        <f>IF(OR($U64=0,$F64&lt;&gt;2),0,IF(FB64&gt;0,FB64,IF(ROUND(BD64*$J64,6)&lt;ROUND($M64,6),BD64,0)))</f>
        <v/>
      </c>
      <c r="FD64" s="68">
        <f>IF(OR($U64=0,$F64&lt;&gt;2),0,IF(FC64&gt;0,FC64,IF(ROUND(BE64*$J64,6)&lt;ROUND($M64,6),BE64,0)))</f>
        <v/>
      </c>
      <c r="FE64" s="68">
        <f>IF(OR($U64=0,$F64&lt;&gt;2),0,IF(FD64&gt;0,FD64,IF(ROUND(BF64*$J64,6)&lt;ROUND($M64,6),BF64,0)))</f>
        <v/>
      </c>
      <c r="FF64" s="68">
        <f>IF(OR($U64=0,$F64&lt;&gt;2),0,IF(FE64&gt;0,FE64,IF(ROUND(BG64*$J64,6)&lt;ROUND($M64,6),BG64,0)))</f>
        <v/>
      </c>
      <c r="FG64" s="68">
        <f>IF(OR($U64=0,$F64&lt;&gt;2),0,IF(FF64&gt;0,FF64,IF(ROUND(BH64*$J64,6)&lt;ROUND($M64,6),BH64,0)))</f>
        <v/>
      </c>
      <c r="FH64" s="68">
        <f>IF(OR($U64=0,$F64&lt;&gt;2),0,IF(FG64&gt;0,FG64,IF(ROUND(BI64*$J64,6)&lt;ROUND($M64,6),BI64,0)))</f>
        <v/>
      </c>
      <c r="FI64" s="68">
        <f>IF(OR($U64=0,$F64&lt;&gt;2),0,IF(FH64&gt;0,FH64,IF(ROUND(BJ64*$J64,6)&lt;ROUND($M64,6),BJ64,0)))</f>
        <v/>
      </c>
      <c r="FJ64" s="68">
        <f>IF(OR($U64=0,$F64&lt;&gt;2),0,IF(FI64&gt;0,FI64,IF(ROUND(BK64*$J64,6)&lt;ROUND($M64,6),BK64,0)))</f>
        <v/>
      </c>
      <c r="FK64" s="68">
        <f>IF(OR($U64=0,$F64&lt;&gt;2),0,IF(FJ64&gt;0,FJ64,IF(ROUND(BL64*$J64,6)&lt;ROUND($M64,6),BL64,0)))</f>
        <v/>
      </c>
      <c r="FL64" s="68">
        <f>IF(OR($U64=0,$F64&lt;&gt;2),0,IF(FK64&gt;0,FK64,IF(ROUND(BM64*$J64,6)&lt;ROUND($M64,6),BM64,0)))</f>
        <v/>
      </c>
      <c r="FM64" s="68">
        <f>IF(OR($U64=0,$F64&lt;&gt;2),0,IF(FL64&gt;0,FL64,IF(ROUND(BN64*$J64,6)&lt;ROUND($M64,6),BN64,0)))</f>
        <v/>
      </c>
      <c r="FN64" s="68">
        <f>IF(OR($U64=0,$F64&lt;&gt;2),0,IF(FM64&gt;0,FM64,IF(ROUND(BO64*$J64,6)&lt;ROUND($M64,6),BO64,0)))</f>
        <v/>
      </c>
      <c r="FO64" s="68">
        <f>IF(OR($U64=0,$F64&lt;&gt;2),0,IF(FN64&gt;0,FN64,IF(ROUND(BP64*$J64,6)&lt;ROUND($M64,6),BP64,0)))</f>
        <v/>
      </c>
      <c r="FP64" s="68">
        <f>IF(OR($U64=0,$F64&lt;&gt;2),0,IF(FO64&gt;0,FO64,IF(ROUND(BQ64*$J64,6)&lt;ROUND($M64,6),BQ64,0)))</f>
        <v/>
      </c>
      <c r="FQ64" s="68">
        <f>IF(OR($U64=0,$F64&lt;&gt;2),0,IF(FP64&gt;0,FP64,IF(ROUND(BR64*$J64,6)&lt;ROUND($M64,6),BR64,0)))</f>
        <v/>
      </c>
      <c r="FR64" s="68">
        <f>IF(OR($U64=0,$F64&lt;&gt;2),0,IF(FQ64&gt;0,FQ64,IF(ROUND(BS64*$J64,6)&lt;ROUND($M64,6),BS64,0)))</f>
        <v/>
      </c>
      <c r="FS64" s="68">
        <f>IF(OR($U64=0,$F64&lt;&gt;2),0,IF(FR64&gt;0,FR64,IF(ROUND(BT64*$J64,6)&lt;ROUND($M64,6),BT64,0)))</f>
        <v/>
      </c>
      <c r="FT64" s="68">
        <f>IF(OR($U64=0,$F64&lt;&gt;2),0,IF(FS64&gt;0,FS64,IF(ROUND(BU64*$J64,6)&lt;ROUND($M64,6),BU64,0)))</f>
        <v/>
      </c>
      <c r="FU64" s="68">
        <f>IF(OR($U64=0,$F64&lt;&gt;2),0,IF(FT64&gt;0,FT64,IF(ROUND(BV64*$J64,6)&lt;ROUND($M64,6),BV64,0)))</f>
        <v/>
      </c>
      <c r="FV64" s="68">
        <f>IF(OR($U64=0,$F64&lt;&gt;2),0,IF(FU64&gt;0,FU64,IF(ROUND(BW64*$J64,6)&lt;ROUND($M64,6),BW64,0)))</f>
        <v/>
      </c>
      <c r="FW64" s="68">
        <f>IF(OR($U64=0,$F64&lt;&gt;2),0,IF(FV64&gt;0,FV64,IF(ROUND(BX64*$J64,6)&lt;ROUND($M64,6),BX64,0)))</f>
        <v/>
      </c>
      <c r="FX64" s="68">
        <f>IF(OR($U64=0,$F64&lt;&gt;2),0,IF(FW64&gt;0,FW64,IF(ROUND(BY64*$J64,6)&lt;ROUND($M64,6),BY64,0)))</f>
        <v/>
      </c>
      <c r="FY64" s="68">
        <f>IF(OR($U64=0,$F64&lt;&gt;2),0,IF(FX64&gt;0,FX64,IF(ROUND(BZ64*$J64,6)&lt;ROUND($M64,6),BZ64,0)))</f>
        <v/>
      </c>
      <c r="FZ64" s="68">
        <f>IF(OR($U64=0,$F64&lt;&gt;2),0,IF(FY64&gt;0,FY64,IF(ROUND(CA64*$J64,6)&lt;ROUND($M64,6),CA64,0)))</f>
        <v/>
      </c>
      <c r="GA64" s="68">
        <f>IF(OR($U64=0,$F64&lt;&gt;2),0,IF(FZ64&gt;0,FZ64,IF(ROUND(CB64*$J64,6)&lt;ROUND($M64,6),CB64,0)))</f>
        <v/>
      </c>
      <c r="GB64" s="68">
        <f>IF(OR($U64=0,$F64&lt;&gt;2),0,IF(GA64&gt;0,GA64,IF(ROUND(CC64*$J64,6)&lt;ROUND($M64,6),CC64,0)))</f>
        <v/>
      </c>
      <c r="GC64" s="68">
        <f>IF(OR($U64=0,$F64&lt;&gt;2),0,IF(GB64&gt;0,GB64,IF(ROUND(CD64*$J64,6)&lt;ROUND($M64,6),CD64,0)))</f>
        <v/>
      </c>
      <c r="GD64" s="68">
        <f>IF(OR($U64=0,$F64&lt;&gt;2),0,IF(GC64&gt;0,GC64,IF(ROUND(CE64*$J64,6)&lt;ROUND($M64,6),CE64,0)))</f>
        <v/>
      </c>
      <c r="GE64" s="68">
        <f>IF(OR($U64=0,$F64&lt;&gt;2),0,IF(GD64&gt;0,GD64,IF(ROUND(CF64*$J64,6)&lt;ROUND($M64,6),CF64,0)))</f>
        <v/>
      </c>
      <c r="GF64" s="68">
        <f>IF(OR($U64=0,$F64&lt;&gt;2),0,IF(GE64&gt;0,GE64,IF(ROUND(CG64*$J64,6)&lt;ROUND($M64,6),CG64,0)))</f>
        <v/>
      </c>
      <c r="GG64" s="68">
        <f>IF(OR($U64=0,$F64&lt;&gt;2),0,IF(GF64&gt;0,GF64,IF(ROUND(CH64*$J64,6)&lt;ROUND($M64,6),CH64,0)))</f>
        <v/>
      </c>
      <c r="GH64" s="68">
        <f>IF(OR($U64=0,$F64&lt;&gt;2),0,IF(GG64&gt;0,GG64,IF(ROUND(CI64*$J64,6)&lt;ROUND($M64,6),CI64,0)))</f>
        <v/>
      </c>
      <c r="GI64" s="68">
        <f>IF(OR($U64=0,$F64&lt;&gt;2),0,IF(GH64&gt;0,GH64,IF(ROUND(CJ64*$J64,6)&lt;ROUND($M64,6),CJ64,0)))</f>
        <v/>
      </c>
      <c r="GJ64" s="68">
        <f>IF(OR($U64=0,$F64&lt;&gt;2),0,IF(GI64&gt;0,GI64,IF(ROUND(CK64*$J64,6)&lt;ROUND($M64,6),CK64,0)))</f>
        <v/>
      </c>
      <c r="GK64" s="68">
        <f>IF(OR($U64=0,$F64&lt;&gt;2),0,IF(GJ64&gt;0,GJ64,IF(ROUND(CL64*$J64,6)&lt;ROUND($M64,6),CL64,0)))</f>
        <v/>
      </c>
      <c r="GL64" s="68">
        <f>IF(OR($U64=0,$F64&lt;&gt;2),0,IF(GK64&gt;0,GK64,IF(ROUND(CM64*$J64,6)&lt;ROUND($M64,6),CM64,0)))</f>
        <v/>
      </c>
      <c r="GM64" s="68">
        <f>IF(OR($U64=0,$F64&lt;&gt;2),0,IF(GL64&gt;0,GL64,IF(ROUND(CN64*$J64,6)&lt;ROUND($M64,6),CN64,0)))</f>
        <v/>
      </c>
      <c r="GN64" s="68">
        <f>IF(OR($U64=0,$F64&lt;&gt;2),0,IF(GM64&gt;0,GM64,IF(ROUND(CO64*$J64,6)&lt;ROUND($M64,6),CO64,0)))</f>
        <v/>
      </c>
      <c r="GO64" s="68">
        <f>IF(OR($U64=0,$F64&lt;&gt;2),0,IF(GN64&gt;0,GN64,IF(ROUND(CP64*$J64,6)&lt;ROUND($M64,6),CP64,0)))</f>
        <v/>
      </c>
      <c r="GP64" s="68">
        <f>IF(OR($U64=0,$F64&lt;&gt;2),0,IF(GO64&gt;0,GO64,IF(ROUND(CQ64*$J64,6)&lt;ROUND($M64,6),CQ64,0)))</f>
        <v/>
      </c>
      <c r="GQ64" s="68">
        <f>IF(OR($U64=0,$F64&lt;&gt;2),0,IF(GP64&gt;0,GP64,IF(ROUND(CR64*$J64,6)&lt;ROUND($M64,6),CR64,0)))</f>
        <v/>
      </c>
      <c r="GR64" s="68">
        <f>IF(OR($U64=0,$F64&lt;&gt;2),0,IF(GQ64&gt;0,GQ64,IF(ROUND(CS64*$J64,6)&lt;ROUND($M64,6),CS64,0)))</f>
        <v/>
      </c>
      <c r="GS64" s="68">
        <f>IF(OR($U64=0,$F64&lt;&gt;2),0,IF(GR64&gt;0,GR64,IF(ROUND(CT64*$J64,6)&lt;ROUND($M64,6),CT64,0)))</f>
        <v/>
      </c>
      <c r="GT64" s="68">
        <f>IF(OR($U64=0,$F64&lt;&gt;2),0,IF(GS64&gt;0,GS64,IF(ROUND(CU64*$J64,6)&lt;ROUND($M64,6),CU64,0)))</f>
        <v/>
      </c>
      <c r="GU64" s="68">
        <f>IF(OR($U64=0,$F64&lt;&gt;2),0,IF(GT64&gt;0,GT64,IF(ROUND(CV64*$J64,6)&lt;ROUND($M64,6),CV64,0)))</f>
        <v/>
      </c>
      <c r="GV64" s="68">
        <f>IF(OR($U64=0,$F64&lt;&gt;2),0,IF(GU64&gt;0,GU64,IF(ROUND(CW64*$J64,6)&lt;ROUND($M64,6),CW64,0)))</f>
        <v/>
      </c>
      <c r="GW64" s="68">
        <f>IF(OR($U64=0,$F64&lt;&gt;2),0,IF(GV64&gt;0,GV64,IF(ROUND(CX64*$J64,6)&lt;ROUND($M64,6),CX64,0)))</f>
        <v/>
      </c>
      <c r="GX64" s="68">
        <f>IF(OR($U64=0,$F64&lt;&gt;2),0,IF(GW64&gt;0,GW64,IF(ROUND(CY64*$J64,6)&lt;ROUND($M64,6),CY64,0)))</f>
        <v/>
      </c>
      <c r="GY64" s="68">
        <f>IF(OR($U64=0,$F64&lt;&gt;2),0,IF(GX64&gt;0,GX64,IF(ROUND(CZ64*$J64,6)&lt;ROUND($M64,6),CZ64,0)))</f>
        <v/>
      </c>
      <c r="GZ64" s="68">
        <f>IF(OR($U64=0,$F64&lt;&gt;2),0,IF(GY64&gt;0,GY64,IF(ROUND(DA64*$J64,6)&lt;ROUND($M64,6),DA64,0)))</f>
        <v/>
      </c>
      <c r="HA64" s="68">
        <f>IF(OR($U64=0,$F64&lt;&gt;2),0,IF(GZ64&gt;0,GZ64,IF(ROUND(DB64*$J64,6)&lt;ROUND($M64,6),DB64,0)))</f>
        <v/>
      </c>
      <c r="HB64" s="68">
        <f>IF(OR($U64=0,$F64&lt;&gt;2),0,IF(HA64&gt;0,HA64,IF(ROUND(DC64*$J64,6)&lt;ROUND($M64,6),DC64,0)))</f>
        <v/>
      </c>
      <c r="HC64" s="68">
        <f>IF(OR($U64=0,$F64&lt;&gt;2),0,IF(HB64&gt;0,HB64,IF(ROUND(DD64*$J64,6)&lt;ROUND($M64,6),DD64,0)))</f>
        <v/>
      </c>
      <c r="HD64" s="68">
        <f>IF(OR($U64=0,$F64&lt;&gt;2),0,IF(HC64&gt;0,HC64,IF(ROUND(DE64*$J64,6)&lt;ROUND($M64,6),DE64,0)))</f>
        <v/>
      </c>
      <c r="HE64" s="68">
        <f>IF(OR($U64=0,$F64&lt;&gt;2),0,IF(HD64&gt;0,HD64,IF(ROUND(DF64*$J64,6)&lt;ROUND($M64,6),DF64,0)))</f>
        <v/>
      </c>
      <c r="HF64" s="68">
        <f>IF(OR($U64=0,$F64&lt;&gt;2),0,IF(HE64&gt;0,HE64,IF(ROUND(DG64*$J64,6)&lt;ROUND($M64,6),DG64,0)))</f>
        <v/>
      </c>
      <c r="HG64" s="68">
        <f>IF(OR($U64=0,$F64&lt;&gt;2),0,IF(HF64&gt;0,HF64,IF(ROUND(DH64*$J64,6)&lt;ROUND($M64,6),DH64,0)))</f>
        <v/>
      </c>
      <c r="HH64" s="68">
        <f>IF(OR($U64=0,$F64&lt;&gt;2),0,IF(HG64&gt;0,HG64,IF(ROUND(DI64*$J64,6)&lt;ROUND($M64,6),DI64,0)))</f>
        <v/>
      </c>
      <c r="HI64" s="68">
        <f>IF(OR($U64=0,$F64&lt;&gt;2),0,IF(HH64&gt;0,HH64,IF(ROUND(DJ64*$J64,6)&lt;ROUND($M64,6),DJ64,0)))</f>
        <v/>
      </c>
      <c r="HJ64" s="68">
        <f>IF(OR($U64=0,$F64&lt;&gt;2),0,IF(HI64&gt;0,HI64,IF(ROUND(DK64*$J64,6)&lt;ROUND($M64,6),DK64,0)))</f>
        <v/>
      </c>
      <c r="HK64" s="68">
        <f>IF(OR($U64=0,$F64&lt;&gt;2),0,IF(HJ64&gt;0,HJ64,IF(ROUND(DL64*$J64,6)&lt;ROUND($M64,6),DL64,0)))</f>
        <v/>
      </c>
      <c r="HL64" s="68">
        <f>IF(OR($U64=0,$F64&lt;&gt;2),0,IF(HK64&gt;0,HK64,IF(ROUND(DM64*$J64,6)&lt;ROUND($M64,6),DM64,0)))</f>
        <v/>
      </c>
      <c r="HM64" s="68">
        <f>IF(OR($U64=0,$F64&lt;&gt;2),0,IF(HL64&gt;0,HL64,IF(ROUND(DN64*$J64,6)&lt;ROUND($M64,6),DN64,0)))</f>
        <v/>
      </c>
      <c r="HN64" s="68">
        <f>IF(OR($U64=0,$F64&lt;&gt;2),0,IF(HM64&gt;0,HM64,IF(ROUND(DO64*$J64,6)&lt;ROUND($M64,6),DO64,0)))</f>
        <v/>
      </c>
      <c r="HO64" s="68">
        <f>IF(OR($U64=0,$F64&lt;&gt;2),0,IF(HN64&gt;0,HN64,IF(ROUND(DP64*$J64,6)&lt;ROUND($M64,6),DP64,0)))</f>
        <v/>
      </c>
      <c r="HP64" s="68">
        <f>IF(OR($U64=0,$F64&lt;&gt;2),0,IF(HO64&gt;0,HO64,IF(ROUND(DQ64*$J64,6)&lt;ROUND($M64,6),DQ64,0)))</f>
        <v/>
      </c>
      <c r="HQ64" s="68">
        <f>IF(OR($U64=0,$F64&lt;&gt;2),0,IF(HP64&gt;0,HP64,IF(ROUND(DR64*$J64,6)&lt;ROUND($M64,6),DR64,0)))</f>
        <v/>
      </c>
      <c r="HR64" s="68">
        <f>IF(OR($U64=0,$F64&lt;&gt;2),0,IF(HQ64&gt;0,HQ64,IF(ROUND(DS64*$J64,6)&lt;ROUND($M64,6),DS64,0)))</f>
        <v/>
      </c>
      <c r="HS64" s="68">
        <f>IF(OR($U64=0,$F64&lt;&gt;2),0,IF(HR64&gt;0,HR64,IF(ROUND(DT64*$J64,6)&lt;ROUND($M64,6),DT64,0)))</f>
        <v/>
      </c>
      <c r="HT64" s="68">
        <f>IF(OR($U64=0,$F64&lt;&gt;2),0,IF(HS64&gt;0,HS64,IF(ROUND(DU64*$J64,6)&lt;ROUND($M64,6),DU64,0)))</f>
        <v/>
      </c>
      <c r="HU64" s="68">
        <f>IF(OR($U64=0,$F64&lt;&gt;2),0,IF(HT64&gt;0,HT64,IF(ROUND(DV64*$J64,6)&lt;ROUND($M64,6),DV64,0)))</f>
        <v/>
      </c>
      <c r="HV64" s="68">
        <f>IF(OR($U64=0,$F64&lt;&gt;2),0,IF(HU64&gt;0,HU64,IF(ROUND(DW64*$J64,6)&lt;ROUND($M64,6),DW64,0)))</f>
        <v/>
      </c>
      <c r="HW64" s="68">
        <f>IF(OR($U64=0,$F64&lt;&gt;2),0,IF(HV64&gt;0,HV64,IF(ROUND(DX64*$J64,6)&lt;ROUND($M64,6),DX64,0)))</f>
        <v/>
      </c>
      <c r="HX64" s="68">
        <f>IF(OR($U64=0,$F64&lt;&gt;2),0,IF(HW64&gt;0,HW64,IF(ROUND(DY64*$J64,6)&lt;ROUND($M64,6),DY64,0)))</f>
        <v/>
      </c>
      <c r="HY64" s="68">
        <f>IF(OR($U64=0,$F64&lt;&gt;2),0,IF(HX64&gt;0,HX64,IF(ROUND(DZ64*$J64,6)&lt;ROUND($M64,6),DZ64,0)))</f>
        <v/>
      </c>
      <c r="HZ64" s="68">
        <f>IF(OR($U64=0,$F64&lt;&gt;2),0,IF(HY64&gt;0,HY64,IF(ROUND(EA64*$J64,6)&lt;ROUND($M64,6),EA64,0)))</f>
        <v/>
      </c>
      <c r="IA64" s="68">
        <f>IF(OR($U64=0,$F64&lt;&gt;2),0,IF(HZ64&gt;0,HZ64,IF(ROUND(EB64*$J64,6)&lt;ROUND($M64,6),EB64,0)))</f>
        <v/>
      </c>
      <c r="IB64" s="68">
        <f>IF(OR($U64=0,$F64&lt;&gt;2),0,IF(IA64&gt;0,IA64,IF(ROUND(EC64*$J64,6)&lt;ROUND($M64,6),EC64,0)))</f>
        <v/>
      </c>
      <c r="IC64" s="68">
        <f>IF(OR($U64=0,$F64&lt;&gt;2),0,IF(IB64&gt;0,IB64,IF(ROUND(ED64*$J64,6)&lt;ROUND($M64,6),ED64,0)))</f>
        <v/>
      </c>
      <c r="ID64" s="68">
        <f>IF(OR($U64=0,$F64&lt;&gt;2),0,IF(IC64&gt;0,IC64,IF(ROUND(EE64*$J64,6)&lt;ROUND($M64,6),EE64,0)))</f>
        <v/>
      </c>
      <c r="IE64" s="68">
        <f>IF(OR($U64=0,$F64&lt;&gt;2),0,IF(ID64&gt;0,ID64,IF(ROUND(EF64*$J64,6)&lt;ROUND($M64,6),EF64,0)))</f>
        <v/>
      </c>
      <c r="IF64" s="68">
        <f>IF(OR($U64=0,$F64&lt;&gt;2),0,IF(IE64&gt;0,IE64,IF(ROUND(EG64*$J64,6)&lt;ROUND($M64,6),EG64,0)))</f>
        <v/>
      </c>
      <c r="IG64" s="68">
        <f>IF(OR($U64=0,$F64&lt;&gt;2),0,IF(IF64&gt;0,IF64,IF(ROUND(EH64*$J64,6)&lt;ROUND($M64,6),EH64,0)))</f>
        <v/>
      </c>
      <c r="IH64" s="68">
        <f>IF(OR($U64=0,$F64&lt;&gt;2),0,IF(IG64&gt;0,IG64,IF(ROUND(EI64*$J64,6)&lt;ROUND($M64,6),EI64,0)))</f>
        <v/>
      </c>
      <c r="II64" s="68">
        <f>IF(OR($U64=0,$F64&lt;&gt;2),0,IF(IH64&gt;0,IH64,IF(ROUND(EJ64*$J64,6)&lt;ROUND($M64,6),EJ64,0)))</f>
        <v/>
      </c>
      <c r="IJ64" s="68">
        <f>IF(OR($U64=0,$F64&lt;&gt;2),0,IF(II64&gt;0,II64,IF(ROUND(EK64*$J64,6)&lt;ROUND($M64,6),EK64,0)))</f>
        <v/>
      </c>
      <c r="IK64" s="68">
        <f>IF(OR($U64=0,$F64&lt;&gt;2),0,IF(IJ64&gt;0,IJ64,IF(ROUND(EL64*$J64,6)&lt;ROUND($M64,6),EL64,0)))</f>
        <v/>
      </c>
      <c r="IL64" s="68">
        <f>IF(OR($U64=0,$F64&lt;&gt;2),0,IF(IK64&gt;0,IK64,IF(ROUND(EM64*$J64,6)&lt;ROUND($M64,6),EM64,0)))</f>
        <v/>
      </c>
      <c r="IM64" s="68">
        <f>IF(OR($U64=0,$F64&lt;&gt;2),0,IF(IL64&gt;0,IL64,IF(ROUND(EN64*$J64,6)&lt;ROUND($M64,6),EN64,0)))</f>
        <v/>
      </c>
      <c r="IN64" s="68">
        <f>IF(OR($U64=0,$F64&lt;&gt;2),0,IF(IM64&gt;0,IM64,IF(ROUND(EO64*$J64,6)&lt;ROUND($M64,6),EO64,0)))</f>
        <v/>
      </c>
    </row>
    <row r="65">
      <c r="A65" s="68" t="n">
        <v>60</v>
      </c>
      <c r="B65" s="68">
        <f>IF(OR(TRIM('固定資産台帳'!$B65)&lt;&gt;"",'固定資産台帳'!$E65&lt;&gt;"",'固定資産台帳'!$G65&lt;&gt;"",'固定資産台帳'!$H65&lt;&gt;""),1,0)</f>
        <v/>
      </c>
      <c r="C65" s="68">
        <f>IF(ISNUMBER('固定資産台帳'!$G65),MAX(ROUND('固定資産台帳'!$G65,0),0),0)</f>
        <v/>
      </c>
      <c r="D65" s="84">
        <f>IF(ISNUMBER('固定資産台帳'!$E65),INT('固定資産台帳'!$E65),0)</f>
        <v/>
      </c>
      <c r="E65" s="84">
        <f>IF(ISNUMBER('固定資産台帳'!$F65),INT('固定資産台帳'!$F65),$D65)</f>
        <v/>
      </c>
      <c r="F65" s="68">
        <f>IF('固定資産台帳'!$H65="定額法",1,IF(OR('固定資産台帳'!$H65="定率法",'固定資産台帳'!$H65="定率法（200%）",'固定資産台帳'!$H65="定率法（250%）"),2,IF('固定資産台帳'!$H65="一括償却（3年）",3,IF('固定資産台帳'!$H65="少額特例",4,0))))</f>
        <v/>
      </c>
      <c r="G65" s="68">
        <f>IF('固定資産台帳'!$H65="定率法（250%）",250,IF('固定資産台帳'!$H65="定率法（200%）",200,IF($D65&gt;=DATE(2012,4,1),200,250)))</f>
        <v/>
      </c>
      <c r="H65" s="68">
        <f>IF(ISNUMBER('固定資産台帳'!$I65),IF(AND('固定資産台帳'!$I65&gt;=2,'固定資産台帳'!$I65&lt;=100,'固定資産台帳'!$I65=INT('固定資産台帳'!$I65)),'固定資産台帳'!$I65,0),0)</f>
        <v/>
      </c>
      <c r="I65" s="68">
        <f>IF('固定資産台帳'!$C65="無形固定資産",0,1)</f>
        <v/>
      </c>
      <c r="J65" s="68">
        <f>IF(OR($H65=0,$F65=0,$F65&gt;2),0,IF($F65=1,INDEX('償却率表'!$B$6:$B$104,$H65-1),IF($G65=200,INDEX('償却率表'!$C$6:$C$104,$H65-1),INDEX('償却率表'!$F$6:$F$104,$H65-1))))</f>
        <v/>
      </c>
      <c r="K65" s="68">
        <f>IF(AND($F65=2,$H65&gt;0),IF($G65=200,INDEX('償却率表'!$D$6:$D$104,$H65-1),INDEX('償却率表'!$G$6:$G$104,$H65-1)),0)</f>
        <v/>
      </c>
      <c r="L65" s="68">
        <f>IF(AND($F65=2,$H65&gt;0),IF($G65=200,INDEX('償却率表'!$E$6:$E$104,$H65-1),INDEX('償却率表'!$H$6:$H$104,$H65-1)),0)</f>
        <v/>
      </c>
      <c r="M65" s="68">
        <f>$C65*$L65</f>
        <v/>
      </c>
      <c r="N65" s="68">
        <f>IF($B$1=1,1,IF('固定資産台帳'!$J65="",1,IF(ISNUMBER('固定資産台帳'!$J65),IF(AND('固定資産台帳'!$J65&gt;0,'固定資産台帳'!$J65&lt;=1),'固定資産台帳'!$J65,0),0)))</f>
        <v/>
      </c>
      <c r="O65" s="68">
        <f>IF($E65=0,0,YEAR($E65)-IF(MONTH($E65)&lt;$B$2,1,0))</f>
        <v/>
      </c>
      <c r="P65" s="68">
        <f>IF($E65=0,0,12-MOD(MONTH($E65)-$B$2,12))</f>
        <v/>
      </c>
      <c r="Q65" s="84">
        <f>IF(ISNUMBER('固定資産台帳'!$K65),INT('固定資産台帳'!$K65),0)</f>
        <v/>
      </c>
      <c r="R65" s="68">
        <f>IF(OR($Q65=0,$E65=0),999,YEAR($Q65)-IF(MONTH($Q65)&lt;$B$2,1,0)-$O65)</f>
        <v/>
      </c>
      <c r="S65" s="68">
        <f>IF($R65=999,0,MOD(MONTH($Q65)-$B$2,12)+1-IF($R65=0,12-$P65,0))</f>
        <v/>
      </c>
      <c r="T65" s="68">
        <f>IF($B65=0,0,IF($C65&lt;=0,1,IF($D65=0,2,IF($F65=0,3,IF(AND($F65&lt;=2,$H65=0),4,IF(AND($F65&lt;=2,$D65&lt;DATE(2007,4,1)),5,IF($E65&lt;$D65,6,IF(AND($Q65&gt;0,$Q65&lt;$E65),7,IF($N65=0,8,IF($B$3=0,9,0))))))))))</f>
        <v/>
      </c>
      <c r="U65" s="68">
        <f>IF(AND($B65=1,$T65=0),1,0)</f>
        <v/>
      </c>
      <c r="V65" s="68">
        <f>$B$3-$O65</f>
        <v/>
      </c>
      <c r="W65" s="68">
        <f>IF(AND($U65=1,$V65&gt;=0),1,0)</f>
        <v/>
      </c>
      <c r="X65" s="68">
        <f>IF($W65=0,0,IF($V65=0,$C65,INDEX($AS65:$EP65,MIN($V65,102))))</f>
        <v/>
      </c>
      <c r="Y65" s="68">
        <f>IF($W65=0,0,INDEX($AS65:$EP65,MIN($V65,101)+1))</f>
        <v/>
      </c>
      <c r="Z65" s="68">
        <f>$X65-$Y65</f>
        <v/>
      </c>
      <c r="AA65" s="68">
        <f>IF(AND($W65=1,$F65=2,$V65&gt;=1),INDEX($ER65:$IN65,MIN($V65,101)),0)</f>
        <v/>
      </c>
      <c r="AB65" s="68">
        <f>IF(OR($W65=0,$F65&gt;2,$Z65=0),0,IF($V65=0,IF($R65=0,$S65,$P65),IF($V65=$R65,$S65,12)))</f>
        <v/>
      </c>
      <c r="AC65" s="68">
        <f>IF($W65=0,0,INT(ROUND($Z65*$N65,6)+$B$4))</f>
        <v/>
      </c>
      <c r="AD65" s="68">
        <f>IF(AND($W65=1,$F65&lt;=2,$V65=$R65),1,0)</f>
        <v/>
      </c>
      <c r="AE65" s="68">
        <f>IF(AND($W65=1,$F65&lt;=2,$V65&gt;$R65),1,0)</f>
        <v/>
      </c>
      <c r="AF65" s="68">
        <f>IF(AND($W65=1,$AE65=0,OR($Z65&gt;0,$AD65=1)),1,0)</f>
        <v/>
      </c>
      <c r="AG65" s="68">
        <f>IF($AF65=1,SUM($AF$6:$AF65),0)</f>
        <v/>
      </c>
      <c r="AH65" s="68">
        <f>IF($T65=0,"",CHOOSE($T65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65" s="68">
        <f>IF(AND($F65=2,OR('固定資産台帳'!$C65="建物",'固定資産台帳'!$C65="無形固定資産",AND(OR('固定資産台帳'!$C65="建物附属設備",'固定資産台帳'!$C65="構築物"),$D65&gt;=DATE(2016,4,1)))),"この資産は定額法だけです（定率法は使えません）。","")&amp;IF(AND($F65=3,$C65&gt;=200000),"一括償却は20万円未満の資産だけです。","")&amp;IF(AND($F65=3,$B$1=0,$C65&lt;100000),"10万円未満は一括償却にせず、全額をその年の経費にします。","")&amp;IF(AND($F65=4,$C65&lt;100000),"10万円未満は少額特例ではなく、全額をその年の経費にします。","")&amp;IF(AND($F65=4,$D65&lt;DATE(2026,4,1),$C65&gt;=300000),"2026年3月31日までの取得で少額特例が使えるのは30万円未満です。","")&amp;IF(AND($F65=4,$D65&gt;=DATE(2026,4,1),$C65&gt;=400000),"少額特例は40万円未満の資産だけです。","")&amp;IF(AND($F65=4,OR($D65&lt;DATE(2006,4,1),$D65&gt;DATE(2029,3,31))),"少額特例は2006年4月1日〜2029年3月31日に取得した資産だけです。","")&amp;IF(AND($F65=2,$G65=250,$D65&gt;DATE(2012,12,31)),"250%定率法は2012年12月31日までの取得だけです。","")</f>
        <v/>
      </c>
      <c r="AJ65" s="68">
        <f>IF(AND($F65=2,'固定資産台帳'!$H65="定率法（200%）",$D65&lt;DATE(2012,4,1)),"2012年3月31日までの取得に200%を使うのは、経過措置の届出をした場合です。","")&amp;IF(AND($F65=2,'固定資産台帳'!$H65="定率法（250%）",$D65&gt;=DATE(2012,4,1),$D65&lt;=DATE(2012,12,31)),"2012年4〜12月の取得に250%を使うのは、経過措置を選んだ場合です。","")</f>
        <v/>
      </c>
      <c r="AK65" s="68">
        <f>IF($U65=0,"",IF($V65&lt;0,"表示している年より後に使い始める資産です。",IF($AE65=1,"売却・除却済みです。",IF($AD65=1,"この年に売却・除却。期末の帳簿価額 "&amp;TEXT($Y65,"#,##0")&amp;"円を帳簿から外します。",IF($F65=4,IF($V65=0,"少額特例：この年に全額を経費にします。","少額特例で経費にした資産です。"),IF($F65=3,IF($V65&gt;2,"一括償却は終わっています。","一括償却 "&amp;($V65+1)&amp;"年目（3年のうち）。"),IF($Z65=0,"償却済み（帳簿価額 "&amp;TEXT($Y65,"#,##0")&amp;"円）。",IF($AA65&gt;0,"改定償却率で計算（改定取得価額 "&amp;TEXT($AA65,"#,##0")&amp;"円）。",IF($V65=0,"この年に使い始め（"&amp;$AB65&amp;"か月分）。","")))))))))</f>
        <v/>
      </c>
      <c r="AL65" s="68">
        <f>IF(AND($U65=1,$F65=4,$V65=0),$C65,0)</f>
        <v/>
      </c>
      <c r="AM65" s="68">
        <f>IF($F65=2,INT(ROUND($M65,6)+$B$4),0)</f>
        <v/>
      </c>
      <c r="AN65" s="68">
        <f>IF($W65=0,0,IF($F65=2,IF($AA65&gt;0,$AA65,$X65),$C65))</f>
        <v/>
      </c>
      <c r="AO65" s="68">
        <f>IF($W65=0,"",IF($F65=3,"1/3",IF($F65=4,"―",IF($AA65&gt;0,$K65,$J65))))</f>
        <v/>
      </c>
      <c r="AP65" s="68" t="n"/>
      <c r="AQ65" s="68" t="n"/>
      <c r="AR65" s="68" t="n"/>
      <c r="AS65" s="68">
        <f>IF($U65=0,0,IF($F65=4,0,IF($F65=3,MAX($C65-INT(ROUND($C65/3,6)+$B$4),0),$C65-MIN(INT(ROUND($C65*$J65*IF($R65=0,$S65,$P65)/12,6)+$B$4),MAX($C65-$I65,0)))))</f>
        <v/>
      </c>
      <c r="AT65" s="68">
        <f>IF($U65=0,0,IF($F65=4,0,IF($F65=3,AS65-MIN(INT(ROUND($C65/3,6)+$B$4),AS65),IF(OR(1&gt;$R65,AS65&lt;=$I65),AS65,AS65-MIN(INT(ROUND(IF($F65=1,$C65*$J65,IF(ER65&gt;0,ER65*$K65,AS65*$J65))*IF(1=$R65,$S65,12)/12,6)+$B$4),AS65-$I65)))))</f>
        <v/>
      </c>
      <c r="AU65" s="68">
        <f>IF($U65=0,0,IF($F65=4,0,IF($F65=3,0,IF(OR(2&gt;$R65,AT65&lt;=$I65),AT65,AT65-MIN(INT(ROUND(IF($F65=1,$C65*$J65,IF(ES65&gt;0,ES65*$K65,AT65*$J65))*IF(2=$R65,$S65,12)/12,6)+$B$4),AT65-$I65)))))</f>
        <v/>
      </c>
      <c r="AV65" s="68">
        <f>IF($U65=0,0,IF($F65=4,0,IF($F65=3,0,IF(OR(3&gt;$R65,AU65&lt;=$I65),AU65,AU65-MIN(INT(ROUND(IF($F65=1,$C65*$J65,IF(ET65&gt;0,ET65*$K65,AU65*$J65))*IF(3=$R65,$S65,12)/12,6)+$B$4),AU65-$I65)))))</f>
        <v/>
      </c>
      <c r="AW65" s="68">
        <f>IF($U65=0,0,IF($F65=4,0,IF($F65=3,0,IF(OR(4&gt;$R65,AV65&lt;=$I65),AV65,AV65-MIN(INT(ROUND(IF($F65=1,$C65*$J65,IF(EU65&gt;0,EU65*$K65,AV65*$J65))*IF(4=$R65,$S65,12)/12,6)+$B$4),AV65-$I65)))))</f>
        <v/>
      </c>
      <c r="AX65" s="68">
        <f>IF($U65=0,0,IF($F65=4,0,IF($F65=3,0,IF(OR(5&gt;$R65,AW65&lt;=$I65),AW65,AW65-MIN(INT(ROUND(IF($F65=1,$C65*$J65,IF(EV65&gt;0,EV65*$K65,AW65*$J65))*IF(5=$R65,$S65,12)/12,6)+$B$4),AW65-$I65)))))</f>
        <v/>
      </c>
      <c r="AY65" s="68">
        <f>IF($U65=0,0,IF($F65=4,0,IF($F65=3,0,IF(OR(6&gt;$R65,AX65&lt;=$I65),AX65,AX65-MIN(INT(ROUND(IF($F65=1,$C65*$J65,IF(EW65&gt;0,EW65*$K65,AX65*$J65))*IF(6=$R65,$S65,12)/12,6)+$B$4),AX65-$I65)))))</f>
        <v/>
      </c>
      <c r="AZ65" s="68">
        <f>IF($U65=0,0,IF($F65=4,0,IF($F65=3,0,IF(OR(7&gt;$R65,AY65&lt;=$I65),AY65,AY65-MIN(INT(ROUND(IF($F65=1,$C65*$J65,IF(EX65&gt;0,EX65*$K65,AY65*$J65))*IF(7=$R65,$S65,12)/12,6)+$B$4),AY65-$I65)))))</f>
        <v/>
      </c>
      <c r="BA65" s="68">
        <f>IF($U65=0,0,IF($F65=4,0,IF($F65=3,0,IF(OR(8&gt;$R65,AZ65&lt;=$I65),AZ65,AZ65-MIN(INT(ROUND(IF($F65=1,$C65*$J65,IF(EY65&gt;0,EY65*$K65,AZ65*$J65))*IF(8=$R65,$S65,12)/12,6)+$B$4),AZ65-$I65)))))</f>
        <v/>
      </c>
      <c r="BB65" s="68">
        <f>IF($U65=0,0,IF($F65=4,0,IF($F65=3,0,IF(OR(9&gt;$R65,BA65&lt;=$I65),BA65,BA65-MIN(INT(ROUND(IF($F65=1,$C65*$J65,IF(EZ65&gt;0,EZ65*$K65,BA65*$J65))*IF(9=$R65,$S65,12)/12,6)+$B$4),BA65-$I65)))))</f>
        <v/>
      </c>
      <c r="BC65" s="68">
        <f>IF($U65=0,0,IF($F65=4,0,IF($F65=3,0,IF(OR(10&gt;$R65,BB65&lt;=$I65),BB65,BB65-MIN(INT(ROUND(IF($F65=1,$C65*$J65,IF(FA65&gt;0,FA65*$K65,BB65*$J65))*IF(10=$R65,$S65,12)/12,6)+$B$4),BB65-$I65)))))</f>
        <v/>
      </c>
      <c r="BD65" s="68">
        <f>IF($U65=0,0,IF($F65=4,0,IF($F65=3,0,IF(OR(11&gt;$R65,BC65&lt;=$I65),BC65,BC65-MIN(INT(ROUND(IF($F65=1,$C65*$J65,IF(FB65&gt;0,FB65*$K65,BC65*$J65))*IF(11=$R65,$S65,12)/12,6)+$B$4),BC65-$I65)))))</f>
        <v/>
      </c>
      <c r="BE65" s="68">
        <f>IF($U65=0,0,IF($F65=4,0,IF($F65=3,0,IF(OR(12&gt;$R65,BD65&lt;=$I65),BD65,BD65-MIN(INT(ROUND(IF($F65=1,$C65*$J65,IF(FC65&gt;0,FC65*$K65,BD65*$J65))*IF(12=$R65,$S65,12)/12,6)+$B$4),BD65-$I65)))))</f>
        <v/>
      </c>
      <c r="BF65" s="68">
        <f>IF($U65=0,0,IF($F65=4,0,IF($F65=3,0,IF(OR(13&gt;$R65,BE65&lt;=$I65),BE65,BE65-MIN(INT(ROUND(IF($F65=1,$C65*$J65,IF(FD65&gt;0,FD65*$K65,BE65*$J65))*IF(13=$R65,$S65,12)/12,6)+$B$4),BE65-$I65)))))</f>
        <v/>
      </c>
      <c r="BG65" s="68">
        <f>IF($U65=0,0,IF($F65=4,0,IF($F65=3,0,IF(OR(14&gt;$R65,BF65&lt;=$I65),BF65,BF65-MIN(INT(ROUND(IF($F65=1,$C65*$J65,IF(FE65&gt;0,FE65*$K65,BF65*$J65))*IF(14=$R65,$S65,12)/12,6)+$B$4),BF65-$I65)))))</f>
        <v/>
      </c>
      <c r="BH65" s="68">
        <f>IF($U65=0,0,IF($F65=4,0,IF($F65=3,0,IF(OR(15&gt;$R65,BG65&lt;=$I65),BG65,BG65-MIN(INT(ROUND(IF($F65=1,$C65*$J65,IF(FF65&gt;0,FF65*$K65,BG65*$J65))*IF(15=$R65,$S65,12)/12,6)+$B$4),BG65-$I65)))))</f>
        <v/>
      </c>
      <c r="BI65" s="68">
        <f>IF($U65=0,0,IF($F65=4,0,IF($F65=3,0,IF(OR(16&gt;$R65,BH65&lt;=$I65),BH65,BH65-MIN(INT(ROUND(IF($F65=1,$C65*$J65,IF(FG65&gt;0,FG65*$K65,BH65*$J65))*IF(16=$R65,$S65,12)/12,6)+$B$4),BH65-$I65)))))</f>
        <v/>
      </c>
      <c r="BJ65" s="68">
        <f>IF($U65=0,0,IF($F65=4,0,IF($F65=3,0,IF(OR(17&gt;$R65,BI65&lt;=$I65),BI65,BI65-MIN(INT(ROUND(IF($F65=1,$C65*$J65,IF(FH65&gt;0,FH65*$K65,BI65*$J65))*IF(17=$R65,$S65,12)/12,6)+$B$4),BI65-$I65)))))</f>
        <v/>
      </c>
      <c r="BK65" s="68">
        <f>IF($U65=0,0,IF($F65=4,0,IF($F65=3,0,IF(OR(18&gt;$R65,BJ65&lt;=$I65),BJ65,BJ65-MIN(INT(ROUND(IF($F65=1,$C65*$J65,IF(FI65&gt;0,FI65*$K65,BJ65*$J65))*IF(18=$R65,$S65,12)/12,6)+$B$4),BJ65-$I65)))))</f>
        <v/>
      </c>
      <c r="BL65" s="68">
        <f>IF($U65=0,0,IF($F65=4,0,IF($F65=3,0,IF(OR(19&gt;$R65,BK65&lt;=$I65),BK65,BK65-MIN(INT(ROUND(IF($F65=1,$C65*$J65,IF(FJ65&gt;0,FJ65*$K65,BK65*$J65))*IF(19=$R65,$S65,12)/12,6)+$B$4),BK65-$I65)))))</f>
        <v/>
      </c>
      <c r="BM65" s="68">
        <f>IF($U65=0,0,IF($F65=4,0,IF($F65=3,0,IF(OR(20&gt;$R65,BL65&lt;=$I65),BL65,BL65-MIN(INT(ROUND(IF($F65=1,$C65*$J65,IF(FK65&gt;0,FK65*$K65,BL65*$J65))*IF(20=$R65,$S65,12)/12,6)+$B$4),BL65-$I65)))))</f>
        <v/>
      </c>
      <c r="BN65" s="68">
        <f>IF($U65=0,0,IF($F65=4,0,IF($F65=3,0,IF(OR(21&gt;$R65,BM65&lt;=$I65),BM65,BM65-MIN(INT(ROUND(IF($F65=1,$C65*$J65,IF(FL65&gt;0,FL65*$K65,BM65*$J65))*IF(21=$R65,$S65,12)/12,6)+$B$4),BM65-$I65)))))</f>
        <v/>
      </c>
      <c r="BO65" s="68">
        <f>IF($U65=0,0,IF($F65=4,0,IF($F65=3,0,IF(OR(22&gt;$R65,BN65&lt;=$I65),BN65,BN65-MIN(INT(ROUND(IF($F65=1,$C65*$J65,IF(FM65&gt;0,FM65*$K65,BN65*$J65))*IF(22=$R65,$S65,12)/12,6)+$B$4),BN65-$I65)))))</f>
        <v/>
      </c>
      <c r="BP65" s="68">
        <f>IF($U65=0,0,IF($F65=4,0,IF($F65=3,0,IF(OR(23&gt;$R65,BO65&lt;=$I65),BO65,BO65-MIN(INT(ROUND(IF($F65=1,$C65*$J65,IF(FN65&gt;0,FN65*$K65,BO65*$J65))*IF(23=$R65,$S65,12)/12,6)+$B$4),BO65-$I65)))))</f>
        <v/>
      </c>
      <c r="BQ65" s="68">
        <f>IF($U65=0,0,IF($F65=4,0,IF($F65=3,0,IF(OR(24&gt;$R65,BP65&lt;=$I65),BP65,BP65-MIN(INT(ROUND(IF($F65=1,$C65*$J65,IF(FO65&gt;0,FO65*$K65,BP65*$J65))*IF(24=$R65,$S65,12)/12,6)+$B$4),BP65-$I65)))))</f>
        <v/>
      </c>
      <c r="BR65" s="68">
        <f>IF($U65=0,0,IF($F65=4,0,IF($F65=3,0,IF(OR(25&gt;$R65,BQ65&lt;=$I65),BQ65,BQ65-MIN(INT(ROUND(IF($F65=1,$C65*$J65,IF(FP65&gt;0,FP65*$K65,BQ65*$J65))*IF(25=$R65,$S65,12)/12,6)+$B$4),BQ65-$I65)))))</f>
        <v/>
      </c>
      <c r="BS65" s="68">
        <f>IF($U65=0,0,IF($F65=4,0,IF($F65=3,0,IF(OR(26&gt;$R65,BR65&lt;=$I65),BR65,BR65-MIN(INT(ROUND(IF($F65=1,$C65*$J65,IF(FQ65&gt;0,FQ65*$K65,BR65*$J65))*IF(26=$R65,$S65,12)/12,6)+$B$4),BR65-$I65)))))</f>
        <v/>
      </c>
      <c r="BT65" s="68">
        <f>IF($U65=0,0,IF($F65=4,0,IF($F65=3,0,IF(OR(27&gt;$R65,BS65&lt;=$I65),BS65,BS65-MIN(INT(ROUND(IF($F65=1,$C65*$J65,IF(FR65&gt;0,FR65*$K65,BS65*$J65))*IF(27=$R65,$S65,12)/12,6)+$B$4),BS65-$I65)))))</f>
        <v/>
      </c>
      <c r="BU65" s="68">
        <f>IF($U65=0,0,IF($F65=4,0,IF($F65=3,0,IF(OR(28&gt;$R65,BT65&lt;=$I65),BT65,BT65-MIN(INT(ROUND(IF($F65=1,$C65*$J65,IF(FS65&gt;0,FS65*$K65,BT65*$J65))*IF(28=$R65,$S65,12)/12,6)+$B$4),BT65-$I65)))))</f>
        <v/>
      </c>
      <c r="BV65" s="68">
        <f>IF($U65=0,0,IF($F65=4,0,IF($F65=3,0,IF(OR(29&gt;$R65,BU65&lt;=$I65),BU65,BU65-MIN(INT(ROUND(IF($F65=1,$C65*$J65,IF(FT65&gt;0,FT65*$K65,BU65*$J65))*IF(29=$R65,$S65,12)/12,6)+$B$4),BU65-$I65)))))</f>
        <v/>
      </c>
      <c r="BW65" s="68">
        <f>IF($U65=0,0,IF($F65=4,0,IF($F65=3,0,IF(OR(30&gt;$R65,BV65&lt;=$I65),BV65,BV65-MIN(INT(ROUND(IF($F65=1,$C65*$J65,IF(FU65&gt;0,FU65*$K65,BV65*$J65))*IF(30=$R65,$S65,12)/12,6)+$B$4),BV65-$I65)))))</f>
        <v/>
      </c>
      <c r="BX65" s="68">
        <f>IF($U65=0,0,IF($F65=4,0,IF($F65=3,0,IF(OR(31&gt;$R65,BW65&lt;=$I65),BW65,BW65-MIN(INT(ROUND(IF($F65=1,$C65*$J65,IF(FV65&gt;0,FV65*$K65,BW65*$J65))*IF(31=$R65,$S65,12)/12,6)+$B$4),BW65-$I65)))))</f>
        <v/>
      </c>
      <c r="BY65" s="68">
        <f>IF($U65=0,0,IF($F65=4,0,IF($F65=3,0,IF(OR(32&gt;$R65,BX65&lt;=$I65),BX65,BX65-MIN(INT(ROUND(IF($F65=1,$C65*$J65,IF(FW65&gt;0,FW65*$K65,BX65*$J65))*IF(32=$R65,$S65,12)/12,6)+$B$4),BX65-$I65)))))</f>
        <v/>
      </c>
      <c r="BZ65" s="68">
        <f>IF($U65=0,0,IF($F65=4,0,IF($F65=3,0,IF(OR(33&gt;$R65,BY65&lt;=$I65),BY65,BY65-MIN(INT(ROUND(IF($F65=1,$C65*$J65,IF(FX65&gt;0,FX65*$K65,BY65*$J65))*IF(33=$R65,$S65,12)/12,6)+$B$4),BY65-$I65)))))</f>
        <v/>
      </c>
      <c r="CA65" s="68">
        <f>IF($U65=0,0,IF($F65=4,0,IF($F65=3,0,IF(OR(34&gt;$R65,BZ65&lt;=$I65),BZ65,BZ65-MIN(INT(ROUND(IF($F65=1,$C65*$J65,IF(FY65&gt;0,FY65*$K65,BZ65*$J65))*IF(34=$R65,$S65,12)/12,6)+$B$4),BZ65-$I65)))))</f>
        <v/>
      </c>
      <c r="CB65" s="68">
        <f>IF($U65=0,0,IF($F65=4,0,IF($F65=3,0,IF(OR(35&gt;$R65,CA65&lt;=$I65),CA65,CA65-MIN(INT(ROUND(IF($F65=1,$C65*$J65,IF(FZ65&gt;0,FZ65*$K65,CA65*$J65))*IF(35=$R65,$S65,12)/12,6)+$B$4),CA65-$I65)))))</f>
        <v/>
      </c>
      <c r="CC65" s="68">
        <f>IF($U65=0,0,IF($F65=4,0,IF($F65=3,0,IF(OR(36&gt;$R65,CB65&lt;=$I65),CB65,CB65-MIN(INT(ROUND(IF($F65=1,$C65*$J65,IF(GA65&gt;0,GA65*$K65,CB65*$J65))*IF(36=$R65,$S65,12)/12,6)+$B$4),CB65-$I65)))))</f>
        <v/>
      </c>
      <c r="CD65" s="68">
        <f>IF($U65=0,0,IF($F65=4,0,IF($F65=3,0,IF(OR(37&gt;$R65,CC65&lt;=$I65),CC65,CC65-MIN(INT(ROUND(IF($F65=1,$C65*$J65,IF(GB65&gt;0,GB65*$K65,CC65*$J65))*IF(37=$R65,$S65,12)/12,6)+$B$4),CC65-$I65)))))</f>
        <v/>
      </c>
      <c r="CE65" s="68">
        <f>IF($U65=0,0,IF($F65=4,0,IF($F65=3,0,IF(OR(38&gt;$R65,CD65&lt;=$I65),CD65,CD65-MIN(INT(ROUND(IF($F65=1,$C65*$J65,IF(GC65&gt;0,GC65*$K65,CD65*$J65))*IF(38=$R65,$S65,12)/12,6)+$B$4),CD65-$I65)))))</f>
        <v/>
      </c>
      <c r="CF65" s="68">
        <f>IF($U65=0,0,IF($F65=4,0,IF($F65=3,0,IF(OR(39&gt;$R65,CE65&lt;=$I65),CE65,CE65-MIN(INT(ROUND(IF($F65=1,$C65*$J65,IF(GD65&gt;0,GD65*$K65,CE65*$J65))*IF(39=$R65,$S65,12)/12,6)+$B$4),CE65-$I65)))))</f>
        <v/>
      </c>
      <c r="CG65" s="68">
        <f>IF($U65=0,0,IF($F65=4,0,IF($F65=3,0,IF(OR(40&gt;$R65,CF65&lt;=$I65),CF65,CF65-MIN(INT(ROUND(IF($F65=1,$C65*$J65,IF(GE65&gt;0,GE65*$K65,CF65*$J65))*IF(40=$R65,$S65,12)/12,6)+$B$4),CF65-$I65)))))</f>
        <v/>
      </c>
      <c r="CH65" s="68">
        <f>IF($U65=0,0,IF($F65=4,0,IF($F65=3,0,IF(OR(41&gt;$R65,CG65&lt;=$I65),CG65,CG65-MIN(INT(ROUND(IF($F65=1,$C65*$J65,IF(GF65&gt;0,GF65*$K65,CG65*$J65))*IF(41=$R65,$S65,12)/12,6)+$B$4),CG65-$I65)))))</f>
        <v/>
      </c>
      <c r="CI65" s="68">
        <f>IF($U65=0,0,IF($F65=4,0,IF($F65=3,0,IF(OR(42&gt;$R65,CH65&lt;=$I65),CH65,CH65-MIN(INT(ROUND(IF($F65=1,$C65*$J65,IF(GG65&gt;0,GG65*$K65,CH65*$J65))*IF(42=$R65,$S65,12)/12,6)+$B$4),CH65-$I65)))))</f>
        <v/>
      </c>
      <c r="CJ65" s="68">
        <f>IF($U65=0,0,IF($F65=4,0,IF($F65=3,0,IF(OR(43&gt;$R65,CI65&lt;=$I65),CI65,CI65-MIN(INT(ROUND(IF($F65=1,$C65*$J65,IF(GH65&gt;0,GH65*$K65,CI65*$J65))*IF(43=$R65,$S65,12)/12,6)+$B$4),CI65-$I65)))))</f>
        <v/>
      </c>
      <c r="CK65" s="68">
        <f>IF($U65=0,0,IF($F65=4,0,IF($F65=3,0,IF(OR(44&gt;$R65,CJ65&lt;=$I65),CJ65,CJ65-MIN(INT(ROUND(IF($F65=1,$C65*$J65,IF(GI65&gt;0,GI65*$K65,CJ65*$J65))*IF(44=$R65,$S65,12)/12,6)+$B$4),CJ65-$I65)))))</f>
        <v/>
      </c>
      <c r="CL65" s="68">
        <f>IF($U65=0,0,IF($F65=4,0,IF($F65=3,0,IF(OR(45&gt;$R65,CK65&lt;=$I65),CK65,CK65-MIN(INT(ROUND(IF($F65=1,$C65*$J65,IF(GJ65&gt;0,GJ65*$K65,CK65*$J65))*IF(45=$R65,$S65,12)/12,6)+$B$4),CK65-$I65)))))</f>
        <v/>
      </c>
      <c r="CM65" s="68">
        <f>IF($U65=0,0,IF($F65=4,0,IF($F65=3,0,IF(OR(46&gt;$R65,CL65&lt;=$I65),CL65,CL65-MIN(INT(ROUND(IF($F65=1,$C65*$J65,IF(GK65&gt;0,GK65*$K65,CL65*$J65))*IF(46=$R65,$S65,12)/12,6)+$B$4),CL65-$I65)))))</f>
        <v/>
      </c>
      <c r="CN65" s="68">
        <f>IF($U65=0,0,IF($F65=4,0,IF($F65=3,0,IF(OR(47&gt;$R65,CM65&lt;=$I65),CM65,CM65-MIN(INT(ROUND(IF($F65=1,$C65*$J65,IF(GL65&gt;0,GL65*$K65,CM65*$J65))*IF(47=$R65,$S65,12)/12,6)+$B$4),CM65-$I65)))))</f>
        <v/>
      </c>
      <c r="CO65" s="68">
        <f>IF($U65=0,0,IF($F65=4,0,IF($F65=3,0,IF(OR(48&gt;$R65,CN65&lt;=$I65),CN65,CN65-MIN(INT(ROUND(IF($F65=1,$C65*$J65,IF(GM65&gt;0,GM65*$K65,CN65*$J65))*IF(48=$R65,$S65,12)/12,6)+$B$4),CN65-$I65)))))</f>
        <v/>
      </c>
      <c r="CP65" s="68">
        <f>IF($U65=0,0,IF($F65=4,0,IF($F65=3,0,IF(OR(49&gt;$R65,CO65&lt;=$I65),CO65,CO65-MIN(INT(ROUND(IF($F65=1,$C65*$J65,IF(GN65&gt;0,GN65*$K65,CO65*$J65))*IF(49=$R65,$S65,12)/12,6)+$B$4),CO65-$I65)))))</f>
        <v/>
      </c>
      <c r="CQ65" s="68">
        <f>IF($U65=0,0,IF($F65=4,0,IF($F65=3,0,IF(OR(50&gt;$R65,CP65&lt;=$I65),CP65,CP65-MIN(INT(ROUND(IF($F65=1,$C65*$J65,IF(GO65&gt;0,GO65*$K65,CP65*$J65))*IF(50=$R65,$S65,12)/12,6)+$B$4),CP65-$I65)))))</f>
        <v/>
      </c>
      <c r="CR65" s="68">
        <f>IF($U65=0,0,IF($F65=4,0,IF($F65=3,0,IF(OR(51&gt;$R65,CQ65&lt;=$I65),CQ65,CQ65-MIN(INT(ROUND(IF($F65=1,$C65*$J65,IF(GP65&gt;0,GP65*$K65,CQ65*$J65))*IF(51=$R65,$S65,12)/12,6)+$B$4),CQ65-$I65)))))</f>
        <v/>
      </c>
      <c r="CS65" s="68">
        <f>IF($U65=0,0,IF($F65=4,0,IF($F65=3,0,IF(OR(52&gt;$R65,CR65&lt;=$I65),CR65,CR65-MIN(INT(ROUND(IF($F65=1,$C65*$J65,IF(GQ65&gt;0,GQ65*$K65,CR65*$J65))*IF(52=$R65,$S65,12)/12,6)+$B$4),CR65-$I65)))))</f>
        <v/>
      </c>
      <c r="CT65" s="68">
        <f>IF($U65=0,0,IF($F65=4,0,IF($F65=3,0,IF(OR(53&gt;$R65,CS65&lt;=$I65),CS65,CS65-MIN(INT(ROUND(IF($F65=1,$C65*$J65,IF(GR65&gt;0,GR65*$K65,CS65*$J65))*IF(53=$R65,$S65,12)/12,6)+$B$4),CS65-$I65)))))</f>
        <v/>
      </c>
      <c r="CU65" s="68">
        <f>IF($U65=0,0,IF($F65=4,0,IF($F65=3,0,IF(OR(54&gt;$R65,CT65&lt;=$I65),CT65,CT65-MIN(INT(ROUND(IF($F65=1,$C65*$J65,IF(GS65&gt;0,GS65*$K65,CT65*$J65))*IF(54=$R65,$S65,12)/12,6)+$B$4),CT65-$I65)))))</f>
        <v/>
      </c>
      <c r="CV65" s="68">
        <f>IF($U65=0,0,IF($F65=4,0,IF($F65=3,0,IF(OR(55&gt;$R65,CU65&lt;=$I65),CU65,CU65-MIN(INT(ROUND(IF($F65=1,$C65*$J65,IF(GT65&gt;0,GT65*$K65,CU65*$J65))*IF(55=$R65,$S65,12)/12,6)+$B$4),CU65-$I65)))))</f>
        <v/>
      </c>
      <c r="CW65" s="68">
        <f>IF($U65=0,0,IF($F65=4,0,IF($F65=3,0,IF(OR(56&gt;$R65,CV65&lt;=$I65),CV65,CV65-MIN(INT(ROUND(IF($F65=1,$C65*$J65,IF(GU65&gt;0,GU65*$K65,CV65*$J65))*IF(56=$R65,$S65,12)/12,6)+$B$4),CV65-$I65)))))</f>
        <v/>
      </c>
      <c r="CX65" s="68">
        <f>IF($U65=0,0,IF($F65=4,0,IF($F65=3,0,IF(OR(57&gt;$R65,CW65&lt;=$I65),CW65,CW65-MIN(INT(ROUND(IF($F65=1,$C65*$J65,IF(GV65&gt;0,GV65*$K65,CW65*$J65))*IF(57=$R65,$S65,12)/12,6)+$B$4),CW65-$I65)))))</f>
        <v/>
      </c>
      <c r="CY65" s="68">
        <f>IF($U65=0,0,IF($F65=4,0,IF($F65=3,0,IF(OR(58&gt;$R65,CX65&lt;=$I65),CX65,CX65-MIN(INT(ROUND(IF($F65=1,$C65*$J65,IF(GW65&gt;0,GW65*$K65,CX65*$J65))*IF(58=$R65,$S65,12)/12,6)+$B$4),CX65-$I65)))))</f>
        <v/>
      </c>
      <c r="CZ65" s="68">
        <f>IF($U65=0,0,IF($F65=4,0,IF($F65=3,0,IF(OR(59&gt;$R65,CY65&lt;=$I65),CY65,CY65-MIN(INT(ROUND(IF($F65=1,$C65*$J65,IF(GX65&gt;0,GX65*$K65,CY65*$J65))*IF(59=$R65,$S65,12)/12,6)+$B$4),CY65-$I65)))))</f>
        <v/>
      </c>
      <c r="DA65" s="68">
        <f>IF($U65=0,0,IF($F65=4,0,IF($F65=3,0,IF(OR(60&gt;$R65,CZ65&lt;=$I65),CZ65,CZ65-MIN(INT(ROUND(IF($F65=1,$C65*$J65,IF(GY65&gt;0,GY65*$K65,CZ65*$J65))*IF(60=$R65,$S65,12)/12,6)+$B$4),CZ65-$I65)))))</f>
        <v/>
      </c>
      <c r="DB65" s="68">
        <f>IF($U65=0,0,IF($F65=4,0,IF($F65=3,0,IF(OR(61&gt;$R65,DA65&lt;=$I65),DA65,DA65-MIN(INT(ROUND(IF($F65=1,$C65*$J65,IF(GZ65&gt;0,GZ65*$K65,DA65*$J65))*IF(61=$R65,$S65,12)/12,6)+$B$4),DA65-$I65)))))</f>
        <v/>
      </c>
      <c r="DC65" s="68">
        <f>IF($U65=0,0,IF($F65=4,0,IF($F65=3,0,IF(OR(62&gt;$R65,DB65&lt;=$I65),DB65,DB65-MIN(INT(ROUND(IF($F65=1,$C65*$J65,IF(HA65&gt;0,HA65*$K65,DB65*$J65))*IF(62=$R65,$S65,12)/12,6)+$B$4),DB65-$I65)))))</f>
        <v/>
      </c>
      <c r="DD65" s="68">
        <f>IF($U65=0,0,IF($F65=4,0,IF($F65=3,0,IF(OR(63&gt;$R65,DC65&lt;=$I65),DC65,DC65-MIN(INT(ROUND(IF($F65=1,$C65*$J65,IF(HB65&gt;0,HB65*$K65,DC65*$J65))*IF(63=$R65,$S65,12)/12,6)+$B$4),DC65-$I65)))))</f>
        <v/>
      </c>
      <c r="DE65" s="68">
        <f>IF($U65=0,0,IF($F65=4,0,IF($F65=3,0,IF(OR(64&gt;$R65,DD65&lt;=$I65),DD65,DD65-MIN(INT(ROUND(IF($F65=1,$C65*$J65,IF(HC65&gt;0,HC65*$K65,DD65*$J65))*IF(64=$R65,$S65,12)/12,6)+$B$4),DD65-$I65)))))</f>
        <v/>
      </c>
      <c r="DF65" s="68">
        <f>IF($U65=0,0,IF($F65=4,0,IF($F65=3,0,IF(OR(65&gt;$R65,DE65&lt;=$I65),DE65,DE65-MIN(INT(ROUND(IF($F65=1,$C65*$J65,IF(HD65&gt;0,HD65*$K65,DE65*$J65))*IF(65=$R65,$S65,12)/12,6)+$B$4),DE65-$I65)))))</f>
        <v/>
      </c>
      <c r="DG65" s="68">
        <f>IF($U65=0,0,IF($F65=4,0,IF($F65=3,0,IF(OR(66&gt;$R65,DF65&lt;=$I65),DF65,DF65-MIN(INT(ROUND(IF($F65=1,$C65*$J65,IF(HE65&gt;0,HE65*$K65,DF65*$J65))*IF(66=$R65,$S65,12)/12,6)+$B$4),DF65-$I65)))))</f>
        <v/>
      </c>
      <c r="DH65" s="68">
        <f>IF($U65=0,0,IF($F65=4,0,IF($F65=3,0,IF(OR(67&gt;$R65,DG65&lt;=$I65),DG65,DG65-MIN(INT(ROUND(IF($F65=1,$C65*$J65,IF(HF65&gt;0,HF65*$K65,DG65*$J65))*IF(67=$R65,$S65,12)/12,6)+$B$4),DG65-$I65)))))</f>
        <v/>
      </c>
      <c r="DI65" s="68">
        <f>IF($U65=0,0,IF($F65=4,0,IF($F65=3,0,IF(OR(68&gt;$R65,DH65&lt;=$I65),DH65,DH65-MIN(INT(ROUND(IF($F65=1,$C65*$J65,IF(HG65&gt;0,HG65*$K65,DH65*$J65))*IF(68=$R65,$S65,12)/12,6)+$B$4),DH65-$I65)))))</f>
        <v/>
      </c>
      <c r="DJ65" s="68">
        <f>IF($U65=0,0,IF($F65=4,0,IF($F65=3,0,IF(OR(69&gt;$R65,DI65&lt;=$I65),DI65,DI65-MIN(INT(ROUND(IF($F65=1,$C65*$J65,IF(HH65&gt;0,HH65*$K65,DI65*$J65))*IF(69=$R65,$S65,12)/12,6)+$B$4),DI65-$I65)))))</f>
        <v/>
      </c>
      <c r="DK65" s="68">
        <f>IF($U65=0,0,IF($F65=4,0,IF($F65=3,0,IF(OR(70&gt;$R65,DJ65&lt;=$I65),DJ65,DJ65-MIN(INT(ROUND(IF($F65=1,$C65*$J65,IF(HI65&gt;0,HI65*$K65,DJ65*$J65))*IF(70=$R65,$S65,12)/12,6)+$B$4),DJ65-$I65)))))</f>
        <v/>
      </c>
      <c r="DL65" s="68">
        <f>IF($U65=0,0,IF($F65=4,0,IF($F65=3,0,IF(OR(71&gt;$R65,DK65&lt;=$I65),DK65,DK65-MIN(INT(ROUND(IF($F65=1,$C65*$J65,IF(HJ65&gt;0,HJ65*$K65,DK65*$J65))*IF(71=$R65,$S65,12)/12,6)+$B$4),DK65-$I65)))))</f>
        <v/>
      </c>
      <c r="DM65" s="68">
        <f>IF($U65=0,0,IF($F65=4,0,IF($F65=3,0,IF(OR(72&gt;$R65,DL65&lt;=$I65),DL65,DL65-MIN(INT(ROUND(IF($F65=1,$C65*$J65,IF(HK65&gt;0,HK65*$K65,DL65*$J65))*IF(72=$R65,$S65,12)/12,6)+$B$4),DL65-$I65)))))</f>
        <v/>
      </c>
      <c r="DN65" s="68">
        <f>IF($U65=0,0,IF($F65=4,0,IF($F65=3,0,IF(OR(73&gt;$R65,DM65&lt;=$I65),DM65,DM65-MIN(INT(ROUND(IF($F65=1,$C65*$J65,IF(HL65&gt;0,HL65*$K65,DM65*$J65))*IF(73=$R65,$S65,12)/12,6)+$B$4),DM65-$I65)))))</f>
        <v/>
      </c>
      <c r="DO65" s="68">
        <f>IF($U65=0,0,IF($F65=4,0,IF($F65=3,0,IF(OR(74&gt;$R65,DN65&lt;=$I65),DN65,DN65-MIN(INT(ROUND(IF($F65=1,$C65*$J65,IF(HM65&gt;0,HM65*$K65,DN65*$J65))*IF(74=$R65,$S65,12)/12,6)+$B$4),DN65-$I65)))))</f>
        <v/>
      </c>
      <c r="DP65" s="68">
        <f>IF($U65=0,0,IF($F65=4,0,IF($F65=3,0,IF(OR(75&gt;$R65,DO65&lt;=$I65),DO65,DO65-MIN(INT(ROUND(IF($F65=1,$C65*$J65,IF(HN65&gt;0,HN65*$K65,DO65*$J65))*IF(75=$R65,$S65,12)/12,6)+$B$4),DO65-$I65)))))</f>
        <v/>
      </c>
      <c r="DQ65" s="68">
        <f>IF($U65=0,0,IF($F65=4,0,IF($F65=3,0,IF(OR(76&gt;$R65,DP65&lt;=$I65),DP65,DP65-MIN(INT(ROUND(IF($F65=1,$C65*$J65,IF(HO65&gt;0,HO65*$K65,DP65*$J65))*IF(76=$R65,$S65,12)/12,6)+$B$4),DP65-$I65)))))</f>
        <v/>
      </c>
      <c r="DR65" s="68">
        <f>IF($U65=0,0,IF($F65=4,0,IF($F65=3,0,IF(OR(77&gt;$R65,DQ65&lt;=$I65),DQ65,DQ65-MIN(INT(ROUND(IF($F65=1,$C65*$J65,IF(HP65&gt;0,HP65*$K65,DQ65*$J65))*IF(77=$R65,$S65,12)/12,6)+$B$4),DQ65-$I65)))))</f>
        <v/>
      </c>
      <c r="DS65" s="68">
        <f>IF($U65=0,0,IF($F65=4,0,IF($F65=3,0,IF(OR(78&gt;$R65,DR65&lt;=$I65),DR65,DR65-MIN(INT(ROUND(IF($F65=1,$C65*$J65,IF(HQ65&gt;0,HQ65*$K65,DR65*$J65))*IF(78=$R65,$S65,12)/12,6)+$B$4),DR65-$I65)))))</f>
        <v/>
      </c>
      <c r="DT65" s="68">
        <f>IF($U65=0,0,IF($F65=4,0,IF($F65=3,0,IF(OR(79&gt;$R65,DS65&lt;=$I65),DS65,DS65-MIN(INT(ROUND(IF($F65=1,$C65*$J65,IF(HR65&gt;0,HR65*$K65,DS65*$J65))*IF(79=$R65,$S65,12)/12,6)+$B$4),DS65-$I65)))))</f>
        <v/>
      </c>
      <c r="DU65" s="68">
        <f>IF($U65=0,0,IF($F65=4,0,IF($F65=3,0,IF(OR(80&gt;$R65,DT65&lt;=$I65),DT65,DT65-MIN(INT(ROUND(IF($F65=1,$C65*$J65,IF(HS65&gt;0,HS65*$K65,DT65*$J65))*IF(80=$R65,$S65,12)/12,6)+$B$4),DT65-$I65)))))</f>
        <v/>
      </c>
      <c r="DV65" s="68">
        <f>IF($U65=0,0,IF($F65=4,0,IF($F65=3,0,IF(OR(81&gt;$R65,DU65&lt;=$I65),DU65,DU65-MIN(INT(ROUND(IF($F65=1,$C65*$J65,IF(HT65&gt;0,HT65*$K65,DU65*$J65))*IF(81=$R65,$S65,12)/12,6)+$B$4),DU65-$I65)))))</f>
        <v/>
      </c>
      <c r="DW65" s="68">
        <f>IF($U65=0,0,IF($F65=4,0,IF($F65=3,0,IF(OR(82&gt;$R65,DV65&lt;=$I65),DV65,DV65-MIN(INT(ROUND(IF($F65=1,$C65*$J65,IF(HU65&gt;0,HU65*$K65,DV65*$J65))*IF(82=$R65,$S65,12)/12,6)+$B$4),DV65-$I65)))))</f>
        <v/>
      </c>
      <c r="DX65" s="68">
        <f>IF($U65=0,0,IF($F65=4,0,IF($F65=3,0,IF(OR(83&gt;$R65,DW65&lt;=$I65),DW65,DW65-MIN(INT(ROUND(IF($F65=1,$C65*$J65,IF(HV65&gt;0,HV65*$K65,DW65*$J65))*IF(83=$R65,$S65,12)/12,6)+$B$4),DW65-$I65)))))</f>
        <v/>
      </c>
      <c r="DY65" s="68">
        <f>IF($U65=0,0,IF($F65=4,0,IF($F65=3,0,IF(OR(84&gt;$R65,DX65&lt;=$I65),DX65,DX65-MIN(INT(ROUND(IF($F65=1,$C65*$J65,IF(HW65&gt;0,HW65*$K65,DX65*$J65))*IF(84=$R65,$S65,12)/12,6)+$B$4),DX65-$I65)))))</f>
        <v/>
      </c>
      <c r="DZ65" s="68">
        <f>IF($U65=0,0,IF($F65=4,0,IF($F65=3,0,IF(OR(85&gt;$R65,DY65&lt;=$I65),DY65,DY65-MIN(INT(ROUND(IF($F65=1,$C65*$J65,IF(HX65&gt;0,HX65*$K65,DY65*$J65))*IF(85=$R65,$S65,12)/12,6)+$B$4),DY65-$I65)))))</f>
        <v/>
      </c>
      <c r="EA65" s="68">
        <f>IF($U65=0,0,IF($F65=4,0,IF($F65=3,0,IF(OR(86&gt;$R65,DZ65&lt;=$I65),DZ65,DZ65-MIN(INT(ROUND(IF($F65=1,$C65*$J65,IF(HY65&gt;0,HY65*$K65,DZ65*$J65))*IF(86=$R65,$S65,12)/12,6)+$B$4),DZ65-$I65)))))</f>
        <v/>
      </c>
      <c r="EB65" s="68">
        <f>IF($U65=0,0,IF($F65=4,0,IF($F65=3,0,IF(OR(87&gt;$R65,EA65&lt;=$I65),EA65,EA65-MIN(INT(ROUND(IF($F65=1,$C65*$J65,IF(HZ65&gt;0,HZ65*$K65,EA65*$J65))*IF(87=$R65,$S65,12)/12,6)+$B$4),EA65-$I65)))))</f>
        <v/>
      </c>
      <c r="EC65" s="68">
        <f>IF($U65=0,0,IF($F65=4,0,IF($F65=3,0,IF(OR(88&gt;$R65,EB65&lt;=$I65),EB65,EB65-MIN(INT(ROUND(IF($F65=1,$C65*$J65,IF(IA65&gt;0,IA65*$K65,EB65*$J65))*IF(88=$R65,$S65,12)/12,6)+$B$4),EB65-$I65)))))</f>
        <v/>
      </c>
      <c r="ED65" s="68">
        <f>IF($U65=0,0,IF($F65=4,0,IF($F65=3,0,IF(OR(89&gt;$R65,EC65&lt;=$I65),EC65,EC65-MIN(INT(ROUND(IF($F65=1,$C65*$J65,IF(IB65&gt;0,IB65*$K65,EC65*$J65))*IF(89=$R65,$S65,12)/12,6)+$B$4),EC65-$I65)))))</f>
        <v/>
      </c>
      <c r="EE65" s="68">
        <f>IF($U65=0,0,IF($F65=4,0,IF($F65=3,0,IF(OR(90&gt;$R65,ED65&lt;=$I65),ED65,ED65-MIN(INT(ROUND(IF($F65=1,$C65*$J65,IF(IC65&gt;0,IC65*$K65,ED65*$J65))*IF(90=$R65,$S65,12)/12,6)+$B$4),ED65-$I65)))))</f>
        <v/>
      </c>
      <c r="EF65" s="68">
        <f>IF($U65=0,0,IF($F65=4,0,IF($F65=3,0,IF(OR(91&gt;$R65,EE65&lt;=$I65),EE65,EE65-MIN(INT(ROUND(IF($F65=1,$C65*$J65,IF(ID65&gt;0,ID65*$K65,EE65*$J65))*IF(91=$R65,$S65,12)/12,6)+$B$4),EE65-$I65)))))</f>
        <v/>
      </c>
      <c r="EG65" s="68">
        <f>IF($U65=0,0,IF($F65=4,0,IF($F65=3,0,IF(OR(92&gt;$R65,EF65&lt;=$I65),EF65,EF65-MIN(INT(ROUND(IF($F65=1,$C65*$J65,IF(IE65&gt;0,IE65*$K65,EF65*$J65))*IF(92=$R65,$S65,12)/12,6)+$B$4),EF65-$I65)))))</f>
        <v/>
      </c>
      <c r="EH65" s="68">
        <f>IF($U65=0,0,IF($F65=4,0,IF($F65=3,0,IF(OR(93&gt;$R65,EG65&lt;=$I65),EG65,EG65-MIN(INT(ROUND(IF($F65=1,$C65*$J65,IF(IF65&gt;0,IF65*$K65,EG65*$J65))*IF(93=$R65,$S65,12)/12,6)+$B$4),EG65-$I65)))))</f>
        <v/>
      </c>
      <c r="EI65" s="68">
        <f>IF($U65=0,0,IF($F65=4,0,IF($F65=3,0,IF(OR(94&gt;$R65,EH65&lt;=$I65),EH65,EH65-MIN(INT(ROUND(IF($F65=1,$C65*$J65,IF(IG65&gt;0,IG65*$K65,EH65*$J65))*IF(94=$R65,$S65,12)/12,6)+$B$4),EH65-$I65)))))</f>
        <v/>
      </c>
      <c r="EJ65" s="68">
        <f>IF($U65=0,0,IF($F65=4,0,IF($F65=3,0,IF(OR(95&gt;$R65,EI65&lt;=$I65),EI65,EI65-MIN(INT(ROUND(IF($F65=1,$C65*$J65,IF(IH65&gt;0,IH65*$K65,EI65*$J65))*IF(95=$R65,$S65,12)/12,6)+$B$4),EI65-$I65)))))</f>
        <v/>
      </c>
      <c r="EK65" s="68">
        <f>IF($U65=0,0,IF($F65=4,0,IF($F65=3,0,IF(OR(96&gt;$R65,EJ65&lt;=$I65),EJ65,EJ65-MIN(INT(ROUND(IF($F65=1,$C65*$J65,IF(II65&gt;0,II65*$K65,EJ65*$J65))*IF(96=$R65,$S65,12)/12,6)+$B$4),EJ65-$I65)))))</f>
        <v/>
      </c>
      <c r="EL65" s="68">
        <f>IF($U65=0,0,IF($F65=4,0,IF($F65=3,0,IF(OR(97&gt;$R65,EK65&lt;=$I65),EK65,EK65-MIN(INT(ROUND(IF($F65=1,$C65*$J65,IF(IJ65&gt;0,IJ65*$K65,EK65*$J65))*IF(97=$R65,$S65,12)/12,6)+$B$4),EK65-$I65)))))</f>
        <v/>
      </c>
      <c r="EM65" s="68">
        <f>IF($U65=0,0,IF($F65=4,0,IF($F65=3,0,IF(OR(98&gt;$R65,EL65&lt;=$I65),EL65,EL65-MIN(INT(ROUND(IF($F65=1,$C65*$J65,IF(IK65&gt;0,IK65*$K65,EL65*$J65))*IF(98=$R65,$S65,12)/12,6)+$B$4),EL65-$I65)))))</f>
        <v/>
      </c>
      <c r="EN65" s="68">
        <f>IF($U65=0,0,IF($F65=4,0,IF($F65=3,0,IF(OR(99&gt;$R65,EM65&lt;=$I65),EM65,EM65-MIN(INT(ROUND(IF($F65=1,$C65*$J65,IF(IL65&gt;0,IL65*$K65,EM65*$J65))*IF(99=$R65,$S65,12)/12,6)+$B$4),EM65-$I65)))))</f>
        <v/>
      </c>
      <c r="EO65" s="68">
        <f>IF($U65=0,0,IF($F65=4,0,IF($F65=3,0,IF(OR(100&gt;$R65,EN65&lt;=$I65),EN65,EN65-MIN(INT(ROUND(IF($F65=1,$C65*$J65,IF(IM65&gt;0,IM65*$K65,EN65*$J65))*IF(100=$R65,$S65,12)/12,6)+$B$4),EN65-$I65)))))</f>
        <v/>
      </c>
      <c r="EP65" s="68">
        <f>IF($U65=0,0,IF($F65=4,0,IF($F65=3,0,IF(OR(101&gt;$R65,EO65&lt;=$I65),EO65,EO65-MIN(INT(ROUND(IF($F65=1,$C65*$J65,IF(IN65&gt;0,IN65*$K65,EO65*$J65))*IF(101=$R65,$S65,12)/12,6)+$B$4),EO65-$I65)))))</f>
        <v/>
      </c>
      <c r="EQ65" s="68" t="n"/>
      <c r="ER65" s="68">
        <f>IF(OR($U65=0,$F65&lt;&gt;2),0,IF(ROUND(AS65*$J65,6)&lt;ROUND($M65,6),AS65,0))</f>
        <v/>
      </c>
      <c r="ES65" s="68">
        <f>IF(OR($U65=0,$F65&lt;&gt;2),0,IF(ER65&gt;0,ER65,IF(ROUND(AT65*$J65,6)&lt;ROUND($M65,6),AT65,0)))</f>
        <v/>
      </c>
      <c r="ET65" s="68">
        <f>IF(OR($U65=0,$F65&lt;&gt;2),0,IF(ES65&gt;0,ES65,IF(ROUND(AU65*$J65,6)&lt;ROUND($M65,6),AU65,0)))</f>
        <v/>
      </c>
      <c r="EU65" s="68">
        <f>IF(OR($U65=0,$F65&lt;&gt;2),0,IF(ET65&gt;0,ET65,IF(ROUND(AV65*$J65,6)&lt;ROUND($M65,6),AV65,0)))</f>
        <v/>
      </c>
      <c r="EV65" s="68">
        <f>IF(OR($U65=0,$F65&lt;&gt;2),0,IF(EU65&gt;0,EU65,IF(ROUND(AW65*$J65,6)&lt;ROUND($M65,6),AW65,0)))</f>
        <v/>
      </c>
      <c r="EW65" s="68">
        <f>IF(OR($U65=0,$F65&lt;&gt;2),0,IF(EV65&gt;0,EV65,IF(ROUND(AX65*$J65,6)&lt;ROUND($M65,6),AX65,0)))</f>
        <v/>
      </c>
      <c r="EX65" s="68">
        <f>IF(OR($U65=0,$F65&lt;&gt;2),0,IF(EW65&gt;0,EW65,IF(ROUND(AY65*$J65,6)&lt;ROUND($M65,6),AY65,0)))</f>
        <v/>
      </c>
      <c r="EY65" s="68">
        <f>IF(OR($U65=0,$F65&lt;&gt;2),0,IF(EX65&gt;0,EX65,IF(ROUND(AZ65*$J65,6)&lt;ROUND($M65,6),AZ65,0)))</f>
        <v/>
      </c>
      <c r="EZ65" s="68">
        <f>IF(OR($U65=0,$F65&lt;&gt;2),0,IF(EY65&gt;0,EY65,IF(ROUND(BA65*$J65,6)&lt;ROUND($M65,6),BA65,0)))</f>
        <v/>
      </c>
      <c r="FA65" s="68">
        <f>IF(OR($U65=0,$F65&lt;&gt;2),0,IF(EZ65&gt;0,EZ65,IF(ROUND(BB65*$J65,6)&lt;ROUND($M65,6),BB65,0)))</f>
        <v/>
      </c>
      <c r="FB65" s="68">
        <f>IF(OR($U65=0,$F65&lt;&gt;2),0,IF(FA65&gt;0,FA65,IF(ROUND(BC65*$J65,6)&lt;ROUND($M65,6),BC65,0)))</f>
        <v/>
      </c>
      <c r="FC65" s="68">
        <f>IF(OR($U65=0,$F65&lt;&gt;2),0,IF(FB65&gt;0,FB65,IF(ROUND(BD65*$J65,6)&lt;ROUND($M65,6),BD65,0)))</f>
        <v/>
      </c>
      <c r="FD65" s="68">
        <f>IF(OR($U65=0,$F65&lt;&gt;2),0,IF(FC65&gt;0,FC65,IF(ROUND(BE65*$J65,6)&lt;ROUND($M65,6),BE65,0)))</f>
        <v/>
      </c>
      <c r="FE65" s="68">
        <f>IF(OR($U65=0,$F65&lt;&gt;2),0,IF(FD65&gt;0,FD65,IF(ROUND(BF65*$J65,6)&lt;ROUND($M65,6),BF65,0)))</f>
        <v/>
      </c>
      <c r="FF65" s="68">
        <f>IF(OR($U65=0,$F65&lt;&gt;2),0,IF(FE65&gt;0,FE65,IF(ROUND(BG65*$J65,6)&lt;ROUND($M65,6),BG65,0)))</f>
        <v/>
      </c>
      <c r="FG65" s="68">
        <f>IF(OR($U65=0,$F65&lt;&gt;2),0,IF(FF65&gt;0,FF65,IF(ROUND(BH65*$J65,6)&lt;ROUND($M65,6),BH65,0)))</f>
        <v/>
      </c>
      <c r="FH65" s="68">
        <f>IF(OR($U65=0,$F65&lt;&gt;2),0,IF(FG65&gt;0,FG65,IF(ROUND(BI65*$J65,6)&lt;ROUND($M65,6),BI65,0)))</f>
        <v/>
      </c>
      <c r="FI65" s="68">
        <f>IF(OR($U65=0,$F65&lt;&gt;2),0,IF(FH65&gt;0,FH65,IF(ROUND(BJ65*$J65,6)&lt;ROUND($M65,6),BJ65,0)))</f>
        <v/>
      </c>
      <c r="FJ65" s="68">
        <f>IF(OR($U65=0,$F65&lt;&gt;2),0,IF(FI65&gt;0,FI65,IF(ROUND(BK65*$J65,6)&lt;ROUND($M65,6),BK65,0)))</f>
        <v/>
      </c>
      <c r="FK65" s="68">
        <f>IF(OR($U65=0,$F65&lt;&gt;2),0,IF(FJ65&gt;0,FJ65,IF(ROUND(BL65*$J65,6)&lt;ROUND($M65,6),BL65,0)))</f>
        <v/>
      </c>
      <c r="FL65" s="68">
        <f>IF(OR($U65=0,$F65&lt;&gt;2),0,IF(FK65&gt;0,FK65,IF(ROUND(BM65*$J65,6)&lt;ROUND($M65,6),BM65,0)))</f>
        <v/>
      </c>
      <c r="FM65" s="68">
        <f>IF(OR($U65=0,$F65&lt;&gt;2),0,IF(FL65&gt;0,FL65,IF(ROUND(BN65*$J65,6)&lt;ROUND($M65,6),BN65,0)))</f>
        <v/>
      </c>
      <c r="FN65" s="68">
        <f>IF(OR($U65=0,$F65&lt;&gt;2),0,IF(FM65&gt;0,FM65,IF(ROUND(BO65*$J65,6)&lt;ROUND($M65,6),BO65,0)))</f>
        <v/>
      </c>
      <c r="FO65" s="68">
        <f>IF(OR($U65=0,$F65&lt;&gt;2),0,IF(FN65&gt;0,FN65,IF(ROUND(BP65*$J65,6)&lt;ROUND($M65,6),BP65,0)))</f>
        <v/>
      </c>
      <c r="FP65" s="68">
        <f>IF(OR($U65=0,$F65&lt;&gt;2),0,IF(FO65&gt;0,FO65,IF(ROUND(BQ65*$J65,6)&lt;ROUND($M65,6),BQ65,0)))</f>
        <v/>
      </c>
      <c r="FQ65" s="68">
        <f>IF(OR($U65=0,$F65&lt;&gt;2),0,IF(FP65&gt;0,FP65,IF(ROUND(BR65*$J65,6)&lt;ROUND($M65,6),BR65,0)))</f>
        <v/>
      </c>
      <c r="FR65" s="68">
        <f>IF(OR($U65=0,$F65&lt;&gt;2),0,IF(FQ65&gt;0,FQ65,IF(ROUND(BS65*$J65,6)&lt;ROUND($M65,6),BS65,0)))</f>
        <v/>
      </c>
      <c r="FS65" s="68">
        <f>IF(OR($U65=0,$F65&lt;&gt;2),0,IF(FR65&gt;0,FR65,IF(ROUND(BT65*$J65,6)&lt;ROUND($M65,6),BT65,0)))</f>
        <v/>
      </c>
      <c r="FT65" s="68">
        <f>IF(OR($U65=0,$F65&lt;&gt;2),0,IF(FS65&gt;0,FS65,IF(ROUND(BU65*$J65,6)&lt;ROUND($M65,6),BU65,0)))</f>
        <v/>
      </c>
      <c r="FU65" s="68">
        <f>IF(OR($U65=0,$F65&lt;&gt;2),0,IF(FT65&gt;0,FT65,IF(ROUND(BV65*$J65,6)&lt;ROUND($M65,6),BV65,0)))</f>
        <v/>
      </c>
      <c r="FV65" s="68">
        <f>IF(OR($U65=0,$F65&lt;&gt;2),0,IF(FU65&gt;0,FU65,IF(ROUND(BW65*$J65,6)&lt;ROUND($M65,6),BW65,0)))</f>
        <v/>
      </c>
      <c r="FW65" s="68">
        <f>IF(OR($U65=0,$F65&lt;&gt;2),0,IF(FV65&gt;0,FV65,IF(ROUND(BX65*$J65,6)&lt;ROUND($M65,6),BX65,0)))</f>
        <v/>
      </c>
      <c r="FX65" s="68">
        <f>IF(OR($U65=0,$F65&lt;&gt;2),0,IF(FW65&gt;0,FW65,IF(ROUND(BY65*$J65,6)&lt;ROUND($M65,6),BY65,0)))</f>
        <v/>
      </c>
      <c r="FY65" s="68">
        <f>IF(OR($U65=0,$F65&lt;&gt;2),0,IF(FX65&gt;0,FX65,IF(ROUND(BZ65*$J65,6)&lt;ROUND($M65,6),BZ65,0)))</f>
        <v/>
      </c>
      <c r="FZ65" s="68">
        <f>IF(OR($U65=0,$F65&lt;&gt;2),0,IF(FY65&gt;0,FY65,IF(ROUND(CA65*$J65,6)&lt;ROUND($M65,6),CA65,0)))</f>
        <v/>
      </c>
      <c r="GA65" s="68">
        <f>IF(OR($U65=0,$F65&lt;&gt;2),0,IF(FZ65&gt;0,FZ65,IF(ROUND(CB65*$J65,6)&lt;ROUND($M65,6),CB65,0)))</f>
        <v/>
      </c>
      <c r="GB65" s="68">
        <f>IF(OR($U65=0,$F65&lt;&gt;2),0,IF(GA65&gt;0,GA65,IF(ROUND(CC65*$J65,6)&lt;ROUND($M65,6),CC65,0)))</f>
        <v/>
      </c>
      <c r="GC65" s="68">
        <f>IF(OR($U65=0,$F65&lt;&gt;2),0,IF(GB65&gt;0,GB65,IF(ROUND(CD65*$J65,6)&lt;ROUND($M65,6),CD65,0)))</f>
        <v/>
      </c>
      <c r="GD65" s="68">
        <f>IF(OR($U65=0,$F65&lt;&gt;2),0,IF(GC65&gt;0,GC65,IF(ROUND(CE65*$J65,6)&lt;ROUND($M65,6),CE65,0)))</f>
        <v/>
      </c>
      <c r="GE65" s="68">
        <f>IF(OR($U65=0,$F65&lt;&gt;2),0,IF(GD65&gt;0,GD65,IF(ROUND(CF65*$J65,6)&lt;ROUND($M65,6),CF65,0)))</f>
        <v/>
      </c>
      <c r="GF65" s="68">
        <f>IF(OR($U65=0,$F65&lt;&gt;2),0,IF(GE65&gt;0,GE65,IF(ROUND(CG65*$J65,6)&lt;ROUND($M65,6),CG65,0)))</f>
        <v/>
      </c>
      <c r="GG65" s="68">
        <f>IF(OR($U65=0,$F65&lt;&gt;2),0,IF(GF65&gt;0,GF65,IF(ROUND(CH65*$J65,6)&lt;ROUND($M65,6),CH65,0)))</f>
        <v/>
      </c>
      <c r="GH65" s="68">
        <f>IF(OR($U65=0,$F65&lt;&gt;2),0,IF(GG65&gt;0,GG65,IF(ROUND(CI65*$J65,6)&lt;ROUND($M65,6),CI65,0)))</f>
        <v/>
      </c>
      <c r="GI65" s="68">
        <f>IF(OR($U65=0,$F65&lt;&gt;2),0,IF(GH65&gt;0,GH65,IF(ROUND(CJ65*$J65,6)&lt;ROUND($M65,6),CJ65,0)))</f>
        <v/>
      </c>
      <c r="GJ65" s="68">
        <f>IF(OR($U65=0,$F65&lt;&gt;2),0,IF(GI65&gt;0,GI65,IF(ROUND(CK65*$J65,6)&lt;ROUND($M65,6),CK65,0)))</f>
        <v/>
      </c>
      <c r="GK65" s="68">
        <f>IF(OR($U65=0,$F65&lt;&gt;2),0,IF(GJ65&gt;0,GJ65,IF(ROUND(CL65*$J65,6)&lt;ROUND($M65,6),CL65,0)))</f>
        <v/>
      </c>
      <c r="GL65" s="68">
        <f>IF(OR($U65=0,$F65&lt;&gt;2),0,IF(GK65&gt;0,GK65,IF(ROUND(CM65*$J65,6)&lt;ROUND($M65,6),CM65,0)))</f>
        <v/>
      </c>
      <c r="GM65" s="68">
        <f>IF(OR($U65=0,$F65&lt;&gt;2),0,IF(GL65&gt;0,GL65,IF(ROUND(CN65*$J65,6)&lt;ROUND($M65,6),CN65,0)))</f>
        <v/>
      </c>
      <c r="GN65" s="68">
        <f>IF(OR($U65=0,$F65&lt;&gt;2),0,IF(GM65&gt;0,GM65,IF(ROUND(CO65*$J65,6)&lt;ROUND($M65,6),CO65,0)))</f>
        <v/>
      </c>
      <c r="GO65" s="68">
        <f>IF(OR($U65=0,$F65&lt;&gt;2),0,IF(GN65&gt;0,GN65,IF(ROUND(CP65*$J65,6)&lt;ROUND($M65,6),CP65,0)))</f>
        <v/>
      </c>
      <c r="GP65" s="68">
        <f>IF(OR($U65=0,$F65&lt;&gt;2),0,IF(GO65&gt;0,GO65,IF(ROUND(CQ65*$J65,6)&lt;ROUND($M65,6),CQ65,0)))</f>
        <v/>
      </c>
      <c r="GQ65" s="68">
        <f>IF(OR($U65=0,$F65&lt;&gt;2),0,IF(GP65&gt;0,GP65,IF(ROUND(CR65*$J65,6)&lt;ROUND($M65,6),CR65,0)))</f>
        <v/>
      </c>
      <c r="GR65" s="68">
        <f>IF(OR($U65=0,$F65&lt;&gt;2),0,IF(GQ65&gt;0,GQ65,IF(ROUND(CS65*$J65,6)&lt;ROUND($M65,6),CS65,0)))</f>
        <v/>
      </c>
      <c r="GS65" s="68">
        <f>IF(OR($U65=0,$F65&lt;&gt;2),0,IF(GR65&gt;0,GR65,IF(ROUND(CT65*$J65,6)&lt;ROUND($M65,6),CT65,0)))</f>
        <v/>
      </c>
      <c r="GT65" s="68">
        <f>IF(OR($U65=0,$F65&lt;&gt;2),0,IF(GS65&gt;0,GS65,IF(ROUND(CU65*$J65,6)&lt;ROUND($M65,6),CU65,0)))</f>
        <v/>
      </c>
      <c r="GU65" s="68">
        <f>IF(OR($U65=0,$F65&lt;&gt;2),0,IF(GT65&gt;0,GT65,IF(ROUND(CV65*$J65,6)&lt;ROUND($M65,6),CV65,0)))</f>
        <v/>
      </c>
      <c r="GV65" s="68">
        <f>IF(OR($U65=0,$F65&lt;&gt;2),0,IF(GU65&gt;0,GU65,IF(ROUND(CW65*$J65,6)&lt;ROUND($M65,6),CW65,0)))</f>
        <v/>
      </c>
      <c r="GW65" s="68">
        <f>IF(OR($U65=0,$F65&lt;&gt;2),0,IF(GV65&gt;0,GV65,IF(ROUND(CX65*$J65,6)&lt;ROUND($M65,6),CX65,0)))</f>
        <v/>
      </c>
      <c r="GX65" s="68">
        <f>IF(OR($U65=0,$F65&lt;&gt;2),0,IF(GW65&gt;0,GW65,IF(ROUND(CY65*$J65,6)&lt;ROUND($M65,6),CY65,0)))</f>
        <v/>
      </c>
      <c r="GY65" s="68">
        <f>IF(OR($U65=0,$F65&lt;&gt;2),0,IF(GX65&gt;0,GX65,IF(ROUND(CZ65*$J65,6)&lt;ROUND($M65,6),CZ65,0)))</f>
        <v/>
      </c>
      <c r="GZ65" s="68">
        <f>IF(OR($U65=0,$F65&lt;&gt;2),0,IF(GY65&gt;0,GY65,IF(ROUND(DA65*$J65,6)&lt;ROUND($M65,6),DA65,0)))</f>
        <v/>
      </c>
      <c r="HA65" s="68">
        <f>IF(OR($U65=0,$F65&lt;&gt;2),0,IF(GZ65&gt;0,GZ65,IF(ROUND(DB65*$J65,6)&lt;ROUND($M65,6),DB65,0)))</f>
        <v/>
      </c>
      <c r="HB65" s="68">
        <f>IF(OR($U65=0,$F65&lt;&gt;2),0,IF(HA65&gt;0,HA65,IF(ROUND(DC65*$J65,6)&lt;ROUND($M65,6),DC65,0)))</f>
        <v/>
      </c>
      <c r="HC65" s="68">
        <f>IF(OR($U65=0,$F65&lt;&gt;2),0,IF(HB65&gt;0,HB65,IF(ROUND(DD65*$J65,6)&lt;ROUND($M65,6),DD65,0)))</f>
        <v/>
      </c>
      <c r="HD65" s="68">
        <f>IF(OR($U65=0,$F65&lt;&gt;2),0,IF(HC65&gt;0,HC65,IF(ROUND(DE65*$J65,6)&lt;ROUND($M65,6),DE65,0)))</f>
        <v/>
      </c>
      <c r="HE65" s="68">
        <f>IF(OR($U65=0,$F65&lt;&gt;2),0,IF(HD65&gt;0,HD65,IF(ROUND(DF65*$J65,6)&lt;ROUND($M65,6),DF65,0)))</f>
        <v/>
      </c>
      <c r="HF65" s="68">
        <f>IF(OR($U65=0,$F65&lt;&gt;2),0,IF(HE65&gt;0,HE65,IF(ROUND(DG65*$J65,6)&lt;ROUND($M65,6),DG65,0)))</f>
        <v/>
      </c>
      <c r="HG65" s="68">
        <f>IF(OR($U65=0,$F65&lt;&gt;2),0,IF(HF65&gt;0,HF65,IF(ROUND(DH65*$J65,6)&lt;ROUND($M65,6),DH65,0)))</f>
        <v/>
      </c>
      <c r="HH65" s="68">
        <f>IF(OR($U65=0,$F65&lt;&gt;2),0,IF(HG65&gt;0,HG65,IF(ROUND(DI65*$J65,6)&lt;ROUND($M65,6),DI65,0)))</f>
        <v/>
      </c>
      <c r="HI65" s="68">
        <f>IF(OR($U65=0,$F65&lt;&gt;2),0,IF(HH65&gt;0,HH65,IF(ROUND(DJ65*$J65,6)&lt;ROUND($M65,6),DJ65,0)))</f>
        <v/>
      </c>
      <c r="HJ65" s="68">
        <f>IF(OR($U65=0,$F65&lt;&gt;2),0,IF(HI65&gt;0,HI65,IF(ROUND(DK65*$J65,6)&lt;ROUND($M65,6),DK65,0)))</f>
        <v/>
      </c>
      <c r="HK65" s="68">
        <f>IF(OR($U65=0,$F65&lt;&gt;2),0,IF(HJ65&gt;0,HJ65,IF(ROUND(DL65*$J65,6)&lt;ROUND($M65,6),DL65,0)))</f>
        <v/>
      </c>
      <c r="HL65" s="68">
        <f>IF(OR($U65=0,$F65&lt;&gt;2),0,IF(HK65&gt;0,HK65,IF(ROUND(DM65*$J65,6)&lt;ROUND($M65,6),DM65,0)))</f>
        <v/>
      </c>
      <c r="HM65" s="68">
        <f>IF(OR($U65=0,$F65&lt;&gt;2),0,IF(HL65&gt;0,HL65,IF(ROUND(DN65*$J65,6)&lt;ROUND($M65,6),DN65,0)))</f>
        <v/>
      </c>
      <c r="HN65" s="68">
        <f>IF(OR($U65=0,$F65&lt;&gt;2),0,IF(HM65&gt;0,HM65,IF(ROUND(DO65*$J65,6)&lt;ROUND($M65,6),DO65,0)))</f>
        <v/>
      </c>
      <c r="HO65" s="68">
        <f>IF(OR($U65=0,$F65&lt;&gt;2),0,IF(HN65&gt;0,HN65,IF(ROUND(DP65*$J65,6)&lt;ROUND($M65,6),DP65,0)))</f>
        <v/>
      </c>
      <c r="HP65" s="68">
        <f>IF(OR($U65=0,$F65&lt;&gt;2),0,IF(HO65&gt;0,HO65,IF(ROUND(DQ65*$J65,6)&lt;ROUND($M65,6),DQ65,0)))</f>
        <v/>
      </c>
      <c r="HQ65" s="68">
        <f>IF(OR($U65=0,$F65&lt;&gt;2),0,IF(HP65&gt;0,HP65,IF(ROUND(DR65*$J65,6)&lt;ROUND($M65,6),DR65,0)))</f>
        <v/>
      </c>
      <c r="HR65" s="68">
        <f>IF(OR($U65=0,$F65&lt;&gt;2),0,IF(HQ65&gt;0,HQ65,IF(ROUND(DS65*$J65,6)&lt;ROUND($M65,6),DS65,0)))</f>
        <v/>
      </c>
      <c r="HS65" s="68">
        <f>IF(OR($U65=0,$F65&lt;&gt;2),0,IF(HR65&gt;0,HR65,IF(ROUND(DT65*$J65,6)&lt;ROUND($M65,6),DT65,0)))</f>
        <v/>
      </c>
      <c r="HT65" s="68">
        <f>IF(OR($U65=0,$F65&lt;&gt;2),0,IF(HS65&gt;0,HS65,IF(ROUND(DU65*$J65,6)&lt;ROUND($M65,6),DU65,0)))</f>
        <v/>
      </c>
      <c r="HU65" s="68">
        <f>IF(OR($U65=0,$F65&lt;&gt;2),0,IF(HT65&gt;0,HT65,IF(ROUND(DV65*$J65,6)&lt;ROUND($M65,6),DV65,0)))</f>
        <v/>
      </c>
      <c r="HV65" s="68">
        <f>IF(OR($U65=0,$F65&lt;&gt;2),0,IF(HU65&gt;0,HU65,IF(ROUND(DW65*$J65,6)&lt;ROUND($M65,6),DW65,0)))</f>
        <v/>
      </c>
      <c r="HW65" s="68">
        <f>IF(OR($U65=0,$F65&lt;&gt;2),0,IF(HV65&gt;0,HV65,IF(ROUND(DX65*$J65,6)&lt;ROUND($M65,6),DX65,0)))</f>
        <v/>
      </c>
      <c r="HX65" s="68">
        <f>IF(OR($U65=0,$F65&lt;&gt;2),0,IF(HW65&gt;0,HW65,IF(ROUND(DY65*$J65,6)&lt;ROUND($M65,6),DY65,0)))</f>
        <v/>
      </c>
      <c r="HY65" s="68">
        <f>IF(OR($U65=0,$F65&lt;&gt;2),0,IF(HX65&gt;0,HX65,IF(ROUND(DZ65*$J65,6)&lt;ROUND($M65,6),DZ65,0)))</f>
        <v/>
      </c>
      <c r="HZ65" s="68">
        <f>IF(OR($U65=0,$F65&lt;&gt;2),0,IF(HY65&gt;0,HY65,IF(ROUND(EA65*$J65,6)&lt;ROUND($M65,6),EA65,0)))</f>
        <v/>
      </c>
      <c r="IA65" s="68">
        <f>IF(OR($U65=0,$F65&lt;&gt;2),0,IF(HZ65&gt;0,HZ65,IF(ROUND(EB65*$J65,6)&lt;ROUND($M65,6),EB65,0)))</f>
        <v/>
      </c>
      <c r="IB65" s="68">
        <f>IF(OR($U65=0,$F65&lt;&gt;2),0,IF(IA65&gt;0,IA65,IF(ROUND(EC65*$J65,6)&lt;ROUND($M65,6),EC65,0)))</f>
        <v/>
      </c>
      <c r="IC65" s="68">
        <f>IF(OR($U65=0,$F65&lt;&gt;2),0,IF(IB65&gt;0,IB65,IF(ROUND(ED65*$J65,6)&lt;ROUND($M65,6),ED65,0)))</f>
        <v/>
      </c>
      <c r="ID65" s="68">
        <f>IF(OR($U65=0,$F65&lt;&gt;2),0,IF(IC65&gt;0,IC65,IF(ROUND(EE65*$J65,6)&lt;ROUND($M65,6),EE65,0)))</f>
        <v/>
      </c>
      <c r="IE65" s="68">
        <f>IF(OR($U65=0,$F65&lt;&gt;2),0,IF(ID65&gt;0,ID65,IF(ROUND(EF65*$J65,6)&lt;ROUND($M65,6),EF65,0)))</f>
        <v/>
      </c>
      <c r="IF65" s="68">
        <f>IF(OR($U65=0,$F65&lt;&gt;2),0,IF(IE65&gt;0,IE65,IF(ROUND(EG65*$J65,6)&lt;ROUND($M65,6),EG65,0)))</f>
        <v/>
      </c>
      <c r="IG65" s="68">
        <f>IF(OR($U65=0,$F65&lt;&gt;2),0,IF(IF65&gt;0,IF65,IF(ROUND(EH65*$J65,6)&lt;ROUND($M65,6),EH65,0)))</f>
        <v/>
      </c>
      <c r="IH65" s="68">
        <f>IF(OR($U65=0,$F65&lt;&gt;2),0,IF(IG65&gt;0,IG65,IF(ROUND(EI65*$J65,6)&lt;ROUND($M65,6),EI65,0)))</f>
        <v/>
      </c>
      <c r="II65" s="68">
        <f>IF(OR($U65=0,$F65&lt;&gt;2),0,IF(IH65&gt;0,IH65,IF(ROUND(EJ65*$J65,6)&lt;ROUND($M65,6),EJ65,0)))</f>
        <v/>
      </c>
      <c r="IJ65" s="68">
        <f>IF(OR($U65=0,$F65&lt;&gt;2),0,IF(II65&gt;0,II65,IF(ROUND(EK65*$J65,6)&lt;ROUND($M65,6),EK65,0)))</f>
        <v/>
      </c>
      <c r="IK65" s="68">
        <f>IF(OR($U65=0,$F65&lt;&gt;2),0,IF(IJ65&gt;0,IJ65,IF(ROUND(EL65*$J65,6)&lt;ROUND($M65,6),EL65,0)))</f>
        <v/>
      </c>
      <c r="IL65" s="68">
        <f>IF(OR($U65=0,$F65&lt;&gt;2),0,IF(IK65&gt;0,IK65,IF(ROUND(EM65*$J65,6)&lt;ROUND($M65,6),EM65,0)))</f>
        <v/>
      </c>
      <c r="IM65" s="68">
        <f>IF(OR($U65=0,$F65&lt;&gt;2),0,IF(IL65&gt;0,IL65,IF(ROUND(EN65*$J65,6)&lt;ROUND($M65,6),EN65,0)))</f>
        <v/>
      </c>
      <c r="IN65" s="68">
        <f>IF(OR($U65=0,$F65&lt;&gt;2),0,IF(IM65&gt;0,IM65,IF(ROUND(EO65*$J65,6)&lt;ROUND($M65,6),EO65,0)))</f>
        <v/>
      </c>
    </row>
    <row r="66">
      <c r="A66" s="68" t="n">
        <v>61</v>
      </c>
      <c r="B66" s="68">
        <f>IF(OR(TRIM('固定資産台帳'!$B66)&lt;&gt;"",'固定資産台帳'!$E66&lt;&gt;"",'固定資産台帳'!$G66&lt;&gt;"",'固定資産台帳'!$H66&lt;&gt;""),1,0)</f>
        <v/>
      </c>
      <c r="C66" s="68">
        <f>IF(ISNUMBER('固定資産台帳'!$G66),MAX(ROUND('固定資産台帳'!$G66,0),0),0)</f>
        <v/>
      </c>
      <c r="D66" s="84">
        <f>IF(ISNUMBER('固定資産台帳'!$E66),INT('固定資産台帳'!$E66),0)</f>
        <v/>
      </c>
      <c r="E66" s="84">
        <f>IF(ISNUMBER('固定資産台帳'!$F66),INT('固定資産台帳'!$F66),$D66)</f>
        <v/>
      </c>
      <c r="F66" s="68">
        <f>IF('固定資産台帳'!$H66="定額法",1,IF(OR('固定資産台帳'!$H66="定率法",'固定資産台帳'!$H66="定率法（200%）",'固定資産台帳'!$H66="定率法（250%）"),2,IF('固定資産台帳'!$H66="一括償却（3年）",3,IF('固定資産台帳'!$H66="少額特例",4,0))))</f>
        <v/>
      </c>
      <c r="G66" s="68">
        <f>IF('固定資産台帳'!$H66="定率法（250%）",250,IF('固定資産台帳'!$H66="定率法（200%）",200,IF($D66&gt;=DATE(2012,4,1),200,250)))</f>
        <v/>
      </c>
      <c r="H66" s="68">
        <f>IF(ISNUMBER('固定資産台帳'!$I66),IF(AND('固定資産台帳'!$I66&gt;=2,'固定資産台帳'!$I66&lt;=100,'固定資産台帳'!$I66=INT('固定資産台帳'!$I66)),'固定資産台帳'!$I66,0),0)</f>
        <v/>
      </c>
      <c r="I66" s="68">
        <f>IF('固定資産台帳'!$C66="無形固定資産",0,1)</f>
        <v/>
      </c>
      <c r="J66" s="68">
        <f>IF(OR($H66=0,$F66=0,$F66&gt;2),0,IF($F66=1,INDEX('償却率表'!$B$6:$B$104,$H66-1),IF($G66=200,INDEX('償却率表'!$C$6:$C$104,$H66-1),INDEX('償却率表'!$F$6:$F$104,$H66-1))))</f>
        <v/>
      </c>
      <c r="K66" s="68">
        <f>IF(AND($F66=2,$H66&gt;0),IF($G66=200,INDEX('償却率表'!$D$6:$D$104,$H66-1),INDEX('償却率表'!$G$6:$G$104,$H66-1)),0)</f>
        <v/>
      </c>
      <c r="L66" s="68">
        <f>IF(AND($F66=2,$H66&gt;0),IF($G66=200,INDEX('償却率表'!$E$6:$E$104,$H66-1),INDEX('償却率表'!$H$6:$H$104,$H66-1)),0)</f>
        <v/>
      </c>
      <c r="M66" s="68">
        <f>$C66*$L66</f>
        <v/>
      </c>
      <c r="N66" s="68">
        <f>IF($B$1=1,1,IF('固定資産台帳'!$J66="",1,IF(ISNUMBER('固定資産台帳'!$J66),IF(AND('固定資産台帳'!$J66&gt;0,'固定資産台帳'!$J66&lt;=1),'固定資産台帳'!$J66,0),0)))</f>
        <v/>
      </c>
      <c r="O66" s="68">
        <f>IF($E66=0,0,YEAR($E66)-IF(MONTH($E66)&lt;$B$2,1,0))</f>
        <v/>
      </c>
      <c r="P66" s="68">
        <f>IF($E66=0,0,12-MOD(MONTH($E66)-$B$2,12))</f>
        <v/>
      </c>
      <c r="Q66" s="84">
        <f>IF(ISNUMBER('固定資産台帳'!$K66),INT('固定資産台帳'!$K66),0)</f>
        <v/>
      </c>
      <c r="R66" s="68">
        <f>IF(OR($Q66=0,$E66=0),999,YEAR($Q66)-IF(MONTH($Q66)&lt;$B$2,1,0)-$O66)</f>
        <v/>
      </c>
      <c r="S66" s="68">
        <f>IF($R66=999,0,MOD(MONTH($Q66)-$B$2,12)+1-IF($R66=0,12-$P66,0))</f>
        <v/>
      </c>
      <c r="T66" s="68">
        <f>IF($B66=0,0,IF($C66&lt;=0,1,IF($D66=0,2,IF($F66=0,3,IF(AND($F66&lt;=2,$H66=0),4,IF(AND($F66&lt;=2,$D66&lt;DATE(2007,4,1)),5,IF($E66&lt;$D66,6,IF(AND($Q66&gt;0,$Q66&lt;$E66),7,IF($N66=0,8,IF($B$3=0,9,0))))))))))</f>
        <v/>
      </c>
      <c r="U66" s="68">
        <f>IF(AND($B66=1,$T66=0),1,0)</f>
        <v/>
      </c>
      <c r="V66" s="68">
        <f>$B$3-$O66</f>
        <v/>
      </c>
      <c r="W66" s="68">
        <f>IF(AND($U66=1,$V66&gt;=0),1,0)</f>
        <v/>
      </c>
      <c r="X66" s="68">
        <f>IF($W66=0,0,IF($V66=0,$C66,INDEX($AS66:$EP66,MIN($V66,102))))</f>
        <v/>
      </c>
      <c r="Y66" s="68">
        <f>IF($W66=0,0,INDEX($AS66:$EP66,MIN($V66,101)+1))</f>
        <v/>
      </c>
      <c r="Z66" s="68">
        <f>$X66-$Y66</f>
        <v/>
      </c>
      <c r="AA66" s="68">
        <f>IF(AND($W66=1,$F66=2,$V66&gt;=1),INDEX($ER66:$IN66,MIN($V66,101)),0)</f>
        <v/>
      </c>
      <c r="AB66" s="68">
        <f>IF(OR($W66=0,$F66&gt;2,$Z66=0),0,IF($V66=0,IF($R66=0,$S66,$P66),IF($V66=$R66,$S66,12)))</f>
        <v/>
      </c>
      <c r="AC66" s="68">
        <f>IF($W66=0,0,INT(ROUND($Z66*$N66,6)+$B$4))</f>
        <v/>
      </c>
      <c r="AD66" s="68">
        <f>IF(AND($W66=1,$F66&lt;=2,$V66=$R66),1,0)</f>
        <v/>
      </c>
      <c r="AE66" s="68">
        <f>IF(AND($W66=1,$F66&lt;=2,$V66&gt;$R66),1,0)</f>
        <v/>
      </c>
      <c r="AF66" s="68">
        <f>IF(AND($W66=1,$AE66=0,OR($Z66&gt;0,$AD66=1)),1,0)</f>
        <v/>
      </c>
      <c r="AG66" s="68">
        <f>IF($AF66=1,SUM($AF$6:$AF66),0)</f>
        <v/>
      </c>
      <c r="AH66" s="68">
        <f>IF($T66=0,"",CHOOSE($T66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66" s="68">
        <f>IF(AND($F66=2,OR('固定資産台帳'!$C66="建物",'固定資産台帳'!$C66="無形固定資産",AND(OR('固定資産台帳'!$C66="建物附属設備",'固定資産台帳'!$C66="構築物"),$D66&gt;=DATE(2016,4,1)))),"この資産は定額法だけです（定率法は使えません）。","")&amp;IF(AND($F66=3,$C66&gt;=200000),"一括償却は20万円未満の資産だけです。","")&amp;IF(AND($F66=3,$B$1=0,$C66&lt;100000),"10万円未満は一括償却にせず、全額をその年の経費にします。","")&amp;IF(AND($F66=4,$C66&lt;100000),"10万円未満は少額特例ではなく、全額をその年の経費にします。","")&amp;IF(AND($F66=4,$D66&lt;DATE(2026,4,1),$C66&gt;=300000),"2026年3月31日までの取得で少額特例が使えるのは30万円未満です。","")&amp;IF(AND($F66=4,$D66&gt;=DATE(2026,4,1),$C66&gt;=400000),"少額特例は40万円未満の資産だけです。","")&amp;IF(AND($F66=4,OR($D66&lt;DATE(2006,4,1),$D66&gt;DATE(2029,3,31))),"少額特例は2006年4月1日〜2029年3月31日に取得した資産だけです。","")&amp;IF(AND($F66=2,$G66=250,$D66&gt;DATE(2012,12,31)),"250%定率法は2012年12月31日までの取得だけです。","")</f>
        <v/>
      </c>
      <c r="AJ66" s="68">
        <f>IF(AND($F66=2,'固定資産台帳'!$H66="定率法（200%）",$D66&lt;DATE(2012,4,1)),"2012年3月31日までの取得に200%を使うのは、経過措置の届出をした場合です。","")&amp;IF(AND($F66=2,'固定資産台帳'!$H66="定率法（250%）",$D66&gt;=DATE(2012,4,1),$D66&lt;=DATE(2012,12,31)),"2012年4〜12月の取得に250%を使うのは、経過措置を選んだ場合です。","")</f>
        <v/>
      </c>
      <c r="AK66" s="68">
        <f>IF($U66=0,"",IF($V66&lt;0,"表示している年より後に使い始める資産です。",IF($AE66=1,"売却・除却済みです。",IF($AD66=1,"この年に売却・除却。期末の帳簿価額 "&amp;TEXT($Y66,"#,##0")&amp;"円を帳簿から外します。",IF($F66=4,IF($V66=0,"少額特例：この年に全額を経費にします。","少額特例で経費にした資産です。"),IF($F66=3,IF($V66&gt;2,"一括償却は終わっています。","一括償却 "&amp;($V66+1)&amp;"年目（3年のうち）。"),IF($Z66=0,"償却済み（帳簿価額 "&amp;TEXT($Y66,"#,##0")&amp;"円）。",IF($AA66&gt;0,"改定償却率で計算（改定取得価額 "&amp;TEXT($AA66,"#,##0")&amp;"円）。",IF($V66=0,"この年に使い始め（"&amp;$AB66&amp;"か月分）。","")))))))))</f>
        <v/>
      </c>
      <c r="AL66" s="68">
        <f>IF(AND($U66=1,$F66=4,$V66=0),$C66,0)</f>
        <v/>
      </c>
      <c r="AM66" s="68">
        <f>IF($F66=2,INT(ROUND($M66,6)+$B$4),0)</f>
        <v/>
      </c>
      <c r="AN66" s="68">
        <f>IF($W66=0,0,IF($F66=2,IF($AA66&gt;0,$AA66,$X66),$C66))</f>
        <v/>
      </c>
      <c r="AO66" s="68">
        <f>IF($W66=0,"",IF($F66=3,"1/3",IF($F66=4,"―",IF($AA66&gt;0,$K66,$J66))))</f>
        <v/>
      </c>
      <c r="AP66" s="68" t="n"/>
      <c r="AQ66" s="68" t="n"/>
      <c r="AR66" s="68" t="n"/>
      <c r="AS66" s="68">
        <f>IF($U66=0,0,IF($F66=4,0,IF($F66=3,MAX($C66-INT(ROUND($C66/3,6)+$B$4),0),$C66-MIN(INT(ROUND($C66*$J66*IF($R66=0,$S66,$P66)/12,6)+$B$4),MAX($C66-$I66,0)))))</f>
        <v/>
      </c>
      <c r="AT66" s="68">
        <f>IF($U66=0,0,IF($F66=4,0,IF($F66=3,AS66-MIN(INT(ROUND($C66/3,6)+$B$4),AS66),IF(OR(1&gt;$R66,AS66&lt;=$I66),AS66,AS66-MIN(INT(ROUND(IF($F66=1,$C66*$J66,IF(ER66&gt;0,ER66*$K66,AS66*$J66))*IF(1=$R66,$S66,12)/12,6)+$B$4),AS66-$I66)))))</f>
        <v/>
      </c>
      <c r="AU66" s="68">
        <f>IF($U66=0,0,IF($F66=4,0,IF($F66=3,0,IF(OR(2&gt;$R66,AT66&lt;=$I66),AT66,AT66-MIN(INT(ROUND(IF($F66=1,$C66*$J66,IF(ES66&gt;0,ES66*$K66,AT66*$J66))*IF(2=$R66,$S66,12)/12,6)+$B$4),AT66-$I66)))))</f>
        <v/>
      </c>
      <c r="AV66" s="68">
        <f>IF($U66=0,0,IF($F66=4,0,IF($F66=3,0,IF(OR(3&gt;$R66,AU66&lt;=$I66),AU66,AU66-MIN(INT(ROUND(IF($F66=1,$C66*$J66,IF(ET66&gt;0,ET66*$K66,AU66*$J66))*IF(3=$R66,$S66,12)/12,6)+$B$4),AU66-$I66)))))</f>
        <v/>
      </c>
      <c r="AW66" s="68">
        <f>IF($U66=0,0,IF($F66=4,0,IF($F66=3,0,IF(OR(4&gt;$R66,AV66&lt;=$I66),AV66,AV66-MIN(INT(ROUND(IF($F66=1,$C66*$J66,IF(EU66&gt;0,EU66*$K66,AV66*$J66))*IF(4=$R66,$S66,12)/12,6)+$B$4),AV66-$I66)))))</f>
        <v/>
      </c>
      <c r="AX66" s="68">
        <f>IF($U66=0,0,IF($F66=4,0,IF($F66=3,0,IF(OR(5&gt;$R66,AW66&lt;=$I66),AW66,AW66-MIN(INT(ROUND(IF($F66=1,$C66*$J66,IF(EV66&gt;0,EV66*$K66,AW66*$J66))*IF(5=$R66,$S66,12)/12,6)+$B$4),AW66-$I66)))))</f>
        <v/>
      </c>
      <c r="AY66" s="68">
        <f>IF($U66=0,0,IF($F66=4,0,IF($F66=3,0,IF(OR(6&gt;$R66,AX66&lt;=$I66),AX66,AX66-MIN(INT(ROUND(IF($F66=1,$C66*$J66,IF(EW66&gt;0,EW66*$K66,AX66*$J66))*IF(6=$R66,$S66,12)/12,6)+$B$4),AX66-$I66)))))</f>
        <v/>
      </c>
      <c r="AZ66" s="68">
        <f>IF($U66=0,0,IF($F66=4,0,IF($F66=3,0,IF(OR(7&gt;$R66,AY66&lt;=$I66),AY66,AY66-MIN(INT(ROUND(IF($F66=1,$C66*$J66,IF(EX66&gt;0,EX66*$K66,AY66*$J66))*IF(7=$R66,$S66,12)/12,6)+$B$4),AY66-$I66)))))</f>
        <v/>
      </c>
      <c r="BA66" s="68">
        <f>IF($U66=0,0,IF($F66=4,0,IF($F66=3,0,IF(OR(8&gt;$R66,AZ66&lt;=$I66),AZ66,AZ66-MIN(INT(ROUND(IF($F66=1,$C66*$J66,IF(EY66&gt;0,EY66*$K66,AZ66*$J66))*IF(8=$R66,$S66,12)/12,6)+$B$4),AZ66-$I66)))))</f>
        <v/>
      </c>
      <c r="BB66" s="68">
        <f>IF($U66=0,0,IF($F66=4,0,IF($F66=3,0,IF(OR(9&gt;$R66,BA66&lt;=$I66),BA66,BA66-MIN(INT(ROUND(IF($F66=1,$C66*$J66,IF(EZ66&gt;0,EZ66*$K66,BA66*$J66))*IF(9=$R66,$S66,12)/12,6)+$B$4),BA66-$I66)))))</f>
        <v/>
      </c>
      <c r="BC66" s="68">
        <f>IF($U66=0,0,IF($F66=4,0,IF($F66=3,0,IF(OR(10&gt;$R66,BB66&lt;=$I66),BB66,BB66-MIN(INT(ROUND(IF($F66=1,$C66*$J66,IF(FA66&gt;0,FA66*$K66,BB66*$J66))*IF(10=$R66,$S66,12)/12,6)+$B$4),BB66-$I66)))))</f>
        <v/>
      </c>
      <c r="BD66" s="68">
        <f>IF($U66=0,0,IF($F66=4,0,IF($F66=3,0,IF(OR(11&gt;$R66,BC66&lt;=$I66),BC66,BC66-MIN(INT(ROUND(IF($F66=1,$C66*$J66,IF(FB66&gt;0,FB66*$K66,BC66*$J66))*IF(11=$R66,$S66,12)/12,6)+$B$4),BC66-$I66)))))</f>
        <v/>
      </c>
      <c r="BE66" s="68">
        <f>IF($U66=0,0,IF($F66=4,0,IF($F66=3,0,IF(OR(12&gt;$R66,BD66&lt;=$I66),BD66,BD66-MIN(INT(ROUND(IF($F66=1,$C66*$J66,IF(FC66&gt;0,FC66*$K66,BD66*$J66))*IF(12=$R66,$S66,12)/12,6)+$B$4),BD66-$I66)))))</f>
        <v/>
      </c>
      <c r="BF66" s="68">
        <f>IF($U66=0,0,IF($F66=4,0,IF($F66=3,0,IF(OR(13&gt;$R66,BE66&lt;=$I66),BE66,BE66-MIN(INT(ROUND(IF($F66=1,$C66*$J66,IF(FD66&gt;0,FD66*$K66,BE66*$J66))*IF(13=$R66,$S66,12)/12,6)+$B$4),BE66-$I66)))))</f>
        <v/>
      </c>
      <c r="BG66" s="68">
        <f>IF($U66=0,0,IF($F66=4,0,IF($F66=3,0,IF(OR(14&gt;$R66,BF66&lt;=$I66),BF66,BF66-MIN(INT(ROUND(IF($F66=1,$C66*$J66,IF(FE66&gt;0,FE66*$K66,BF66*$J66))*IF(14=$R66,$S66,12)/12,6)+$B$4),BF66-$I66)))))</f>
        <v/>
      </c>
      <c r="BH66" s="68">
        <f>IF($U66=0,0,IF($F66=4,0,IF($F66=3,0,IF(OR(15&gt;$R66,BG66&lt;=$I66),BG66,BG66-MIN(INT(ROUND(IF($F66=1,$C66*$J66,IF(FF66&gt;0,FF66*$K66,BG66*$J66))*IF(15=$R66,$S66,12)/12,6)+$B$4),BG66-$I66)))))</f>
        <v/>
      </c>
      <c r="BI66" s="68">
        <f>IF($U66=0,0,IF($F66=4,0,IF($F66=3,0,IF(OR(16&gt;$R66,BH66&lt;=$I66),BH66,BH66-MIN(INT(ROUND(IF($F66=1,$C66*$J66,IF(FG66&gt;0,FG66*$K66,BH66*$J66))*IF(16=$R66,$S66,12)/12,6)+$B$4),BH66-$I66)))))</f>
        <v/>
      </c>
      <c r="BJ66" s="68">
        <f>IF($U66=0,0,IF($F66=4,0,IF($F66=3,0,IF(OR(17&gt;$R66,BI66&lt;=$I66),BI66,BI66-MIN(INT(ROUND(IF($F66=1,$C66*$J66,IF(FH66&gt;0,FH66*$K66,BI66*$J66))*IF(17=$R66,$S66,12)/12,6)+$B$4),BI66-$I66)))))</f>
        <v/>
      </c>
      <c r="BK66" s="68">
        <f>IF($U66=0,0,IF($F66=4,0,IF($F66=3,0,IF(OR(18&gt;$R66,BJ66&lt;=$I66),BJ66,BJ66-MIN(INT(ROUND(IF($F66=1,$C66*$J66,IF(FI66&gt;0,FI66*$K66,BJ66*$J66))*IF(18=$R66,$S66,12)/12,6)+$B$4),BJ66-$I66)))))</f>
        <v/>
      </c>
      <c r="BL66" s="68">
        <f>IF($U66=0,0,IF($F66=4,0,IF($F66=3,0,IF(OR(19&gt;$R66,BK66&lt;=$I66),BK66,BK66-MIN(INT(ROUND(IF($F66=1,$C66*$J66,IF(FJ66&gt;0,FJ66*$K66,BK66*$J66))*IF(19=$R66,$S66,12)/12,6)+$B$4),BK66-$I66)))))</f>
        <v/>
      </c>
      <c r="BM66" s="68">
        <f>IF($U66=0,0,IF($F66=4,0,IF($F66=3,0,IF(OR(20&gt;$R66,BL66&lt;=$I66),BL66,BL66-MIN(INT(ROUND(IF($F66=1,$C66*$J66,IF(FK66&gt;0,FK66*$K66,BL66*$J66))*IF(20=$R66,$S66,12)/12,6)+$B$4),BL66-$I66)))))</f>
        <v/>
      </c>
      <c r="BN66" s="68">
        <f>IF($U66=0,0,IF($F66=4,0,IF($F66=3,0,IF(OR(21&gt;$R66,BM66&lt;=$I66),BM66,BM66-MIN(INT(ROUND(IF($F66=1,$C66*$J66,IF(FL66&gt;0,FL66*$K66,BM66*$J66))*IF(21=$R66,$S66,12)/12,6)+$B$4),BM66-$I66)))))</f>
        <v/>
      </c>
      <c r="BO66" s="68">
        <f>IF($U66=0,0,IF($F66=4,0,IF($F66=3,0,IF(OR(22&gt;$R66,BN66&lt;=$I66),BN66,BN66-MIN(INT(ROUND(IF($F66=1,$C66*$J66,IF(FM66&gt;0,FM66*$K66,BN66*$J66))*IF(22=$R66,$S66,12)/12,6)+$B$4),BN66-$I66)))))</f>
        <v/>
      </c>
      <c r="BP66" s="68">
        <f>IF($U66=0,0,IF($F66=4,0,IF($F66=3,0,IF(OR(23&gt;$R66,BO66&lt;=$I66),BO66,BO66-MIN(INT(ROUND(IF($F66=1,$C66*$J66,IF(FN66&gt;0,FN66*$K66,BO66*$J66))*IF(23=$R66,$S66,12)/12,6)+$B$4),BO66-$I66)))))</f>
        <v/>
      </c>
      <c r="BQ66" s="68">
        <f>IF($U66=0,0,IF($F66=4,0,IF($F66=3,0,IF(OR(24&gt;$R66,BP66&lt;=$I66),BP66,BP66-MIN(INT(ROUND(IF($F66=1,$C66*$J66,IF(FO66&gt;0,FO66*$K66,BP66*$J66))*IF(24=$R66,$S66,12)/12,6)+$B$4),BP66-$I66)))))</f>
        <v/>
      </c>
      <c r="BR66" s="68">
        <f>IF($U66=0,0,IF($F66=4,0,IF($F66=3,0,IF(OR(25&gt;$R66,BQ66&lt;=$I66),BQ66,BQ66-MIN(INT(ROUND(IF($F66=1,$C66*$J66,IF(FP66&gt;0,FP66*$K66,BQ66*$J66))*IF(25=$R66,$S66,12)/12,6)+$B$4),BQ66-$I66)))))</f>
        <v/>
      </c>
      <c r="BS66" s="68">
        <f>IF($U66=0,0,IF($F66=4,0,IF($F66=3,0,IF(OR(26&gt;$R66,BR66&lt;=$I66),BR66,BR66-MIN(INT(ROUND(IF($F66=1,$C66*$J66,IF(FQ66&gt;0,FQ66*$K66,BR66*$J66))*IF(26=$R66,$S66,12)/12,6)+$B$4),BR66-$I66)))))</f>
        <v/>
      </c>
      <c r="BT66" s="68">
        <f>IF($U66=0,0,IF($F66=4,0,IF($F66=3,0,IF(OR(27&gt;$R66,BS66&lt;=$I66),BS66,BS66-MIN(INT(ROUND(IF($F66=1,$C66*$J66,IF(FR66&gt;0,FR66*$K66,BS66*$J66))*IF(27=$R66,$S66,12)/12,6)+$B$4),BS66-$I66)))))</f>
        <v/>
      </c>
      <c r="BU66" s="68">
        <f>IF($U66=0,0,IF($F66=4,0,IF($F66=3,0,IF(OR(28&gt;$R66,BT66&lt;=$I66),BT66,BT66-MIN(INT(ROUND(IF($F66=1,$C66*$J66,IF(FS66&gt;0,FS66*$K66,BT66*$J66))*IF(28=$R66,$S66,12)/12,6)+$B$4),BT66-$I66)))))</f>
        <v/>
      </c>
      <c r="BV66" s="68">
        <f>IF($U66=0,0,IF($F66=4,0,IF($F66=3,0,IF(OR(29&gt;$R66,BU66&lt;=$I66),BU66,BU66-MIN(INT(ROUND(IF($F66=1,$C66*$J66,IF(FT66&gt;0,FT66*$K66,BU66*$J66))*IF(29=$R66,$S66,12)/12,6)+$B$4),BU66-$I66)))))</f>
        <v/>
      </c>
      <c r="BW66" s="68">
        <f>IF($U66=0,0,IF($F66=4,0,IF($F66=3,0,IF(OR(30&gt;$R66,BV66&lt;=$I66),BV66,BV66-MIN(INT(ROUND(IF($F66=1,$C66*$J66,IF(FU66&gt;0,FU66*$K66,BV66*$J66))*IF(30=$R66,$S66,12)/12,6)+$B$4),BV66-$I66)))))</f>
        <v/>
      </c>
      <c r="BX66" s="68">
        <f>IF($U66=0,0,IF($F66=4,0,IF($F66=3,0,IF(OR(31&gt;$R66,BW66&lt;=$I66),BW66,BW66-MIN(INT(ROUND(IF($F66=1,$C66*$J66,IF(FV66&gt;0,FV66*$K66,BW66*$J66))*IF(31=$R66,$S66,12)/12,6)+$B$4),BW66-$I66)))))</f>
        <v/>
      </c>
      <c r="BY66" s="68">
        <f>IF($U66=0,0,IF($F66=4,0,IF($F66=3,0,IF(OR(32&gt;$R66,BX66&lt;=$I66),BX66,BX66-MIN(INT(ROUND(IF($F66=1,$C66*$J66,IF(FW66&gt;0,FW66*$K66,BX66*$J66))*IF(32=$R66,$S66,12)/12,6)+$B$4),BX66-$I66)))))</f>
        <v/>
      </c>
      <c r="BZ66" s="68">
        <f>IF($U66=0,0,IF($F66=4,0,IF($F66=3,0,IF(OR(33&gt;$R66,BY66&lt;=$I66),BY66,BY66-MIN(INT(ROUND(IF($F66=1,$C66*$J66,IF(FX66&gt;0,FX66*$K66,BY66*$J66))*IF(33=$R66,$S66,12)/12,6)+$B$4),BY66-$I66)))))</f>
        <v/>
      </c>
      <c r="CA66" s="68">
        <f>IF($U66=0,0,IF($F66=4,0,IF($F66=3,0,IF(OR(34&gt;$R66,BZ66&lt;=$I66),BZ66,BZ66-MIN(INT(ROUND(IF($F66=1,$C66*$J66,IF(FY66&gt;0,FY66*$K66,BZ66*$J66))*IF(34=$R66,$S66,12)/12,6)+$B$4),BZ66-$I66)))))</f>
        <v/>
      </c>
      <c r="CB66" s="68">
        <f>IF($U66=0,0,IF($F66=4,0,IF($F66=3,0,IF(OR(35&gt;$R66,CA66&lt;=$I66),CA66,CA66-MIN(INT(ROUND(IF($F66=1,$C66*$J66,IF(FZ66&gt;0,FZ66*$K66,CA66*$J66))*IF(35=$R66,$S66,12)/12,6)+$B$4),CA66-$I66)))))</f>
        <v/>
      </c>
      <c r="CC66" s="68">
        <f>IF($U66=0,0,IF($F66=4,0,IF($F66=3,0,IF(OR(36&gt;$R66,CB66&lt;=$I66),CB66,CB66-MIN(INT(ROUND(IF($F66=1,$C66*$J66,IF(GA66&gt;0,GA66*$K66,CB66*$J66))*IF(36=$R66,$S66,12)/12,6)+$B$4),CB66-$I66)))))</f>
        <v/>
      </c>
      <c r="CD66" s="68">
        <f>IF($U66=0,0,IF($F66=4,0,IF($F66=3,0,IF(OR(37&gt;$R66,CC66&lt;=$I66),CC66,CC66-MIN(INT(ROUND(IF($F66=1,$C66*$J66,IF(GB66&gt;0,GB66*$K66,CC66*$J66))*IF(37=$R66,$S66,12)/12,6)+$B$4),CC66-$I66)))))</f>
        <v/>
      </c>
      <c r="CE66" s="68">
        <f>IF($U66=0,0,IF($F66=4,0,IF($F66=3,0,IF(OR(38&gt;$R66,CD66&lt;=$I66),CD66,CD66-MIN(INT(ROUND(IF($F66=1,$C66*$J66,IF(GC66&gt;0,GC66*$K66,CD66*$J66))*IF(38=$R66,$S66,12)/12,6)+$B$4),CD66-$I66)))))</f>
        <v/>
      </c>
      <c r="CF66" s="68">
        <f>IF($U66=0,0,IF($F66=4,0,IF($F66=3,0,IF(OR(39&gt;$R66,CE66&lt;=$I66),CE66,CE66-MIN(INT(ROUND(IF($F66=1,$C66*$J66,IF(GD66&gt;0,GD66*$K66,CE66*$J66))*IF(39=$R66,$S66,12)/12,6)+$B$4),CE66-$I66)))))</f>
        <v/>
      </c>
      <c r="CG66" s="68">
        <f>IF($U66=0,0,IF($F66=4,0,IF($F66=3,0,IF(OR(40&gt;$R66,CF66&lt;=$I66),CF66,CF66-MIN(INT(ROUND(IF($F66=1,$C66*$J66,IF(GE66&gt;0,GE66*$K66,CF66*$J66))*IF(40=$R66,$S66,12)/12,6)+$B$4),CF66-$I66)))))</f>
        <v/>
      </c>
      <c r="CH66" s="68">
        <f>IF($U66=0,0,IF($F66=4,0,IF($F66=3,0,IF(OR(41&gt;$R66,CG66&lt;=$I66),CG66,CG66-MIN(INT(ROUND(IF($F66=1,$C66*$J66,IF(GF66&gt;0,GF66*$K66,CG66*$J66))*IF(41=$R66,$S66,12)/12,6)+$B$4),CG66-$I66)))))</f>
        <v/>
      </c>
      <c r="CI66" s="68">
        <f>IF($U66=0,0,IF($F66=4,0,IF($F66=3,0,IF(OR(42&gt;$R66,CH66&lt;=$I66),CH66,CH66-MIN(INT(ROUND(IF($F66=1,$C66*$J66,IF(GG66&gt;0,GG66*$K66,CH66*$J66))*IF(42=$R66,$S66,12)/12,6)+$B$4),CH66-$I66)))))</f>
        <v/>
      </c>
      <c r="CJ66" s="68">
        <f>IF($U66=0,0,IF($F66=4,0,IF($F66=3,0,IF(OR(43&gt;$R66,CI66&lt;=$I66),CI66,CI66-MIN(INT(ROUND(IF($F66=1,$C66*$J66,IF(GH66&gt;0,GH66*$K66,CI66*$J66))*IF(43=$R66,$S66,12)/12,6)+$B$4),CI66-$I66)))))</f>
        <v/>
      </c>
      <c r="CK66" s="68">
        <f>IF($U66=0,0,IF($F66=4,0,IF($F66=3,0,IF(OR(44&gt;$R66,CJ66&lt;=$I66),CJ66,CJ66-MIN(INT(ROUND(IF($F66=1,$C66*$J66,IF(GI66&gt;0,GI66*$K66,CJ66*$J66))*IF(44=$R66,$S66,12)/12,6)+$B$4),CJ66-$I66)))))</f>
        <v/>
      </c>
      <c r="CL66" s="68">
        <f>IF($U66=0,0,IF($F66=4,0,IF($F66=3,0,IF(OR(45&gt;$R66,CK66&lt;=$I66),CK66,CK66-MIN(INT(ROUND(IF($F66=1,$C66*$J66,IF(GJ66&gt;0,GJ66*$K66,CK66*$J66))*IF(45=$R66,$S66,12)/12,6)+$B$4),CK66-$I66)))))</f>
        <v/>
      </c>
      <c r="CM66" s="68">
        <f>IF($U66=0,0,IF($F66=4,0,IF($F66=3,0,IF(OR(46&gt;$R66,CL66&lt;=$I66),CL66,CL66-MIN(INT(ROUND(IF($F66=1,$C66*$J66,IF(GK66&gt;0,GK66*$K66,CL66*$J66))*IF(46=$R66,$S66,12)/12,6)+$B$4),CL66-$I66)))))</f>
        <v/>
      </c>
      <c r="CN66" s="68">
        <f>IF($U66=0,0,IF($F66=4,0,IF($F66=3,0,IF(OR(47&gt;$R66,CM66&lt;=$I66),CM66,CM66-MIN(INT(ROUND(IF($F66=1,$C66*$J66,IF(GL66&gt;0,GL66*$K66,CM66*$J66))*IF(47=$R66,$S66,12)/12,6)+$B$4),CM66-$I66)))))</f>
        <v/>
      </c>
      <c r="CO66" s="68">
        <f>IF($U66=0,0,IF($F66=4,0,IF($F66=3,0,IF(OR(48&gt;$R66,CN66&lt;=$I66),CN66,CN66-MIN(INT(ROUND(IF($F66=1,$C66*$J66,IF(GM66&gt;0,GM66*$K66,CN66*$J66))*IF(48=$R66,$S66,12)/12,6)+$B$4),CN66-$I66)))))</f>
        <v/>
      </c>
      <c r="CP66" s="68">
        <f>IF($U66=0,0,IF($F66=4,0,IF($F66=3,0,IF(OR(49&gt;$R66,CO66&lt;=$I66),CO66,CO66-MIN(INT(ROUND(IF($F66=1,$C66*$J66,IF(GN66&gt;0,GN66*$K66,CO66*$J66))*IF(49=$R66,$S66,12)/12,6)+$B$4),CO66-$I66)))))</f>
        <v/>
      </c>
      <c r="CQ66" s="68">
        <f>IF($U66=0,0,IF($F66=4,0,IF($F66=3,0,IF(OR(50&gt;$R66,CP66&lt;=$I66),CP66,CP66-MIN(INT(ROUND(IF($F66=1,$C66*$J66,IF(GO66&gt;0,GO66*$K66,CP66*$J66))*IF(50=$R66,$S66,12)/12,6)+$B$4),CP66-$I66)))))</f>
        <v/>
      </c>
      <c r="CR66" s="68">
        <f>IF($U66=0,0,IF($F66=4,0,IF($F66=3,0,IF(OR(51&gt;$R66,CQ66&lt;=$I66),CQ66,CQ66-MIN(INT(ROUND(IF($F66=1,$C66*$J66,IF(GP66&gt;0,GP66*$K66,CQ66*$J66))*IF(51=$R66,$S66,12)/12,6)+$B$4),CQ66-$I66)))))</f>
        <v/>
      </c>
      <c r="CS66" s="68">
        <f>IF($U66=0,0,IF($F66=4,0,IF($F66=3,0,IF(OR(52&gt;$R66,CR66&lt;=$I66),CR66,CR66-MIN(INT(ROUND(IF($F66=1,$C66*$J66,IF(GQ66&gt;0,GQ66*$K66,CR66*$J66))*IF(52=$R66,$S66,12)/12,6)+$B$4),CR66-$I66)))))</f>
        <v/>
      </c>
      <c r="CT66" s="68">
        <f>IF($U66=0,0,IF($F66=4,0,IF($F66=3,0,IF(OR(53&gt;$R66,CS66&lt;=$I66),CS66,CS66-MIN(INT(ROUND(IF($F66=1,$C66*$J66,IF(GR66&gt;0,GR66*$K66,CS66*$J66))*IF(53=$R66,$S66,12)/12,6)+$B$4),CS66-$I66)))))</f>
        <v/>
      </c>
      <c r="CU66" s="68">
        <f>IF($U66=0,0,IF($F66=4,0,IF($F66=3,0,IF(OR(54&gt;$R66,CT66&lt;=$I66),CT66,CT66-MIN(INT(ROUND(IF($F66=1,$C66*$J66,IF(GS66&gt;0,GS66*$K66,CT66*$J66))*IF(54=$R66,$S66,12)/12,6)+$B$4),CT66-$I66)))))</f>
        <v/>
      </c>
      <c r="CV66" s="68">
        <f>IF($U66=0,0,IF($F66=4,0,IF($F66=3,0,IF(OR(55&gt;$R66,CU66&lt;=$I66),CU66,CU66-MIN(INT(ROUND(IF($F66=1,$C66*$J66,IF(GT66&gt;0,GT66*$K66,CU66*$J66))*IF(55=$R66,$S66,12)/12,6)+$B$4),CU66-$I66)))))</f>
        <v/>
      </c>
      <c r="CW66" s="68">
        <f>IF($U66=0,0,IF($F66=4,0,IF($F66=3,0,IF(OR(56&gt;$R66,CV66&lt;=$I66),CV66,CV66-MIN(INT(ROUND(IF($F66=1,$C66*$J66,IF(GU66&gt;0,GU66*$K66,CV66*$J66))*IF(56=$R66,$S66,12)/12,6)+$B$4),CV66-$I66)))))</f>
        <v/>
      </c>
      <c r="CX66" s="68">
        <f>IF($U66=0,0,IF($F66=4,0,IF($F66=3,0,IF(OR(57&gt;$R66,CW66&lt;=$I66),CW66,CW66-MIN(INT(ROUND(IF($F66=1,$C66*$J66,IF(GV66&gt;0,GV66*$K66,CW66*$J66))*IF(57=$R66,$S66,12)/12,6)+$B$4),CW66-$I66)))))</f>
        <v/>
      </c>
      <c r="CY66" s="68">
        <f>IF($U66=0,0,IF($F66=4,0,IF($F66=3,0,IF(OR(58&gt;$R66,CX66&lt;=$I66),CX66,CX66-MIN(INT(ROUND(IF($F66=1,$C66*$J66,IF(GW66&gt;0,GW66*$K66,CX66*$J66))*IF(58=$R66,$S66,12)/12,6)+$B$4),CX66-$I66)))))</f>
        <v/>
      </c>
      <c r="CZ66" s="68">
        <f>IF($U66=0,0,IF($F66=4,0,IF($F66=3,0,IF(OR(59&gt;$R66,CY66&lt;=$I66),CY66,CY66-MIN(INT(ROUND(IF($F66=1,$C66*$J66,IF(GX66&gt;0,GX66*$K66,CY66*$J66))*IF(59=$R66,$S66,12)/12,6)+$B$4),CY66-$I66)))))</f>
        <v/>
      </c>
      <c r="DA66" s="68">
        <f>IF($U66=0,0,IF($F66=4,0,IF($F66=3,0,IF(OR(60&gt;$R66,CZ66&lt;=$I66),CZ66,CZ66-MIN(INT(ROUND(IF($F66=1,$C66*$J66,IF(GY66&gt;0,GY66*$K66,CZ66*$J66))*IF(60=$R66,$S66,12)/12,6)+$B$4),CZ66-$I66)))))</f>
        <v/>
      </c>
      <c r="DB66" s="68">
        <f>IF($U66=0,0,IF($F66=4,0,IF($F66=3,0,IF(OR(61&gt;$R66,DA66&lt;=$I66),DA66,DA66-MIN(INT(ROUND(IF($F66=1,$C66*$J66,IF(GZ66&gt;0,GZ66*$K66,DA66*$J66))*IF(61=$R66,$S66,12)/12,6)+$B$4),DA66-$I66)))))</f>
        <v/>
      </c>
      <c r="DC66" s="68">
        <f>IF($U66=0,0,IF($F66=4,0,IF($F66=3,0,IF(OR(62&gt;$R66,DB66&lt;=$I66),DB66,DB66-MIN(INT(ROUND(IF($F66=1,$C66*$J66,IF(HA66&gt;0,HA66*$K66,DB66*$J66))*IF(62=$R66,$S66,12)/12,6)+$B$4),DB66-$I66)))))</f>
        <v/>
      </c>
      <c r="DD66" s="68">
        <f>IF($U66=0,0,IF($F66=4,0,IF($F66=3,0,IF(OR(63&gt;$R66,DC66&lt;=$I66),DC66,DC66-MIN(INT(ROUND(IF($F66=1,$C66*$J66,IF(HB66&gt;0,HB66*$K66,DC66*$J66))*IF(63=$R66,$S66,12)/12,6)+$B$4),DC66-$I66)))))</f>
        <v/>
      </c>
      <c r="DE66" s="68">
        <f>IF($U66=0,0,IF($F66=4,0,IF($F66=3,0,IF(OR(64&gt;$R66,DD66&lt;=$I66),DD66,DD66-MIN(INT(ROUND(IF($F66=1,$C66*$J66,IF(HC66&gt;0,HC66*$K66,DD66*$J66))*IF(64=$R66,$S66,12)/12,6)+$B$4),DD66-$I66)))))</f>
        <v/>
      </c>
      <c r="DF66" s="68">
        <f>IF($U66=0,0,IF($F66=4,0,IF($F66=3,0,IF(OR(65&gt;$R66,DE66&lt;=$I66),DE66,DE66-MIN(INT(ROUND(IF($F66=1,$C66*$J66,IF(HD66&gt;0,HD66*$K66,DE66*$J66))*IF(65=$R66,$S66,12)/12,6)+$B$4),DE66-$I66)))))</f>
        <v/>
      </c>
      <c r="DG66" s="68">
        <f>IF($U66=0,0,IF($F66=4,0,IF($F66=3,0,IF(OR(66&gt;$R66,DF66&lt;=$I66),DF66,DF66-MIN(INT(ROUND(IF($F66=1,$C66*$J66,IF(HE66&gt;0,HE66*$K66,DF66*$J66))*IF(66=$R66,$S66,12)/12,6)+$B$4),DF66-$I66)))))</f>
        <v/>
      </c>
      <c r="DH66" s="68">
        <f>IF($U66=0,0,IF($F66=4,0,IF($F66=3,0,IF(OR(67&gt;$R66,DG66&lt;=$I66),DG66,DG66-MIN(INT(ROUND(IF($F66=1,$C66*$J66,IF(HF66&gt;0,HF66*$K66,DG66*$J66))*IF(67=$R66,$S66,12)/12,6)+$B$4),DG66-$I66)))))</f>
        <v/>
      </c>
      <c r="DI66" s="68">
        <f>IF($U66=0,0,IF($F66=4,0,IF($F66=3,0,IF(OR(68&gt;$R66,DH66&lt;=$I66),DH66,DH66-MIN(INT(ROUND(IF($F66=1,$C66*$J66,IF(HG66&gt;0,HG66*$K66,DH66*$J66))*IF(68=$R66,$S66,12)/12,6)+$B$4),DH66-$I66)))))</f>
        <v/>
      </c>
      <c r="DJ66" s="68">
        <f>IF($U66=0,0,IF($F66=4,0,IF($F66=3,0,IF(OR(69&gt;$R66,DI66&lt;=$I66),DI66,DI66-MIN(INT(ROUND(IF($F66=1,$C66*$J66,IF(HH66&gt;0,HH66*$K66,DI66*$J66))*IF(69=$R66,$S66,12)/12,6)+$B$4),DI66-$I66)))))</f>
        <v/>
      </c>
      <c r="DK66" s="68">
        <f>IF($U66=0,0,IF($F66=4,0,IF($F66=3,0,IF(OR(70&gt;$R66,DJ66&lt;=$I66),DJ66,DJ66-MIN(INT(ROUND(IF($F66=1,$C66*$J66,IF(HI66&gt;0,HI66*$K66,DJ66*$J66))*IF(70=$R66,$S66,12)/12,6)+$B$4),DJ66-$I66)))))</f>
        <v/>
      </c>
      <c r="DL66" s="68">
        <f>IF($U66=0,0,IF($F66=4,0,IF($F66=3,0,IF(OR(71&gt;$R66,DK66&lt;=$I66),DK66,DK66-MIN(INT(ROUND(IF($F66=1,$C66*$J66,IF(HJ66&gt;0,HJ66*$K66,DK66*$J66))*IF(71=$R66,$S66,12)/12,6)+$B$4),DK66-$I66)))))</f>
        <v/>
      </c>
      <c r="DM66" s="68">
        <f>IF($U66=0,0,IF($F66=4,0,IF($F66=3,0,IF(OR(72&gt;$R66,DL66&lt;=$I66),DL66,DL66-MIN(INT(ROUND(IF($F66=1,$C66*$J66,IF(HK66&gt;0,HK66*$K66,DL66*$J66))*IF(72=$R66,$S66,12)/12,6)+$B$4),DL66-$I66)))))</f>
        <v/>
      </c>
      <c r="DN66" s="68">
        <f>IF($U66=0,0,IF($F66=4,0,IF($F66=3,0,IF(OR(73&gt;$R66,DM66&lt;=$I66),DM66,DM66-MIN(INT(ROUND(IF($F66=1,$C66*$J66,IF(HL66&gt;0,HL66*$K66,DM66*$J66))*IF(73=$R66,$S66,12)/12,6)+$B$4),DM66-$I66)))))</f>
        <v/>
      </c>
      <c r="DO66" s="68">
        <f>IF($U66=0,0,IF($F66=4,0,IF($F66=3,0,IF(OR(74&gt;$R66,DN66&lt;=$I66),DN66,DN66-MIN(INT(ROUND(IF($F66=1,$C66*$J66,IF(HM66&gt;0,HM66*$K66,DN66*$J66))*IF(74=$R66,$S66,12)/12,6)+$B$4),DN66-$I66)))))</f>
        <v/>
      </c>
      <c r="DP66" s="68">
        <f>IF($U66=0,0,IF($F66=4,0,IF($F66=3,0,IF(OR(75&gt;$R66,DO66&lt;=$I66),DO66,DO66-MIN(INT(ROUND(IF($F66=1,$C66*$J66,IF(HN66&gt;0,HN66*$K66,DO66*$J66))*IF(75=$R66,$S66,12)/12,6)+$B$4),DO66-$I66)))))</f>
        <v/>
      </c>
      <c r="DQ66" s="68">
        <f>IF($U66=0,0,IF($F66=4,0,IF($F66=3,0,IF(OR(76&gt;$R66,DP66&lt;=$I66),DP66,DP66-MIN(INT(ROUND(IF($F66=1,$C66*$J66,IF(HO66&gt;0,HO66*$K66,DP66*$J66))*IF(76=$R66,$S66,12)/12,6)+$B$4),DP66-$I66)))))</f>
        <v/>
      </c>
      <c r="DR66" s="68">
        <f>IF($U66=0,0,IF($F66=4,0,IF($F66=3,0,IF(OR(77&gt;$R66,DQ66&lt;=$I66),DQ66,DQ66-MIN(INT(ROUND(IF($F66=1,$C66*$J66,IF(HP66&gt;0,HP66*$K66,DQ66*$J66))*IF(77=$R66,$S66,12)/12,6)+$B$4),DQ66-$I66)))))</f>
        <v/>
      </c>
      <c r="DS66" s="68">
        <f>IF($U66=0,0,IF($F66=4,0,IF($F66=3,0,IF(OR(78&gt;$R66,DR66&lt;=$I66),DR66,DR66-MIN(INT(ROUND(IF($F66=1,$C66*$J66,IF(HQ66&gt;0,HQ66*$K66,DR66*$J66))*IF(78=$R66,$S66,12)/12,6)+$B$4),DR66-$I66)))))</f>
        <v/>
      </c>
      <c r="DT66" s="68">
        <f>IF($U66=0,0,IF($F66=4,0,IF($F66=3,0,IF(OR(79&gt;$R66,DS66&lt;=$I66),DS66,DS66-MIN(INT(ROUND(IF($F66=1,$C66*$J66,IF(HR66&gt;0,HR66*$K66,DS66*$J66))*IF(79=$R66,$S66,12)/12,6)+$B$4),DS66-$I66)))))</f>
        <v/>
      </c>
      <c r="DU66" s="68">
        <f>IF($U66=0,0,IF($F66=4,0,IF($F66=3,0,IF(OR(80&gt;$R66,DT66&lt;=$I66),DT66,DT66-MIN(INT(ROUND(IF($F66=1,$C66*$J66,IF(HS66&gt;0,HS66*$K66,DT66*$J66))*IF(80=$R66,$S66,12)/12,6)+$B$4),DT66-$I66)))))</f>
        <v/>
      </c>
      <c r="DV66" s="68">
        <f>IF($U66=0,0,IF($F66=4,0,IF($F66=3,0,IF(OR(81&gt;$R66,DU66&lt;=$I66),DU66,DU66-MIN(INT(ROUND(IF($F66=1,$C66*$J66,IF(HT66&gt;0,HT66*$K66,DU66*$J66))*IF(81=$R66,$S66,12)/12,6)+$B$4),DU66-$I66)))))</f>
        <v/>
      </c>
      <c r="DW66" s="68">
        <f>IF($U66=0,0,IF($F66=4,0,IF($F66=3,0,IF(OR(82&gt;$R66,DV66&lt;=$I66),DV66,DV66-MIN(INT(ROUND(IF($F66=1,$C66*$J66,IF(HU66&gt;0,HU66*$K66,DV66*$J66))*IF(82=$R66,$S66,12)/12,6)+$B$4),DV66-$I66)))))</f>
        <v/>
      </c>
      <c r="DX66" s="68">
        <f>IF($U66=0,0,IF($F66=4,0,IF($F66=3,0,IF(OR(83&gt;$R66,DW66&lt;=$I66),DW66,DW66-MIN(INT(ROUND(IF($F66=1,$C66*$J66,IF(HV66&gt;0,HV66*$K66,DW66*$J66))*IF(83=$R66,$S66,12)/12,6)+$B$4),DW66-$I66)))))</f>
        <v/>
      </c>
      <c r="DY66" s="68">
        <f>IF($U66=0,0,IF($F66=4,0,IF($F66=3,0,IF(OR(84&gt;$R66,DX66&lt;=$I66),DX66,DX66-MIN(INT(ROUND(IF($F66=1,$C66*$J66,IF(HW66&gt;0,HW66*$K66,DX66*$J66))*IF(84=$R66,$S66,12)/12,6)+$B$4),DX66-$I66)))))</f>
        <v/>
      </c>
      <c r="DZ66" s="68">
        <f>IF($U66=0,0,IF($F66=4,0,IF($F66=3,0,IF(OR(85&gt;$R66,DY66&lt;=$I66),DY66,DY66-MIN(INT(ROUND(IF($F66=1,$C66*$J66,IF(HX66&gt;0,HX66*$K66,DY66*$J66))*IF(85=$R66,$S66,12)/12,6)+$B$4),DY66-$I66)))))</f>
        <v/>
      </c>
      <c r="EA66" s="68">
        <f>IF($U66=0,0,IF($F66=4,0,IF($F66=3,0,IF(OR(86&gt;$R66,DZ66&lt;=$I66),DZ66,DZ66-MIN(INT(ROUND(IF($F66=1,$C66*$J66,IF(HY66&gt;0,HY66*$K66,DZ66*$J66))*IF(86=$R66,$S66,12)/12,6)+$B$4),DZ66-$I66)))))</f>
        <v/>
      </c>
      <c r="EB66" s="68">
        <f>IF($U66=0,0,IF($F66=4,0,IF($F66=3,0,IF(OR(87&gt;$R66,EA66&lt;=$I66),EA66,EA66-MIN(INT(ROUND(IF($F66=1,$C66*$J66,IF(HZ66&gt;0,HZ66*$K66,EA66*$J66))*IF(87=$R66,$S66,12)/12,6)+$B$4),EA66-$I66)))))</f>
        <v/>
      </c>
      <c r="EC66" s="68">
        <f>IF($U66=0,0,IF($F66=4,0,IF($F66=3,0,IF(OR(88&gt;$R66,EB66&lt;=$I66),EB66,EB66-MIN(INT(ROUND(IF($F66=1,$C66*$J66,IF(IA66&gt;0,IA66*$K66,EB66*$J66))*IF(88=$R66,$S66,12)/12,6)+$B$4),EB66-$I66)))))</f>
        <v/>
      </c>
      <c r="ED66" s="68">
        <f>IF($U66=0,0,IF($F66=4,0,IF($F66=3,0,IF(OR(89&gt;$R66,EC66&lt;=$I66),EC66,EC66-MIN(INT(ROUND(IF($F66=1,$C66*$J66,IF(IB66&gt;0,IB66*$K66,EC66*$J66))*IF(89=$R66,$S66,12)/12,6)+$B$4),EC66-$I66)))))</f>
        <v/>
      </c>
      <c r="EE66" s="68">
        <f>IF($U66=0,0,IF($F66=4,0,IF($F66=3,0,IF(OR(90&gt;$R66,ED66&lt;=$I66),ED66,ED66-MIN(INT(ROUND(IF($F66=1,$C66*$J66,IF(IC66&gt;0,IC66*$K66,ED66*$J66))*IF(90=$R66,$S66,12)/12,6)+$B$4),ED66-$I66)))))</f>
        <v/>
      </c>
      <c r="EF66" s="68">
        <f>IF($U66=0,0,IF($F66=4,0,IF($F66=3,0,IF(OR(91&gt;$R66,EE66&lt;=$I66),EE66,EE66-MIN(INT(ROUND(IF($F66=1,$C66*$J66,IF(ID66&gt;0,ID66*$K66,EE66*$J66))*IF(91=$R66,$S66,12)/12,6)+$B$4),EE66-$I66)))))</f>
        <v/>
      </c>
      <c r="EG66" s="68">
        <f>IF($U66=0,0,IF($F66=4,0,IF($F66=3,0,IF(OR(92&gt;$R66,EF66&lt;=$I66),EF66,EF66-MIN(INT(ROUND(IF($F66=1,$C66*$J66,IF(IE66&gt;0,IE66*$K66,EF66*$J66))*IF(92=$R66,$S66,12)/12,6)+$B$4),EF66-$I66)))))</f>
        <v/>
      </c>
      <c r="EH66" s="68">
        <f>IF($U66=0,0,IF($F66=4,0,IF($F66=3,0,IF(OR(93&gt;$R66,EG66&lt;=$I66),EG66,EG66-MIN(INT(ROUND(IF($F66=1,$C66*$J66,IF(IF66&gt;0,IF66*$K66,EG66*$J66))*IF(93=$R66,$S66,12)/12,6)+$B$4),EG66-$I66)))))</f>
        <v/>
      </c>
      <c r="EI66" s="68">
        <f>IF($U66=0,0,IF($F66=4,0,IF($F66=3,0,IF(OR(94&gt;$R66,EH66&lt;=$I66),EH66,EH66-MIN(INT(ROUND(IF($F66=1,$C66*$J66,IF(IG66&gt;0,IG66*$K66,EH66*$J66))*IF(94=$R66,$S66,12)/12,6)+$B$4),EH66-$I66)))))</f>
        <v/>
      </c>
      <c r="EJ66" s="68">
        <f>IF($U66=0,0,IF($F66=4,0,IF($F66=3,0,IF(OR(95&gt;$R66,EI66&lt;=$I66),EI66,EI66-MIN(INT(ROUND(IF($F66=1,$C66*$J66,IF(IH66&gt;0,IH66*$K66,EI66*$J66))*IF(95=$R66,$S66,12)/12,6)+$B$4),EI66-$I66)))))</f>
        <v/>
      </c>
      <c r="EK66" s="68">
        <f>IF($U66=0,0,IF($F66=4,0,IF($F66=3,0,IF(OR(96&gt;$R66,EJ66&lt;=$I66),EJ66,EJ66-MIN(INT(ROUND(IF($F66=1,$C66*$J66,IF(II66&gt;0,II66*$K66,EJ66*$J66))*IF(96=$R66,$S66,12)/12,6)+$B$4),EJ66-$I66)))))</f>
        <v/>
      </c>
      <c r="EL66" s="68">
        <f>IF($U66=0,0,IF($F66=4,0,IF($F66=3,0,IF(OR(97&gt;$R66,EK66&lt;=$I66),EK66,EK66-MIN(INT(ROUND(IF($F66=1,$C66*$J66,IF(IJ66&gt;0,IJ66*$K66,EK66*$J66))*IF(97=$R66,$S66,12)/12,6)+$B$4),EK66-$I66)))))</f>
        <v/>
      </c>
      <c r="EM66" s="68">
        <f>IF($U66=0,0,IF($F66=4,0,IF($F66=3,0,IF(OR(98&gt;$R66,EL66&lt;=$I66),EL66,EL66-MIN(INT(ROUND(IF($F66=1,$C66*$J66,IF(IK66&gt;0,IK66*$K66,EL66*$J66))*IF(98=$R66,$S66,12)/12,6)+$B$4),EL66-$I66)))))</f>
        <v/>
      </c>
      <c r="EN66" s="68">
        <f>IF($U66=0,0,IF($F66=4,0,IF($F66=3,0,IF(OR(99&gt;$R66,EM66&lt;=$I66),EM66,EM66-MIN(INT(ROUND(IF($F66=1,$C66*$J66,IF(IL66&gt;0,IL66*$K66,EM66*$J66))*IF(99=$R66,$S66,12)/12,6)+$B$4),EM66-$I66)))))</f>
        <v/>
      </c>
      <c r="EO66" s="68">
        <f>IF($U66=0,0,IF($F66=4,0,IF($F66=3,0,IF(OR(100&gt;$R66,EN66&lt;=$I66),EN66,EN66-MIN(INT(ROUND(IF($F66=1,$C66*$J66,IF(IM66&gt;0,IM66*$K66,EN66*$J66))*IF(100=$R66,$S66,12)/12,6)+$B$4),EN66-$I66)))))</f>
        <v/>
      </c>
      <c r="EP66" s="68">
        <f>IF($U66=0,0,IF($F66=4,0,IF($F66=3,0,IF(OR(101&gt;$R66,EO66&lt;=$I66),EO66,EO66-MIN(INT(ROUND(IF($F66=1,$C66*$J66,IF(IN66&gt;0,IN66*$K66,EO66*$J66))*IF(101=$R66,$S66,12)/12,6)+$B$4),EO66-$I66)))))</f>
        <v/>
      </c>
      <c r="EQ66" s="68" t="n"/>
      <c r="ER66" s="68">
        <f>IF(OR($U66=0,$F66&lt;&gt;2),0,IF(ROUND(AS66*$J66,6)&lt;ROUND($M66,6),AS66,0))</f>
        <v/>
      </c>
      <c r="ES66" s="68">
        <f>IF(OR($U66=0,$F66&lt;&gt;2),0,IF(ER66&gt;0,ER66,IF(ROUND(AT66*$J66,6)&lt;ROUND($M66,6),AT66,0)))</f>
        <v/>
      </c>
      <c r="ET66" s="68">
        <f>IF(OR($U66=0,$F66&lt;&gt;2),0,IF(ES66&gt;0,ES66,IF(ROUND(AU66*$J66,6)&lt;ROUND($M66,6),AU66,0)))</f>
        <v/>
      </c>
      <c r="EU66" s="68">
        <f>IF(OR($U66=0,$F66&lt;&gt;2),0,IF(ET66&gt;0,ET66,IF(ROUND(AV66*$J66,6)&lt;ROUND($M66,6),AV66,0)))</f>
        <v/>
      </c>
      <c r="EV66" s="68">
        <f>IF(OR($U66=0,$F66&lt;&gt;2),0,IF(EU66&gt;0,EU66,IF(ROUND(AW66*$J66,6)&lt;ROUND($M66,6),AW66,0)))</f>
        <v/>
      </c>
      <c r="EW66" s="68">
        <f>IF(OR($U66=0,$F66&lt;&gt;2),0,IF(EV66&gt;0,EV66,IF(ROUND(AX66*$J66,6)&lt;ROUND($M66,6),AX66,0)))</f>
        <v/>
      </c>
      <c r="EX66" s="68">
        <f>IF(OR($U66=0,$F66&lt;&gt;2),0,IF(EW66&gt;0,EW66,IF(ROUND(AY66*$J66,6)&lt;ROUND($M66,6),AY66,0)))</f>
        <v/>
      </c>
      <c r="EY66" s="68">
        <f>IF(OR($U66=0,$F66&lt;&gt;2),0,IF(EX66&gt;0,EX66,IF(ROUND(AZ66*$J66,6)&lt;ROUND($M66,6),AZ66,0)))</f>
        <v/>
      </c>
      <c r="EZ66" s="68">
        <f>IF(OR($U66=0,$F66&lt;&gt;2),0,IF(EY66&gt;0,EY66,IF(ROUND(BA66*$J66,6)&lt;ROUND($M66,6),BA66,0)))</f>
        <v/>
      </c>
      <c r="FA66" s="68">
        <f>IF(OR($U66=0,$F66&lt;&gt;2),0,IF(EZ66&gt;0,EZ66,IF(ROUND(BB66*$J66,6)&lt;ROUND($M66,6),BB66,0)))</f>
        <v/>
      </c>
      <c r="FB66" s="68">
        <f>IF(OR($U66=0,$F66&lt;&gt;2),0,IF(FA66&gt;0,FA66,IF(ROUND(BC66*$J66,6)&lt;ROUND($M66,6),BC66,0)))</f>
        <v/>
      </c>
      <c r="FC66" s="68">
        <f>IF(OR($U66=0,$F66&lt;&gt;2),0,IF(FB66&gt;0,FB66,IF(ROUND(BD66*$J66,6)&lt;ROUND($M66,6),BD66,0)))</f>
        <v/>
      </c>
      <c r="FD66" s="68">
        <f>IF(OR($U66=0,$F66&lt;&gt;2),0,IF(FC66&gt;0,FC66,IF(ROUND(BE66*$J66,6)&lt;ROUND($M66,6),BE66,0)))</f>
        <v/>
      </c>
      <c r="FE66" s="68">
        <f>IF(OR($U66=0,$F66&lt;&gt;2),0,IF(FD66&gt;0,FD66,IF(ROUND(BF66*$J66,6)&lt;ROUND($M66,6),BF66,0)))</f>
        <v/>
      </c>
      <c r="FF66" s="68">
        <f>IF(OR($U66=0,$F66&lt;&gt;2),0,IF(FE66&gt;0,FE66,IF(ROUND(BG66*$J66,6)&lt;ROUND($M66,6),BG66,0)))</f>
        <v/>
      </c>
      <c r="FG66" s="68">
        <f>IF(OR($U66=0,$F66&lt;&gt;2),0,IF(FF66&gt;0,FF66,IF(ROUND(BH66*$J66,6)&lt;ROUND($M66,6),BH66,0)))</f>
        <v/>
      </c>
      <c r="FH66" s="68">
        <f>IF(OR($U66=0,$F66&lt;&gt;2),0,IF(FG66&gt;0,FG66,IF(ROUND(BI66*$J66,6)&lt;ROUND($M66,6),BI66,0)))</f>
        <v/>
      </c>
      <c r="FI66" s="68">
        <f>IF(OR($U66=0,$F66&lt;&gt;2),0,IF(FH66&gt;0,FH66,IF(ROUND(BJ66*$J66,6)&lt;ROUND($M66,6),BJ66,0)))</f>
        <v/>
      </c>
      <c r="FJ66" s="68">
        <f>IF(OR($U66=0,$F66&lt;&gt;2),0,IF(FI66&gt;0,FI66,IF(ROUND(BK66*$J66,6)&lt;ROUND($M66,6),BK66,0)))</f>
        <v/>
      </c>
      <c r="FK66" s="68">
        <f>IF(OR($U66=0,$F66&lt;&gt;2),0,IF(FJ66&gt;0,FJ66,IF(ROUND(BL66*$J66,6)&lt;ROUND($M66,6),BL66,0)))</f>
        <v/>
      </c>
      <c r="FL66" s="68">
        <f>IF(OR($U66=0,$F66&lt;&gt;2),0,IF(FK66&gt;0,FK66,IF(ROUND(BM66*$J66,6)&lt;ROUND($M66,6),BM66,0)))</f>
        <v/>
      </c>
      <c r="FM66" s="68">
        <f>IF(OR($U66=0,$F66&lt;&gt;2),0,IF(FL66&gt;0,FL66,IF(ROUND(BN66*$J66,6)&lt;ROUND($M66,6),BN66,0)))</f>
        <v/>
      </c>
      <c r="FN66" s="68">
        <f>IF(OR($U66=0,$F66&lt;&gt;2),0,IF(FM66&gt;0,FM66,IF(ROUND(BO66*$J66,6)&lt;ROUND($M66,6),BO66,0)))</f>
        <v/>
      </c>
      <c r="FO66" s="68">
        <f>IF(OR($U66=0,$F66&lt;&gt;2),0,IF(FN66&gt;0,FN66,IF(ROUND(BP66*$J66,6)&lt;ROUND($M66,6),BP66,0)))</f>
        <v/>
      </c>
      <c r="FP66" s="68">
        <f>IF(OR($U66=0,$F66&lt;&gt;2),0,IF(FO66&gt;0,FO66,IF(ROUND(BQ66*$J66,6)&lt;ROUND($M66,6),BQ66,0)))</f>
        <v/>
      </c>
      <c r="FQ66" s="68">
        <f>IF(OR($U66=0,$F66&lt;&gt;2),0,IF(FP66&gt;0,FP66,IF(ROUND(BR66*$J66,6)&lt;ROUND($M66,6),BR66,0)))</f>
        <v/>
      </c>
      <c r="FR66" s="68">
        <f>IF(OR($U66=0,$F66&lt;&gt;2),0,IF(FQ66&gt;0,FQ66,IF(ROUND(BS66*$J66,6)&lt;ROUND($M66,6),BS66,0)))</f>
        <v/>
      </c>
      <c r="FS66" s="68">
        <f>IF(OR($U66=0,$F66&lt;&gt;2),0,IF(FR66&gt;0,FR66,IF(ROUND(BT66*$J66,6)&lt;ROUND($M66,6),BT66,0)))</f>
        <v/>
      </c>
      <c r="FT66" s="68">
        <f>IF(OR($U66=0,$F66&lt;&gt;2),0,IF(FS66&gt;0,FS66,IF(ROUND(BU66*$J66,6)&lt;ROUND($M66,6),BU66,0)))</f>
        <v/>
      </c>
      <c r="FU66" s="68">
        <f>IF(OR($U66=0,$F66&lt;&gt;2),0,IF(FT66&gt;0,FT66,IF(ROUND(BV66*$J66,6)&lt;ROUND($M66,6),BV66,0)))</f>
        <v/>
      </c>
      <c r="FV66" s="68">
        <f>IF(OR($U66=0,$F66&lt;&gt;2),0,IF(FU66&gt;0,FU66,IF(ROUND(BW66*$J66,6)&lt;ROUND($M66,6),BW66,0)))</f>
        <v/>
      </c>
      <c r="FW66" s="68">
        <f>IF(OR($U66=0,$F66&lt;&gt;2),0,IF(FV66&gt;0,FV66,IF(ROUND(BX66*$J66,6)&lt;ROUND($M66,6),BX66,0)))</f>
        <v/>
      </c>
      <c r="FX66" s="68">
        <f>IF(OR($U66=0,$F66&lt;&gt;2),0,IF(FW66&gt;0,FW66,IF(ROUND(BY66*$J66,6)&lt;ROUND($M66,6),BY66,0)))</f>
        <v/>
      </c>
      <c r="FY66" s="68">
        <f>IF(OR($U66=0,$F66&lt;&gt;2),0,IF(FX66&gt;0,FX66,IF(ROUND(BZ66*$J66,6)&lt;ROUND($M66,6),BZ66,0)))</f>
        <v/>
      </c>
      <c r="FZ66" s="68">
        <f>IF(OR($U66=0,$F66&lt;&gt;2),0,IF(FY66&gt;0,FY66,IF(ROUND(CA66*$J66,6)&lt;ROUND($M66,6),CA66,0)))</f>
        <v/>
      </c>
      <c r="GA66" s="68">
        <f>IF(OR($U66=0,$F66&lt;&gt;2),0,IF(FZ66&gt;0,FZ66,IF(ROUND(CB66*$J66,6)&lt;ROUND($M66,6),CB66,0)))</f>
        <v/>
      </c>
      <c r="GB66" s="68">
        <f>IF(OR($U66=0,$F66&lt;&gt;2),0,IF(GA66&gt;0,GA66,IF(ROUND(CC66*$J66,6)&lt;ROUND($M66,6),CC66,0)))</f>
        <v/>
      </c>
      <c r="GC66" s="68">
        <f>IF(OR($U66=0,$F66&lt;&gt;2),0,IF(GB66&gt;0,GB66,IF(ROUND(CD66*$J66,6)&lt;ROUND($M66,6),CD66,0)))</f>
        <v/>
      </c>
      <c r="GD66" s="68">
        <f>IF(OR($U66=0,$F66&lt;&gt;2),0,IF(GC66&gt;0,GC66,IF(ROUND(CE66*$J66,6)&lt;ROUND($M66,6),CE66,0)))</f>
        <v/>
      </c>
      <c r="GE66" s="68">
        <f>IF(OR($U66=0,$F66&lt;&gt;2),0,IF(GD66&gt;0,GD66,IF(ROUND(CF66*$J66,6)&lt;ROUND($M66,6),CF66,0)))</f>
        <v/>
      </c>
      <c r="GF66" s="68">
        <f>IF(OR($U66=0,$F66&lt;&gt;2),0,IF(GE66&gt;0,GE66,IF(ROUND(CG66*$J66,6)&lt;ROUND($M66,6),CG66,0)))</f>
        <v/>
      </c>
      <c r="GG66" s="68">
        <f>IF(OR($U66=0,$F66&lt;&gt;2),0,IF(GF66&gt;0,GF66,IF(ROUND(CH66*$J66,6)&lt;ROUND($M66,6),CH66,0)))</f>
        <v/>
      </c>
      <c r="GH66" s="68">
        <f>IF(OR($U66=0,$F66&lt;&gt;2),0,IF(GG66&gt;0,GG66,IF(ROUND(CI66*$J66,6)&lt;ROUND($M66,6),CI66,0)))</f>
        <v/>
      </c>
      <c r="GI66" s="68">
        <f>IF(OR($U66=0,$F66&lt;&gt;2),0,IF(GH66&gt;0,GH66,IF(ROUND(CJ66*$J66,6)&lt;ROUND($M66,6),CJ66,0)))</f>
        <v/>
      </c>
      <c r="GJ66" s="68">
        <f>IF(OR($U66=0,$F66&lt;&gt;2),0,IF(GI66&gt;0,GI66,IF(ROUND(CK66*$J66,6)&lt;ROUND($M66,6),CK66,0)))</f>
        <v/>
      </c>
      <c r="GK66" s="68">
        <f>IF(OR($U66=0,$F66&lt;&gt;2),0,IF(GJ66&gt;0,GJ66,IF(ROUND(CL66*$J66,6)&lt;ROUND($M66,6),CL66,0)))</f>
        <v/>
      </c>
      <c r="GL66" s="68">
        <f>IF(OR($U66=0,$F66&lt;&gt;2),0,IF(GK66&gt;0,GK66,IF(ROUND(CM66*$J66,6)&lt;ROUND($M66,6),CM66,0)))</f>
        <v/>
      </c>
      <c r="GM66" s="68">
        <f>IF(OR($U66=0,$F66&lt;&gt;2),0,IF(GL66&gt;0,GL66,IF(ROUND(CN66*$J66,6)&lt;ROUND($M66,6),CN66,0)))</f>
        <v/>
      </c>
      <c r="GN66" s="68">
        <f>IF(OR($U66=0,$F66&lt;&gt;2),0,IF(GM66&gt;0,GM66,IF(ROUND(CO66*$J66,6)&lt;ROUND($M66,6),CO66,0)))</f>
        <v/>
      </c>
      <c r="GO66" s="68">
        <f>IF(OR($U66=0,$F66&lt;&gt;2),0,IF(GN66&gt;0,GN66,IF(ROUND(CP66*$J66,6)&lt;ROUND($M66,6),CP66,0)))</f>
        <v/>
      </c>
      <c r="GP66" s="68">
        <f>IF(OR($U66=0,$F66&lt;&gt;2),0,IF(GO66&gt;0,GO66,IF(ROUND(CQ66*$J66,6)&lt;ROUND($M66,6),CQ66,0)))</f>
        <v/>
      </c>
      <c r="GQ66" s="68">
        <f>IF(OR($U66=0,$F66&lt;&gt;2),0,IF(GP66&gt;0,GP66,IF(ROUND(CR66*$J66,6)&lt;ROUND($M66,6),CR66,0)))</f>
        <v/>
      </c>
      <c r="GR66" s="68">
        <f>IF(OR($U66=0,$F66&lt;&gt;2),0,IF(GQ66&gt;0,GQ66,IF(ROUND(CS66*$J66,6)&lt;ROUND($M66,6),CS66,0)))</f>
        <v/>
      </c>
      <c r="GS66" s="68">
        <f>IF(OR($U66=0,$F66&lt;&gt;2),0,IF(GR66&gt;0,GR66,IF(ROUND(CT66*$J66,6)&lt;ROUND($M66,6),CT66,0)))</f>
        <v/>
      </c>
      <c r="GT66" s="68">
        <f>IF(OR($U66=0,$F66&lt;&gt;2),0,IF(GS66&gt;0,GS66,IF(ROUND(CU66*$J66,6)&lt;ROUND($M66,6),CU66,0)))</f>
        <v/>
      </c>
      <c r="GU66" s="68">
        <f>IF(OR($U66=0,$F66&lt;&gt;2),0,IF(GT66&gt;0,GT66,IF(ROUND(CV66*$J66,6)&lt;ROUND($M66,6),CV66,0)))</f>
        <v/>
      </c>
      <c r="GV66" s="68">
        <f>IF(OR($U66=0,$F66&lt;&gt;2),0,IF(GU66&gt;0,GU66,IF(ROUND(CW66*$J66,6)&lt;ROUND($M66,6),CW66,0)))</f>
        <v/>
      </c>
      <c r="GW66" s="68">
        <f>IF(OR($U66=0,$F66&lt;&gt;2),0,IF(GV66&gt;0,GV66,IF(ROUND(CX66*$J66,6)&lt;ROUND($M66,6),CX66,0)))</f>
        <v/>
      </c>
      <c r="GX66" s="68">
        <f>IF(OR($U66=0,$F66&lt;&gt;2),0,IF(GW66&gt;0,GW66,IF(ROUND(CY66*$J66,6)&lt;ROUND($M66,6),CY66,0)))</f>
        <v/>
      </c>
      <c r="GY66" s="68">
        <f>IF(OR($U66=0,$F66&lt;&gt;2),0,IF(GX66&gt;0,GX66,IF(ROUND(CZ66*$J66,6)&lt;ROUND($M66,6),CZ66,0)))</f>
        <v/>
      </c>
      <c r="GZ66" s="68">
        <f>IF(OR($U66=0,$F66&lt;&gt;2),0,IF(GY66&gt;0,GY66,IF(ROUND(DA66*$J66,6)&lt;ROUND($M66,6),DA66,0)))</f>
        <v/>
      </c>
      <c r="HA66" s="68">
        <f>IF(OR($U66=0,$F66&lt;&gt;2),0,IF(GZ66&gt;0,GZ66,IF(ROUND(DB66*$J66,6)&lt;ROUND($M66,6),DB66,0)))</f>
        <v/>
      </c>
      <c r="HB66" s="68">
        <f>IF(OR($U66=0,$F66&lt;&gt;2),0,IF(HA66&gt;0,HA66,IF(ROUND(DC66*$J66,6)&lt;ROUND($M66,6),DC66,0)))</f>
        <v/>
      </c>
      <c r="HC66" s="68">
        <f>IF(OR($U66=0,$F66&lt;&gt;2),0,IF(HB66&gt;0,HB66,IF(ROUND(DD66*$J66,6)&lt;ROUND($M66,6),DD66,0)))</f>
        <v/>
      </c>
      <c r="HD66" s="68">
        <f>IF(OR($U66=0,$F66&lt;&gt;2),0,IF(HC66&gt;0,HC66,IF(ROUND(DE66*$J66,6)&lt;ROUND($M66,6),DE66,0)))</f>
        <v/>
      </c>
      <c r="HE66" s="68">
        <f>IF(OR($U66=0,$F66&lt;&gt;2),0,IF(HD66&gt;0,HD66,IF(ROUND(DF66*$J66,6)&lt;ROUND($M66,6),DF66,0)))</f>
        <v/>
      </c>
      <c r="HF66" s="68">
        <f>IF(OR($U66=0,$F66&lt;&gt;2),0,IF(HE66&gt;0,HE66,IF(ROUND(DG66*$J66,6)&lt;ROUND($M66,6),DG66,0)))</f>
        <v/>
      </c>
      <c r="HG66" s="68">
        <f>IF(OR($U66=0,$F66&lt;&gt;2),0,IF(HF66&gt;0,HF66,IF(ROUND(DH66*$J66,6)&lt;ROUND($M66,6),DH66,0)))</f>
        <v/>
      </c>
      <c r="HH66" s="68">
        <f>IF(OR($U66=0,$F66&lt;&gt;2),0,IF(HG66&gt;0,HG66,IF(ROUND(DI66*$J66,6)&lt;ROUND($M66,6),DI66,0)))</f>
        <v/>
      </c>
      <c r="HI66" s="68">
        <f>IF(OR($U66=0,$F66&lt;&gt;2),0,IF(HH66&gt;0,HH66,IF(ROUND(DJ66*$J66,6)&lt;ROUND($M66,6),DJ66,0)))</f>
        <v/>
      </c>
      <c r="HJ66" s="68">
        <f>IF(OR($U66=0,$F66&lt;&gt;2),0,IF(HI66&gt;0,HI66,IF(ROUND(DK66*$J66,6)&lt;ROUND($M66,6),DK66,0)))</f>
        <v/>
      </c>
      <c r="HK66" s="68">
        <f>IF(OR($U66=0,$F66&lt;&gt;2),0,IF(HJ66&gt;0,HJ66,IF(ROUND(DL66*$J66,6)&lt;ROUND($M66,6),DL66,0)))</f>
        <v/>
      </c>
      <c r="HL66" s="68">
        <f>IF(OR($U66=0,$F66&lt;&gt;2),0,IF(HK66&gt;0,HK66,IF(ROUND(DM66*$J66,6)&lt;ROUND($M66,6),DM66,0)))</f>
        <v/>
      </c>
      <c r="HM66" s="68">
        <f>IF(OR($U66=0,$F66&lt;&gt;2),0,IF(HL66&gt;0,HL66,IF(ROUND(DN66*$J66,6)&lt;ROUND($M66,6),DN66,0)))</f>
        <v/>
      </c>
      <c r="HN66" s="68">
        <f>IF(OR($U66=0,$F66&lt;&gt;2),0,IF(HM66&gt;0,HM66,IF(ROUND(DO66*$J66,6)&lt;ROUND($M66,6),DO66,0)))</f>
        <v/>
      </c>
      <c r="HO66" s="68">
        <f>IF(OR($U66=0,$F66&lt;&gt;2),0,IF(HN66&gt;0,HN66,IF(ROUND(DP66*$J66,6)&lt;ROUND($M66,6),DP66,0)))</f>
        <v/>
      </c>
      <c r="HP66" s="68">
        <f>IF(OR($U66=0,$F66&lt;&gt;2),0,IF(HO66&gt;0,HO66,IF(ROUND(DQ66*$J66,6)&lt;ROUND($M66,6),DQ66,0)))</f>
        <v/>
      </c>
      <c r="HQ66" s="68">
        <f>IF(OR($U66=0,$F66&lt;&gt;2),0,IF(HP66&gt;0,HP66,IF(ROUND(DR66*$J66,6)&lt;ROUND($M66,6),DR66,0)))</f>
        <v/>
      </c>
      <c r="HR66" s="68">
        <f>IF(OR($U66=0,$F66&lt;&gt;2),0,IF(HQ66&gt;0,HQ66,IF(ROUND(DS66*$J66,6)&lt;ROUND($M66,6),DS66,0)))</f>
        <v/>
      </c>
      <c r="HS66" s="68">
        <f>IF(OR($U66=0,$F66&lt;&gt;2),0,IF(HR66&gt;0,HR66,IF(ROUND(DT66*$J66,6)&lt;ROUND($M66,6),DT66,0)))</f>
        <v/>
      </c>
      <c r="HT66" s="68">
        <f>IF(OR($U66=0,$F66&lt;&gt;2),0,IF(HS66&gt;0,HS66,IF(ROUND(DU66*$J66,6)&lt;ROUND($M66,6),DU66,0)))</f>
        <v/>
      </c>
      <c r="HU66" s="68">
        <f>IF(OR($U66=0,$F66&lt;&gt;2),0,IF(HT66&gt;0,HT66,IF(ROUND(DV66*$J66,6)&lt;ROUND($M66,6),DV66,0)))</f>
        <v/>
      </c>
      <c r="HV66" s="68">
        <f>IF(OR($U66=0,$F66&lt;&gt;2),0,IF(HU66&gt;0,HU66,IF(ROUND(DW66*$J66,6)&lt;ROUND($M66,6),DW66,0)))</f>
        <v/>
      </c>
      <c r="HW66" s="68">
        <f>IF(OR($U66=0,$F66&lt;&gt;2),0,IF(HV66&gt;0,HV66,IF(ROUND(DX66*$J66,6)&lt;ROUND($M66,6),DX66,0)))</f>
        <v/>
      </c>
      <c r="HX66" s="68">
        <f>IF(OR($U66=0,$F66&lt;&gt;2),0,IF(HW66&gt;0,HW66,IF(ROUND(DY66*$J66,6)&lt;ROUND($M66,6),DY66,0)))</f>
        <v/>
      </c>
      <c r="HY66" s="68">
        <f>IF(OR($U66=0,$F66&lt;&gt;2),0,IF(HX66&gt;0,HX66,IF(ROUND(DZ66*$J66,6)&lt;ROUND($M66,6),DZ66,0)))</f>
        <v/>
      </c>
      <c r="HZ66" s="68">
        <f>IF(OR($U66=0,$F66&lt;&gt;2),0,IF(HY66&gt;0,HY66,IF(ROUND(EA66*$J66,6)&lt;ROUND($M66,6),EA66,0)))</f>
        <v/>
      </c>
      <c r="IA66" s="68">
        <f>IF(OR($U66=0,$F66&lt;&gt;2),0,IF(HZ66&gt;0,HZ66,IF(ROUND(EB66*$J66,6)&lt;ROUND($M66,6),EB66,0)))</f>
        <v/>
      </c>
      <c r="IB66" s="68">
        <f>IF(OR($U66=0,$F66&lt;&gt;2),0,IF(IA66&gt;0,IA66,IF(ROUND(EC66*$J66,6)&lt;ROUND($M66,6),EC66,0)))</f>
        <v/>
      </c>
      <c r="IC66" s="68">
        <f>IF(OR($U66=0,$F66&lt;&gt;2),0,IF(IB66&gt;0,IB66,IF(ROUND(ED66*$J66,6)&lt;ROUND($M66,6),ED66,0)))</f>
        <v/>
      </c>
      <c r="ID66" s="68">
        <f>IF(OR($U66=0,$F66&lt;&gt;2),0,IF(IC66&gt;0,IC66,IF(ROUND(EE66*$J66,6)&lt;ROUND($M66,6),EE66,0)))</f>
        <v/>
      </c>
      <c r="IE66" s="68">
        <f>IF(OR($U66=0,$F66&lt;&gt;2),0,IF(ID66&gt;0,ID66,IF(ROUND(EF66*$J66,6)&lt;ROUND($M66,6),EF66,0)))</f>
        <v/>
      </c>
      <c r="IF66" s="68">
        <f>IF(OR($U66=0,$F66&lt;&gt;2),0,IF(IE66&gt;0,IE66,IF(ROUND(EG66*$J66,6)&lt;ROUND($M66,6),EG66,0)))</f>
        <v/>
      </c>
      <c r="IG66" s="68">
        <f>IF(OR($U66=0,$F66&lt;&gt;2),0,IF(IF66&gt;0,IF66,IF(ROUND(EH66*$J66,6)&lt;ROUND($M66,6),EH66,0)))</f>
        <v/>
      </c>
      <c r="IH66" s="68">
        <f>IF(OR($U66=0,$F66&lt;&gt;2),0,IF(IG66&gt;0,IG66,IF(ROUND(EI66*$J66,6)&lt;ROUND($M66,6),EI66,0)))</f>
        <v/>
      </c>
      <c r="II66" s="68">
        <f>IF(OR($U66=0,$F66&lt;&gt;2),0,IF(IH66&gt;0,IH66,IF(ROUND(EJ66*$J66,6)&lt;ROUND($M66,6),EJ66,0)))</f>
        <v/>
      </c>
      <c r="IJ66" s="68">
        <f>IF(OR($U66=0,$F66&lt;&gt;2),0,IF(II66&gt;0,II66,IF(ROUND(EK66*$J66,6)&lt;ROUND($M66,6),EK66,0)))</f>
        <v/>
      </c>
      <c r="IK66" s="68">
        <f>IF(OR($U66=0,$F66&lt;&gt;2),0,IF(IJ66&gt;0,IJ66,IF(ROUND(EL66*$J66,6)&lt;ROUND($M66,6),EL66,0)))</f>
        <v/>
      </c>
      <c r="IL66" s="68">
        <f>IF(OR($U66=0,$F66&lt;&gt;2),0,IF(IK66&gt;0,IK66,IF(ROUND(EM66*$J66,6)&lt;ROUND($M66,6),EM66,0)))</f>
        <v/>
      </c>
      <c r="IM66" s="68">
        <f>IF(OR($U66=0,$F66&lt;&gt;2),0,IF(IL66&gt;0,IL66,IF(ROUND(EN66*$J66,6)&lt;ROUND($M66,6),EN66,0)))</f>
        <v/>
      </c>
      <c r="IN66" s="68">
        <f>IF(OR($U66=0,$F66&lt;&gt;2),0,IF(IM66&gt;0,IM66,IF(ROUND(EO66*$J66,6)&lt;ROUND($M66,6),EO66,0)))</f>
        <v/>
      </c>
    </row>
    <row r="67">
      <c r="A67" s="68" t="n">
        <v>62</v>
      </c>
      <c r="B67" s="68">
        <f>IF(OR(TRIM('固定資産台帳'!$B67)&lt;&gt;"",'固定資産台帳'!$E67&lt;&gt;"",'固定資産台帳'!$G67&lt;&gt;"",'固定資産台帳'!$H67&lt;&gt;""),1,0)</f>
        <v/>
      </c>
      <c r="C67" s="68">
        <f>IF(ISNUMBER('固定資産台帳'!$G67),MAX(ROUND('固定資産台帳'!$G67,0),0),0)</f>
        <v/>
      </c>
      <c r="D67" s="84">
        <f>IF(ISNUMBER('固定資産台帳'!$E67),INT('固定資産台帳'!$E67),0)</f>
        <v/>
      </c>
      <c r="E67" s="84">
        <f>IF(ISNUMBER('固定資産台帳'!$F67),INT('固定資産台帳'!$F67),$D67)</f>
        <v/>
      </c>
      <c r="F67" s="68">
        <f>IF('固定資産台帳'!$H67="定額法",1,IF(OR('固定資産台帳'!$H67="定率法",'固定資産台帳'!$H67="定率法（200%）",'固定資産台帳'!$H67="定率法（250%）"),2,IF('固定資産台帳'!$H67="一括償却（3年）",3,IF('固定資産台帳'!$H67="少額特例",4,0))))</f>
        <v/>
      </c>
      <c r="G67" s="68">
        <f>IF('固定資産台帳'!$H67="定率法（250%）",250,IF('固定資産台帳'!$H67="定率法（200%）",200,IF($D67&gt;=DATE(2012,4,1),200,250)))</f>
        <v/>
      </c>
      <c r="H67" s="68">
        <f>IF(ISNUMBER('固定資産台帳'!$I67),IF(AND('固定資産台帳'!$I67&gt;=2,'固定資産台帳'!$I67&lt;=100,'固定資産台帳'!$I67=INT('固定資産台帳'!$I67)),'固定資産台帳'!$I67,0),0)</f>
        <v/>
      </c>
      <c r="I67" s="68">
        <f>IF('固定資産台帳'!$C67="無形固定資産",0,1)</f>
        <v/>
      </c>
      <c r="J67" s="68">
        <f>IF(OR($H67=0,$F67=0,$F67&gt;2),0,IF($F67=1,INDEX('償却率表'!$B$6:$B$104,$H67-1),IF($G67=200,INDEX('償却率表'!$C$6:$C$104,$H67-1),INDEX('償却率表'!$F$6:$F$104,$H67-1))))</f>
        <v/>
      </c>
      <c r="K67" s="68">
        <f>IF(AND($F67=2,$H67&gt;0),IF($G67=200,INDEX('償却率表'!$D$6:$D$104,$H67-1),INDEX('償却率表'!$G$6:$G$104,$H67-1)),0)</f>
        <v/>
      </c>
      <c r="L67" s="68">
        <f>IF(AND($F67=2,$H67&gt;0),IF($G67=200,INDEX('償却率表'!$E$6:$E$104,$H67-1),INDEX('償却率表'!$H$6:$H$104,$H67-1)),0)</f>
        <v/>
      </c>
      <c r="M67" s="68">
        <f>$C67*$L67</f>
        <v/>
      </c>
      <c r="N67" s="68">
        <f>IF($B$1=1,1,IF('固定資産台帳'!$J67="",1,IF(ISNUMBER('固定資産台帳'!$J67),IF(AND('固定資産台帳'!$J67&gt;0,'固定資産台帳'!$J67&lt;=1),'固定資産台帳'!$J67,0),0)))</f>
        <v/>
      </c>
      <c r="O67" s="68">
        <f>IF($E67=0,0,YEAR($E67)-IF(MONTH($E67)&lt;$B$2,1,0))</f>
        <v/>
      </c>
      <c r="P67" s="68">
        <f>IF($E67=0,0,12-MOD(MONTH($E67)-$B$2,12))</f>
        <v/>
      </c>
      <c r="Q67" s="84">
        <f>IF(ISNUMBER('固定資産台帳'!$K67),INT('固定資産台帳'!$K67),0)</f>
        <v/>
      </c>
      <c r="R67" s="68">
        <f>IF(OR($Q67=0,$E67=0),999,YEAR($Q67)-IF(MONTH($Q67)&lt;$B$2,1,0)-$O67)</f>
        <v/>
      </c>
      <c r="S67" s="68">
        <f>IF($R67=999,0,MOD(MONTH($Q67)-$B$2,12)+1-IF($R67=0,12-$P67,0))</f>
        <v/>
      </c>
      <c r="T67" s="68">
        <f>IF($B67=0,0,IF($C67&lt;=0,1,IF($D67=0,2,IF($F67=0,3,IF(AND($F67&lt;=2,$H67=0),4,IF(AND($F67&lt;=2,$D67&lt;DATE(2007,4,1)),5,IF($E67&lt;$D67,6,IF(AND($Q67&gt;0,$Q67&lt;$E67),7,IF($N67=0,8,IF($B$3=0,9,0))))))))))</f>
        <v/>
      </c>
      <c r="U67" s="68">
        <f>IF(AND($B67=1,$T67=0),1,0)</f>
        <v/>
      </c>
      <c r="V67" s="68">
        <f>$B$3-$O67</f>
        <v/>
      </c>
      <c r="W67" s="68">
        <f>IF(AND($U67=1,$V67&gt;=0),1,0)</f>
        <v/>
      </c>
      <c r="X67" s="68">
        <f>IF($W67=0,0,IF($V67=0,$C67,INDEX($AS67:$EP67,MIN($V67,102))))</f>
        <v/>
      </c>
      <c r="Y67" s="68">
        <f>IF($W67=0,0,INDEX($AS67:$EP67,MIN($V67,101)+1))</f>
        <v/>
      </c>
      <c r="Z67" s="68">
        <f>$X67-$Y67</f>
        <v/>
      </c>
      <c r="AA67" s="68">
        <f>IF(AND($W67=1,$F67=2,$V67&gt;=1),INDEX($ER67:$IN67,MIN($V67,101)),0)</f>
        <v/>
      </c>
      <c r="AB67" s="68">
        <f>IF(OR($W67=0,$F67&gt;2,$Z67=0),0,IF($V67=0,IF($R67=0,$S67,$P67),IF($V67=$R67,$S67,12)))</f>
        <v/>
      </c>
      <c r="AC67" s="68">
        <f>IF($W67=0,0,INT(ROUND($Z67*$N67,6)+$B$4))</f>
        <v/>
      </c>
      <c r="AD67" s="68">
        <f>IF(AND($W67=1,$F67&lt;=2,$V67=$R67),1,0)</f>
        <v/>
      </c>
      <c r="AE67" s="68">
        <f>IF(AND($W67=1,$F67&lt;=2,$V67&gt;$R67),1,0)</f>
        <v/>
      </c>
      <c r="AF67" s="68">
        <f>IF(AND($W67=1,$AE67=0,OR($Z67&gt;0,$AD67=1)),1,0)</f>
        <v/>
      </c>
      <c r="AG67" s="68">
        <f>IF($AF67=1,SUM($AF$6:$AF67),0)</f>
        <v/>
      </c>
      <c r="AH67" s="68">
        <f>IF($T67=0,"",CHOOSE($T67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67" s="68">
        <f>IF(AND($F67=2,OR('固定資産台帳'!$C67="建物",'固定資産台帳'!$C67="無形固定資産",AND(OR('固定資産台帳'!$C67="建物附属設備",'固定資産台帳'!$C67="構築物"),$D67&gt;=DATE(2016,4,1)))),"この資産は定額法だけです（定率法は使えません）。","")&amp;IF(AND($F67=3,$C67&gt;=200000),"一括償却は20万円未満の資産だけです。","")&amp;IF(AND($F67=3,$B$1=0,$C67&lt;100000),"10万円未満は一括償却にせず、全額をその年の経費にします。","")&amp;IF(AND($F67=4,$C67&lt;100000),"10万円未満は少額特例ではなく、全額をその年の経費にします。","")&amp;IF(AND($F67=4,$D67&lt;DATE(2026,4,1),$C67&gt;=300000),"2026年3月31日までの取得で少額特例が使えるのは30万円未満です。","")&amp;IF(AND($F67=4,$D67&gt;=DATE(2026,4,1),$C67&gt;=400000),"少額特例は40万円未満の資産だけです。","")&amp;IF(AND($F67=4,OR($D67&lt;DATE(2006,4,1),$D67&gt;DATE(2029,3,31))),"少額特例は2006年4月1日〜2029年3月31日に取得した資産だけです。","")&amp;IF(AND($F67=2,$G67=250,$D67&gt;DATE(2012,12,31)),"250%定率法は2012年12月31日までの取得だけです。","")</f>
        <v/>
      </c>
      <c r="AJ67" s="68">
        <f>IF(AND($F67=2,'固定資産台帳'!$H67="定率法（200%）",$D67&lt;DATE(2012,4,1)),"2012年3月31日までの取得に200%を使うのは、経過措置の届出をした場合です。","")&amp;IF(AND($F67=2,'固定資産台帳'!$H67="定率法（250%）",$D67&gt;=DATE(2012,4,1),$D67&lt;=DATE(2012,12,31)),"2012年4〜12月の取得に250%を使うのは、経過措置を選んだ場合です。","")</f>
        <v/>
      </c>
      <c r="AK67" s="68">
        <f>IF($U67=0,"",IF($V67&lt;0,"表示している年より後に使い始める資産です。",IF($AE67=1,"売却・除却済みです。",IF($AD67=1,"この年に売却・除却。期末の帳簿価額 "&amp;TEXT($Y67,"#,##0")&amp;"円を帳簿から外します。",IF($F67=4,IF($V67=0,"少額特例：この年に全額を経費にします。","少額特例で経費にした資産です。"),IF($F67=3,IF($V67&gt;2,"一括償却は終わっています。","一括償却 "&amp;($V67+1)&amp;"年目（3年のうち）。"),IF($Z67=0,"償却済み（帳簿価額 "&amp;TEXT($Y67,"#,##0")&amp;"円）。",IF($AA67&gt;0,"改定償却率で計算（改定取得価額 "&amp;TEXT($AA67,"#,##0")&amp;"円）。",IF($V67=0,"この年に使い始め（"&amp;$AB67&amp;"か月分）。","")))))))))</f>
        <v/>
      </c>
      <c r="AL67" s="68">
        <f>IF(AND($U67=1,$F67=4,$V67=0),$C67,0)</f>
        <v/>
      </c>
      <c r="AM67" s="68">
        <f>IF($F67=2,INT(ROUND($M67,6)+$B$4),0)</f>
        <v/>
      </c>
      <c r="AN67" s="68">
        <f>IF($W67=0,0,IF($F67=2,IF($AA67&gt;0,$AA67,$X67),$C67))</f>
        <v/>
      </c>
      <c r="AO67" s="68">
        <f>IF($W67=0,"",IF($F67=3,"1/3",IF($F67=4,"―",IF($AA67&gt;0,$K67,$J67))))</f>
        <v/>
      </c>
      <c r="AP67" s="68" t="n"/>
      <c r="AQ67" s="68" t="n"/>
      <c r="AR67" s="68" t="n"/>
      <c r="AS67" s="68">
        <f>IF($U67=0,0,IF($F67=4,0,IF($F67=3,MAX($C67-INT(ROUND($C67/3,6)+$B$4),0),$C67-MIN(INT(ROUND($C67*$J67*IF($R67=0,$S67,$P67)/12,6)+$B$4),MAX($C67-$I67,0)))))</f>
        <v/>
      </c>
      <c r="AT67" s="68">
        <f>IF($U67=0,0,IF($F67=4,0,IF($F67=3,AS67-MIN(INT(ROUND($C67/3,6)+$B$4),AS67),IF(OR(1&gt;$R67,AS67&lt;=$I67),AS67,AS67-MIN(INT(ROUND(IF($F67=1,$C67*$J67,IF(ER67&gt;0,ER67*$K67,AS67*$J67))*IF(1=$R67,$S67,12)/12,6)+$B$4),AS67-$I67)))))</f>
        <v/>
      </c>
      <c r="AU67" s="68">
        <f>IF($U67=0,0,IF($F67=4,0,IF($F67=3,0,IF(OR(2&gt;$R67,AT67&lt;=$I67),AT67,AT67-MIN(INT(ROUND(IF($F67=1,$C67*$J67,IF(ES67&gt;0,ES67*$K67,AT67*$J67))*IF(2=$R67,$S67,12)/12,6)+$B$4),AT67-$I67)))))</f>
        <v/>
      </c>
      <c r="AV67" s="68">
        <f>IF($U67=0,0,IF($F67=4,0,IF($F67=3,0,IF(OR(3&gt;$R67,AU67&lt;=$I67),AU67,AU67-MIN(INT(ROUND(IF($F67=1,$C67*$J67,IF(ET67&gt;0,ET67*$K67,AU67*$J67))*IF(3=$R67,$S67,12)/12,6)+$B$4),AU67-$I67)))))</f>
        <v/>
      </c>
      <c r="AW67" s="68">
        <f>IF($U67=0,0,IF($F67=4,0,IF($F67=3,0,IF(OR(4&gt;$R67,AV67&lt;=$I67),AV67,AV67-MIN(INT(ROUND(IF($F67=1,$C67*$J67,IF(EU67&gt;0,EU67*$K67,AV67*$J67))*IF(4=$R67,$S67,12)/12,6)+$B$4),AV67-$I67)))))</f>
        <v/>
      </c>
      <c r="AX67" s="68">
        <f>IF($U67=0,0,IF($F67=4,0,IF($F67=3,0,IF(OR(5&gt;$R67,AW67&lt;=$I67),AW67,AW67-MIN(INT(ROUND(IF($F67=1,$C67*$J67,IF(EV67&gt;0,EV67*$K67,AW67*$J67))*IF(5=$R67,$S67,12)/12,6)+$B$4),AW67-$I67)))))</f>
        <v/>
      </c>
      <c r="AY67" s="68">
        <f>IF($U67=0,0,IF($F67=4,0,IF($F67=3,0,IF(OR(6&gt;$R67,AX67&lt;=$I67),AX67,AX67-MIN(INT(ROUND(IF($F67=1,$C67*$J67,IF(EW67&gt;0,EW67*$K67,AX67*$J67))*IF(6=$R67,$S67,12)/12,6)+$B$4),AX67-$I67)))))</f>
        <v/>
      </c>
      <c r="AZ67" s="68">
        <f>IF($U67=0,0,IF($F67=4,0,IF($F67=3,0,IF(OR(7&gt;$R67,AY67&lt;=$I67),AY67,AY67-MIN(INT(ROUND(IF($F67=1,$C67*$J67,IF(EX67&gt;0,EX67*$K67,AY67*$J67))*IF(7=$R67,$S67,12)/12,6)+$B$4),AY67-$I67)))))</f>
        <v/>
      </c>
      <c r="BA67" s="68">
        <f>IF($U67=0,0,IF($F67=4,0,IF($F67=3,0,IF(OR(8&gt;$R67,AZ67&lt;=$I67),AZ67,AZ67-MIN(INT(ROUND(IF($F67=1,$C67*$J67,IF(EY67&gt;0,EY67*$K67,AZ67*$J67))*IF(8=$R67,$S67,12)/12,6)+$B$4),AZ67-$I67)))))</f>
        <v/>
      </c>
      <c r="BB67" s="68">
        <f>IF($U67=0,0,IF($F67=4,0,IF($F67=3,0,IF(OR(9&gt;$R67,BA67&lt;=$I67),BA67,BA67-MIN(INT(ROUND(IF($F67=1,$C67*$J67,IF(EZ67&gt;0,EZ67*$K67,BA67*$J67))*IF(9=$R67,$S67,12)/12,6)+$B$4),BA67-$I67)))))</f>
        <v/>
      </c>
      <c r="BC67" s="68">
        <f>IF($U67=0,0,IF($F67=4,0,IF($F67=3,0,IF(OR(10&gt;$R67,BB67&lt;=$I67),BB67,BB67-MIN(INT(ROUND(IF($F67=1,$C67*$J67,IF(FA67&gt;0,FA67*$K67,BB67*$J67))*IF(10=$R67,$S67,12)/12,6)+$B$4),BB67-$I67)))))</f>
        <v/>
      </c>
      <c r="BD67" s="68">
        <f>IF($U67=0,0,IF($F67=4,0,IF($F67=3,0,IF(OR(11&gt;$R67,BC67&lt;=$I67),BC67,BC67-MIN(INT(ROUND(IF($F67=1,$C67*$J67,IF(FB67&gt;0,FB67*$K67,BC67*$J67))*IF(11=$R67,$S67,12)/12,6)+$B$4),BC67-$I67)))))</f>
        <v/>
      </c>
      <c r="BE67" s="68">
        <f>IF($U67=0,0,IF($F67=4,0,IF($F67=3,0,IF(OR(12&gt;$R67,BD67&lt;=$I67),BD67,BD67-MIN(INT(ROUND(IF($F67=1,$C67*$J67,IF(FC67&gt;0,FC67*$K67,BD67*$J67))*IF(12=$R67,$S67,12)/12,6)+$B$4),BD67-$I67)))))</f>
        <v/>
      </c>
      <c r="BF67" s="68">
        <f>IF($U67=0,0,IF($F67=4,0,IF($F67=3,0,IF(OR(13&gt;$R67,BE67&lt;=$I67),BE67,BE67-MIN(INT(ROUND(IF($F67=1,$C67*$J67,IF(FD67&gt;0,FD67*$K67,BE67*$J67))*IF(13=$R67,$S67,12)/12,6)+$B$4),BE67-$I67)))))</f>
        <v/>
      </c>
      <c r="BG67" s="68">
        <f>IF($U67=0,0,IF($F67=4,0,IF($F67=3,0,IF(OR(14&gt;$R67,BF67&lt;=$I67),BF67,BF67-MIN(INT(ROUND(IF($F67=1,$C67*$J67,IF(FE67&gt;0,FE67*$K67,BF67*$J67))*IF(14=$R67,$S67,12)/12,6)+$B$4),BF67-$I67)))))</f>
        <v/>
      </c>
      <c r="BH67" s="68">
        <f>IF($U67=0,0,IF($F67=4,0,IF($F67=3,0,IF(OR(15&gt;$R67,BG67&lt;=$I67),BG67,BG67-MIN(INT(ROUND(IF($F67=1,$C67*$J67,IF(FF67&gt;0,FF67*$K67,BG67*$J67))*IF(15=$R67,$S67,12)/12,6)+$B$4),BG67-$I67)))))</f>
        <v/>
      </c>
      <c r="BI67" s="68">
        <f>IF($U67=0,0,IF($F67=4,0,IF($F67=3,0,IF(OR(16&gt;$R67,BH67&lt;=$I67),BH67,BH67-MIN(INT(ROUND(IF($F67=1,$C67*$J67,IF(FG67&gt;0,FG67*$K67,BH67*$J67))*IF(16=$R67,$S67,12)/12,6)+$B$4),BH67-$I67)))))</f>
        <v/>
      </c>
      <c r="BJ67" s="68">
        <f>IF($U67=0,0,IF($F67=4,0,IF($F67=3,0,IF(OR(17&gt;$R67,BI67&lt;=$I67),BI67,BI67-MIN(INT(ROUND(IF($F67=1,$C67*$J67,IF(FH67&gt;0,FH67*$K67,BI67*$J67))*IF(17=$R67,$S67,12)/12,6)+$B$4),BI67-$I67)))))</f>
        <v/>
      </c>
      <c r="BK67" s="68">
        <f>IF($U67=0,0,IF($F67=4,0,IF($F67=3,0,IF(OR(18&gt;$R67,BJ67&lt;=$I67),BJ67,BJ67-MIN(INT(ROUND(IF($F67=1,$C67*$J67,IF(FI67&gt;0,FI67*$K67,BJ67*$J67))*IF(18=$R67,$S67,12)/12,6)+$B$4),BJ67-$I67)))))</f>
        <v/>
      </c>
      <c r="BL67" s="68">
        <f>IF($U67=0,0,IF($F67=4,0,IF($F67=3,0,IF(OR(19&gt;$R67,BK67&lt;=$I67),BK67,BK67-MIN(INT(ROUND(IF($F67=1,$C67*$J67,IF(FJ67&gt;0,FJ67*$K67,BK67*$J67))*IF(19=$R67,$S67,12)/12,6)+$B$4),BK67-$I67)))))</f>
        <v/>
      </c>
      <c r="BM67" s="68">
        <f>IF($U67=0,0,IF($F67=4,0,IF($F67=3,0,IF(OR(20&gt;$R67,BL67&lt;=$I67),BL67,BL67-MIN(INT(ROUND(IF($F67=1,$C67*$J67,IF(FK67&gt;0,FK67*$K67,BL67*$J67))*IF(20=$R67,$S67,12)/12,6)+$B$4),BL67-$I67)))))</f>
        <v/>
      </c>
      <c r="BN67" s="68">
        <f>IF($U67=0,0,IF($F67=4,0,IF($F67=3,0,IF(OR(21&gt;$R67,BM67&lt;=$I67),BM67,BM67-MIN(INT(ROUND(IF($F67=1,$C67*$J67,IF(FL67&gt;0,FL67*$K67,BM67*$J67))*IF(21=$R67,$S67,12)/12,6)+$B$4),BM67-$I67)))))</f>
        <v/>
      </c>
      <c r="BO67" s="68">
        <f>IF($U67=0,0,IF($F67=4,0,IF($F67=3,0,IF(OR(22&gt;$R67,BN67&lt;=$I67),BN67,BN67-MIN(INT(ROUND(IF($F67=1,$C67*$J67,IF(FM67&gt;0,FM67*$K67,BN67*$J67))*IF(22=$R67,$S67,12)/12,6)+$B$4),BN67-$I67)))))</f>
        <v/>
      </c>
      <c r="BP67" s="68">
        <f>IF($U67=0,0,IF($F67=4,0,IF($F67=3,0,IF(OR(23&gt;$R67,BO67&lt;=$I67),BO67,BO67-MIN(INT(ROUND(IF($F67=1,$C67*$J67,IF(FN67&gt;0,FN67*$K67,BO67*$J67))*IF(23=$R67,$S67,12)/12,6)+$B$4),BO67-$I67)))))</f>
        <v/>
      </c>
      <c r="BQ67" s="68">
        <f>IF($U67=0,0,IF($F67=4,0,IF($F67=3,0,IF(OR(24&gt;$R67,BP67&lt;=$I67),BP67,BP67-MIN(INT(ROUND(IF($F67=1,$C67*$J67,IF(FO67&gt;0,FO67*$K67,BP67*$J67))*IF(24=$R67,$S67,12)/12,6)+$B$4),BP67-$I67)))))</f>
        <v/>
      </c>
      <c r="BR67" s="68">
        <f>IF($U67=0,0,IF($F67=4,0,IF($F67=3,0,IF(OR(25&gt;$R67,BQ67&lt;=$I67),BQ67,BQ67-MIN(INT(ROUND(IF($F67=1,$C67*$J67,IF(FP67&gt;0,FP67*$K67,BQ67*$J67))*IF(25=$R67,$S67,12)/12,6)+$B$4),BQ67-$I67)))))</f>
        <v/>
      </c>
      <c r="BS67" s="68">
        <f>IF($U67=0,0,IF($F67=4,0,IF($F67=3,0,IF(OR(26&gt;$R67,BR67&lt;=$I67),BR67,BR67-MIN(INT(ROUND(IF($F67=1,$C67*$J67,IF(FQ67&gt;0,FQ67*$K67,BR67*$J67))*IF(26=$R67,$S67,12)/12,6)+$B$4),BR67-$I67)))))</f>
        <v/>
      </c>
      <c r="BT67" s="68">
        <f>IF($U67=0,0,IF($F67=4,0,IF($F67=3,0,IF(OR(27&gt;$R67,BS67&lt;=$I67),BS67,BS67-MIN(INT(ROUND(IF($F67=1,$C67*$J67,IF(FR67&gt;0,FR67*$K67,BS67*$J67))*IF(27=$R67,$S67,12)/12,6)+$B$4),BS67-$I67)))))</f>
        <v/>
      </c>
      <c r="BU67" s="68">
        <f>IF($U67=0,0,IF($F67=4,0,IF($F67=3,0,IF(OR(28&gt;$R67,BT67&lt;=$I67),BT67,BT67-MIN(INT(ROUND(IF($F67=1,$C67*$J67,IF(FS67&gt;0,FS67*$K67,BT67*$J67))*IF(28=$R67,$S67,12)/12,6)+$B$4),BT67-$I67)))))</f>
        <v/>
      </c>
      <c r="BV67" s="68">
        <f>IF($U67=0,0,IF($F67=4,0,IF($F67=3,0,IF(OR(29&gt;$R67,BU67&lt;=$I67),BU67,BU67-MIN(INT(ROUND(IF($F67=1,$C67*$J67,IF(FT67&gt;0,FT67*$K67,BU67*$J67))*IF(29=$R67,$S67,12)/12,6)+$B$4),BU67-$I67)))))</f>
        <v/>
      </c>
      <c r="BW67" s="68">
        <f>IF($U67=0,0,IF($F67=4,0,IF($F67=3,0,IF(OR(30&gt;$R67,BV67&lt;=$I67),BV67,BV67-MIN(INT(ROUND(IF($F67=1,$C67*$J67,IF(FU67&gt;0,FU67*$K67,BV67*$J67))*IF(30=$R67,$S67,12)/12,6)+$B$4),BV67-$I67)))))</f>
        <v/>
      </c>
      <c r="BX67" s="68">
        <f>IF($U67=0,0,IF($F67=4,0,IF($F67=3,0,IF(OR(31&gt;$R67,BW67&lt;=$I67),BW67,BW67-MIN(INT(ROUND(IF($F67=1,$C67*$J67,IF(FV67&gt;0,FV67*$K67,BW67*$J67))*IF(31=$R67,$S67,12)/12,6)+$B$4),BW67-$I67)))))</f>
        <v/>
      </c>
      <c r="BY67" s="68">
        <f>IF($U67=0,0,IF($F67=4,0,IF($F67=3,0,IF(OR(32&gt;$R67,BX67&lt;=$I67),BX67,BX67-MIN(INT(ROUND(IF($F67=1,$C67*$J67,IF(FW67&gt;0,FW67*$K67,BX67*$J67))*IF(32=$R67,$S67,12)/12,6)+$B$4),BX67-$I67)))))</f>
        <v/>
      </c>
      <c r="BZ67" s="68">
        <f>IF($U67=0,0,IF($F67=4,0,IF($F67=3,0,IF(OR(33&gt;$R67,BY67&lt;=$I67),BY67,BY67-MIN(INT(ROUND(IF($F67=1,$C67*$J67,IF(FX67&gt;0,FX67*$K67,BY67*$J67))*IF(33=$R67,$S67,12)/12,6)+$B$4),BY67-$I67)))))</f>
        <v/>
      </c>
      <c r="CA67" s="68">
        <f>IF($U67=0,0,IF($F67=4,0,IF($F67=3,0,IF(OR(34&gt;$R67,BZ67&lt;=$I67),BZ67,BZ67-MIN(INT(ROUND(IF($F67=1,$C67*$J67,IF(FY67&gt;0,FY67*$K67,BZ67*$J67))*IF(34=$R67,$S67,12)/12,6)+$B$4),BZ67-$I67)))))</f>
        <v/>
      </c>
      <c r="CB67" s="68">
        <f>IF($U67=0,0,IF($F67=4,0,IF($F67=3,0,IF(OR(35&gt;$R67,CA67&lt;=$I67),CA67,CA67-MIN(INT(ROUND(IF($F67=1,$C67*$J67,IF(FZ67&gt;0,FZ67*$K67,CA67*$J67))*IF(35=$R67,$S67,12)/12,6)+$B$4),CA67-$I67)))))</f>
        <v/>
      </c>
      <c r="CC67" s="68">
        <f>IF($U67=0,0,IF($F67=4,0,IF($F67=3,0,IF(OR(36&gt;$R67,CB67&lt;=$I67),CB67,CB67-MIN(INT(ROUND(IF($F67=1,$C67*$J67,IF(GA67&gt;0,GA67*$K67,CB67*$J67))*IF(36=$R67,$S67,12)/12,6)+$B$4),CB67-$I67)))))</f>
        <v/>
      </c>
      <c r="CD67" s="68">
        <f>IF($U67=0,0,IF($F67=4,0,IF($F67=3,0,IF(OR(37&gt;$R67,CC67&lt;=$I67),CC67,CC67-MIN(INT(ROUND(IF($F67=1,$C67*$J67,IF(GB67&gt;0,GB67*$K67,CC67*$J67))*IF(37=$R67,$S67,12)/12,6)+$B$4),CC67-$I67)))))</f>
        <v/>
      </c>
      <c r="CE67" s="68">
        <f>IF($U67=0,0,IF($F67=4,0,IF($F67=3,0,IF(OR(38&gt;$R67,CD67&lt;=$I67),CD67,CD67-MIN(INT(ROUND(IF($F67=1,$C67*$J67,IF(GC67&gt;0,GC67*$K67,CD67*$J67))*IF(38=$R67,$S67,12)/12,6)+$B$4),CD67-$I67)))))</f>
        <v/>
      </c>
      <c r="CF67" s="68">
        <f>IF($U67=0,0,IF($F67=4,0,IF($F67=3,0,IF(OR(39&gt;$R67,CE67&lt;=$I67),CE67,CE67-MIN(INT(ROUND(IF($F67=1,$C67*$J67,IF(GD67&gt;0,GD67*$K67,CE67*$J67))*IF(39=$R67,$S67,12)/12,6)+$B$4),CE67-$I67)))))</f>
        <v/>
      </c>
      <c r="CG67" s="68">
        <f>IF($U67=0,0,IF($F67=4,0,IF($F67=3,0,IF(OR(40&gt;$R67,CF67&lt;=$I67),CF67,CF67-MIN(INT(ROUND(IF($F67=1,$C67*$J67,IF(GE67&gt;0,GE67*$K67,CF67*$J67))*IF(40=$R67,$S67,12)/12,6)+$B$4),CF67-$I67)))))</f>
        <v/>
      </c>
      <c r="CH67" s="68">
        <f>IF($U67=0,0,IF($F67=4,0,IF($F67=3,0,IF(OR(41&gt;$R67,CG67&lt;=$I67),CG67,CG67-MIN(INT(ROUND(IF($F67=1,$C67*$J67,IF(GF67&gt;0,GF67*$K67,CG67*$J67))*IF(41=$R67,$S67,12)/12,6)+$B$4),CG67-$I67)))))</f>
        <v/>
      </c>
      <c r="CI67" s="68">
        <f>IF($U67=0,0,IF($F67=4,0,IF($F67=3,0,IF(OR(42&gt;$R67,CH67&lt;=$I67),CH67,CH67-MIN(INT(ROUND(IF($F67=1,$C67*$J67,IF(GG67&gt;0,GG67*$K67,CH67*$J67))*IF(42=$R67,$S67,12)/12,6)+$B$4),CH67-$I67)))))</f>
        <v/>
      </c>
      <c r="CJ67" s="68">
        <f>IF($U67=0,0,IF($F67=4,0,IF($F67=3,0,IF(OR(43&gt;$R67,CI67&lt;=$I67),CI67,CI67-MIN(INT(ROUND(IF($F67=1,$C67*$J67,IF(GH67&gt;0,GH67*$K67,CI67*$J67))*IF(43=$R67,$S67,12)/12,6)+$B$4),CI67-$I67)))))</f>
        <v/>
      </c>
      <c r="CK67" s="68">
        <f>IF($U67=0,0,IF($F67=4,0,IF($F67=3,0,IF(OR(44&gt;$R67,CJ67&lt;=$I67),CJ67,CJ67-MIN(INT(ROUND(IF($F67=1,$C67*$J67,IF(GI67&gt;0,GI67*$K67,CJ67*$J67))*IF(44=$R67,$S67,12)/12,6)+$B$4),CJ67-$I67)))))</f>
        <v/>
      </c>
      <c r="CL67" s="68">
        <f>IF($U67=0,0,IF($F67=4,0,IF($F67=3,0,IF(OR(45&gt;$R67,CK67&lt;=$I67),CK67,CK67-MIN(INT(ROUND(IF($F67=1,$C67*$J67,IF(GJ67&gt;0,GJ67*$K67,CK67*$J67))*IF(45=$R67,$S67,12)/12,6)+$B$4),CK67-$I67)))))</f>
        <v/>
      </c>
      <c r="CM67" s="68">
        <f>IF($U67=0,0,IF($F67=4,0,IF($F67=3,0,IF(OR(46&gt;$R67,CL67&lt;=$I67),CL67,CL67-MIN(INT(ROUND(IF($F67=1,$C67*$J67,IF(GK67&gt;0,GK67*$K67,CL67*$J67))*IF(46=$R67,$S67,12)/12,6)+$B$4),CL67-$I67)))))</f>
        <v/>
      </c>
      <c r="CN67" s="68">
        <f>IF($U67=0,0,IF($F67=4,0,IF($F67=3,0,IF(OR(47&gt;$R67,CM67&lt;=$I67),CM67,CM67-MIN(INT(ROUND(IF($F67=1,$C67*$J67,IF(GL67&gt;0,GL67*$K67,CM67*$J67))*IF(47=$R67,$S67,12)/12,6)+$B$4),CM67-$I67)))))</f>
        <v/>
      </c>
      <c r="CO67" s="68">
        <f>IF($U67=0,0,IF($F67=4,0,IF($F67=3,0,IF(OR(48&gt;$R67,CN67&lt;=$I67),CN67,CN67-MIN(INT(ROUND(IF($F67=1,$C67*$J67,IF(GM67&gt;0,GM67*$K67,CN67*$J67))*IF(48=$R67,$S67,12)/12,6)+$B$4),CN67-$I67)))))</f>
        <v/>
      </c>
      <c r="CP67" s="68">
        <f>IF($U67=0,0,IF($F67=4,0,IF($F67=3,0,IF(OR(49&gt;$R67,CO67&lt;=$I67),CO67,CO67-MIN(INT(ROUND(IF($F67=1,$C67*$J67,IF(GN67&gt;0,GN67*$K67,CO67*$J67))*IF(49=$R67,$S67,12)/12,6)+$B$4),CO67-$I67)))))</f>
        <v/>
      </c>
      <c r="CQ67" s="68">
        <f>IF($U67=0,0,IF($F67=4,0,IF($F67=3,0,IF(OR(50&gt;$R67,CP67&lt;=$I67),CP67,CP67-MIN(INT(ROUND(IF($F67=1,$C67*$J67,IF(GO67&gt;0,GO67*$K67,CP67*$J67))*IF(50=$R67,$S67,12)/12,6)+$B$4),CP67-$I67)))))</f>
        <v/>
      </c>
      <c r="CR67" s="68">
        <f>IF($U67=0,0,IF($F67=4,0,IF($F67=3,0,IF(OR(51&gt;$R67,CQ67&lt;=$I67),CQ67,CQ67-MIN(INT(ROUND(IF($F67=1,$C67*$J67,IF(GP67&gt;0,GP67*$K67,CQ67*$J67))*IF(51=$R67,$S67,12)/12,6)+$B$4),CQ67-$I67)))))</f>
        <v/>
      </c>
      <c r="CS67" s="68">
        <f>IF($U67=0,0,IF($F67=4,0,IF($F67=3,0,IF(OR(52&gt;$R67,CR67&lt;=$I67),CR67,CR67-MIN(INT(ROUND(IF($F67=1,$C67*$J67,IF(GQ67&gt;0,GQ67*$K67,CR67*$J67))*IF(52=$R67,$S67,12)/12,6)+$B$4),CR67-$I67)))))</f>
        <v/>
      </c>
      <c r="CT67" s="68">
        <f>IF($U67=0,0,IF($F67=4,0,IF($F67=3,0,IF(OR(53&gt;$R67,CS67&lt;=$I67),CS67,CS67-MIN(INT(ROUND(IF($F67=1,$C67*$J67,IF(GR67&gt;0,GR67*$K67,CS67*$J67))*IF(53=$R67,$S67,12)/12,6)+$B$4),CS67-$I67)))))</f>
        <v/>
      </c>
      <c r="CU67" s="68">
        <f>IF($U67=0,0,IF($F67=4,0,IF($F67=3,0,IF(OR(54&gt;$R67,CT67&lt;=$I67),CT67,CT67-MIN(INT(ROUND(IF($F67=1,$C67*$J67,IF(GS67&gt;0,GS67*$K67,CT67*$J67))*IF(54=$R67,$S67,12)/12,6)+$B$4),CT67-$I67)))))</f>
        <v/>
      </c>
      <c r="CV67" s="68">
        <f>IF($U67=0,0,IF($F67=4,0,IF($F67=3,0,IF(OR(55&gt;$R67,CU67&lt;=$I67),CU67,CU67-MIN(INT(ROUND(IF($F67=1,$C67*$J67,IF(GT67&gt;0,GT67*$K67,CU67*$J67))*IF(55=$R67,$S67,12)/12,6)+$B$4),CU67-$I67)))))</f>
        <v/>
      </c>
      <c r="CW67" s="68">
        <f>IF($U67=0,0,IF($F67=4,0,IF($F67=3,0,IF(OR(56&gt;$R67,CV67&lt;=$I67),CV67,CV67-MIN(INT(ROUND(IF($F67=1,$C67*$J67,IF(GU67&gt;0,GU67*$K67,CV67*$J67))*IF(56=$R67,$S67,12)/12,6)+$B$4),CV67-$I67)))))</f>
        <v/>
      </c>
      <c r="CX67" s="68">
        <f>IF($U67=0,0,IF($F67=4,0,IF($F67=3,0,IF(OR(57&gt;$R67,CW67&lt;=$I67),CW67,CW67-MIN(INT(ROUND(IF($F67=1,$C67*$J67,IF(GV67&gt;0,GV67*$K67,CW67*$J67))*IF(57=$R67,$S67,12)/12,6)+$B$4),CW67-$I67)))))</f>
        <v/>
      </c>
      <c r="CY67" s="68">
        <f>IF($U67=0,0,IF($F67=4,0,IF($F67=3,0,IF(OR(58&gt;$R67,CX67&lt;=$I67),CX67,CX67-MIN(INT(ROUND(IF($F67=1,$C67*$J67,IF(GW67&gt;0,GW67*$K67,CX67*$J67))*IF(58=$R67,$S67,12)/12,6)+$B$4),CX67-$I67)))))</f>
        <v/>
      </c>
      <c r="CZ67" s="68">
        <f>IF($U67=0,0,IF($F67=4,0,IF($F67=3,0,IF(OR(59&gt;$R67,CY67&lt;=$I67),CY67,CY67-MIN(INT(ROUND(IF($F67=1,$C67*$J67,IF(GX67&gt;0,GX67*$K67,CY67*$J67))*IF(59=$R67,$S67,12)/12,6)+$B$4),CY67-$I67)))))</f>
        <v/>
      </c>
      <c r="DA67" s="68">
        <f>IF($U67=0,0,IF($F67=4,0,IF($F67=3,0,IF(OR(60&gt;$R67,CZ67&lt;=$I67),CZ67,CZ67-MIN(INT(ROUND(IF($F67=1,$C67*$J67,IF(GY67&gt;0,GY67*$K67,CZ67*$J67))*IF(60=$R67,$S67,12)/12,6)+$B$4),CZ67-$I67)))))</f>
        <v/>
      </c>
      <c r="DB67" s="68">
        <f>IF($U67=0,0,IF($F67=4,0,IF($F67=3,0,IF(OR(61&gt;$R67,DA67&lt;=$I67),DA67,DA67-MIN(INT(ROUND(IF($F67=1,$C67*$J67,IF(GZ67&gt;0,GZ67*$K67,DA67*$J67))*IF(61=$R67,$S67,12)/12,6)+$B$4),DA67-$I67)))))</f>
        <v/>
      </c>
      <c r="DC67" s="68">
        <f>IF($U67=0,0,IF($F67=4,0,IF($F67=3,0,IF(OR(62&gt;$R67,DB67&lt;=$I67),DB67,DB67-MIN(INT(ROUND(IF($F67=1,$C67*$J67,IF(HA67&gt;0,HA67*$K67,DB67*$J67))*IF(62=$R67,$S67,12)/12,6)+$B$4),DB67-$I67)))))</f>
        <v/>
      </c>
      <c r="DD67" s="68">
        <f>IF($U67=0,0,IF($F67=4,0,IF($F67=3,0,IF(OR(63&gt;$R67,DC67&lt;=$I67),DC67,DC67-MIN(INT(ROUND(IF($F67=1,$C67*$J67,IF(HB67&gt;0,HB67*$K67,DC67*$J67))*IF(63=$R67,$S67,12)/12,6)+$B$4),DC67-$I67)))))</f>
        <v/>
      </c>
      <c r="DE67" s="68">
        <f>IF($U67=0,0,IF($F67=4,0,IF($F67=3,0,IF(OR(64&gt;$R67,DD67&lt;=$I67),DD67,DD67-MIN(INT(ROUND(IF($F67=1,$C67*$J67,IF(HC67&gt;0,HC67*$K67,DD67*$J67))*IF(64=$R67,$S67,12)/12,6)+$B$4),DD67-$I67)))))</f>
        <v/>
      </c>
      <c r="DF67" s="68">
        <f>IF($U67=0,0,IF($F67=4,0,IF($F67=3,0,IF(OR(65&gt;$R67,DE67&lt;=$I67),DE67,DE67-MIN(INT(ROUND(IF($F67=1,$C67*$J67,IF(HD67&gt;0,HD67*$K67,DE67*$J67))*IF(65=$R67,$S67,12)/12,6)+$B$4),DE67-$I67)))))</f>
        <v/>
      </c>
      <c r="DG67" s="68">
        <f>IF($U67=0,0,IF($F67=4,0,IF($F67=3,0,IF(OR(66&gt;$R67,DF67&lt;=$I67),DF67,DF67-MIN(INT(ROUND(IF($F67=1,$C67*$J67,IF(HE67&gt;0,HE67*$K67,DF67*$J67))*IF(66=$R67,$S67,12)/12,6)+$B$4),DF67-$I67)))))</f>
        <v/>
      </c>
      <c r="DH67" s="68">
        <f>IF($U67=0,0,IF($F67=4,0,IF($F67=3,0,IF(OR(67&gt;$R67,DG67&lt;=$I67),DG67,DG67-MIN(INT(ROUND(IF($F67=1,$C67*$J67,IF(HF67&gt;0,HF67*$K67,DG67*$J67))*IF(67=$R67,$S67,12)/12,6)+$B$4),DG67-$I67)))))</f>
        <v/>
      </c>
      <c r="DI67" s="68">
        <f>IF($U67=0,0,IF($F67=4,0,IF($F67=3,0,IF(OR(68&gt;$R67,DH67&lt;=$I67),DH67,DH67-MIN(INT(ROUND(IF($F67=1,$C67*$J67,IF(HG67&gt;0,HG67*$K67,DH67*$J67))*IF(68=$R67,$S67,12)/12,6)+$B$4),DH67-$I67)))))</f>
        <v/>
      </c>
      <c r="DJ67" s="68">
        <f>IF($U67=0,0,IF($F67=4,0,IF($F67=3,0,IF(OR(69&gt;$R67,DI67&lt;=$I67),DI67,DI67-MIN(INT(ROUND(IF($F67=1,$C67*$J67,IF(HH67&gt;0,HH67*$K67,DI67*$J67))*IF(69=$R67,$S67,12)/12,6)+$B$4),DI67-$I67)))))</f>
        <v/>
      </c>
      <c r="DK67" s="68">
        <f>IF($U67=0,0,IF($F67=4,0,IF($F67=3,0,IF(OR(70&gt;$R67,DJ67&lt;=$I67),DJ67,DJ67-MIN(INT(ROUND(IF($F67=1,$C67*$J67,IF(HI67&gt;0,HI67*$K67,DJ67*$J67))*IF(70=$R67,$S67,12)/12,6)+$B$4),DJ67-$I67)))))</f>
        <v/>
      </c>
      <c r="DL67" s="68">
        <f>IF($U67=0,0,IF($F67=4,0,IF($F67=3,0,IF(OR(71&gt;$R67,DK67&lt;=$I67),DK67,DK67-MIN(INT(ROUND(IF($F67=1,$C67*$J67,IF(HJ67&gt;0,HJ67*$K67,DK67*$J67))*IF(71=$R67,$S67,12)/12,6)+$B$4),DK67-$I67)))))</f>
        <v/>
      </c>
      <c r="DM67" s="68">
        <f>IF($U67=0,0,IF($F67=4,0,IF($F67=3,0,IF(OR(72&gt;$R67,DL67&lt;=$I67),DL67,DL67-MIN(INT(ROUND(IF($F67=1,$C67*$J67,IF(HK67&gt;0,HK67*$K67,DL67*$J67))*IF(72=$R67,$S67,12)/12,6)+$B$4),DL67-$I67)))))</f>
        <v/>
      </c>
      <c r="DN67" s="68">
        <f>IF($U67=0,0,IF($F67=4,0,IF($F67=3,0,IF(OR(73&gt;$R67,DM67&lt;=$I67),DM67,DM67-MIN(INT(ROUND(IF($F67=1,$C67*$J67,IF(HL67&gt;0,HL67*$K67,DM67*$J67))*IF(73=$R67,$S67,12)/12,6)+$B$4),DM67-$I67)))))</f>
        <v/>
      </c>
      <c r="DO67" s="68">
        <f>IF($U67=0,0,IF($F67=4,0,IF($F67=3,0,IF(OR(74&gt;$R67,DN67&lt;=$I67),DN67,DN67-MIN(INT(ROUND(IF($F67=1,$C67*$J67,IF(HM67&gt;0,HM67*$K67,DN67*$J67))*IF(74=$R67,$S67,12)/12,6)+$B$4),DN67-$I67)))))</f>
        <v/>
      </c>
      <c r="DP67" s="68">
        <f>IF($U67=0,0,IF($F67=4,0,IF($F67=3,0,IF(OR(75&gt;$R67,DO67&lt;=$I67),DO67,DO67-MIN(INT(ROUND(IF($F67=1,$C67*$J67,IF(HN67&gt;0,HN67*$K67,DO67*$J67))*IF(75=$R67,$S67,12)/12,6)+$B$4),DO67-$I67)))))</f>
        <v/>
      </c>
      <c r="DQ67" s="68">
        <f>IF($U67=0,0,IF($F67=4,0,IF($F67=3,0,IF(OR(76&gt;$R67,DP67&lt;=$I67),DP67,DP67-MIN(INT(ROUND(IF($F67=1,$C67*$J67,IF(HO67&gt;0,HO67*$K67,DP67*$J67))*IF(76=$R67,$S67,12)/12,6)+$B$4),DP67-$I67)))))</f>
        <v/>
      </c>
      <c r="DR67" s="68">
        <f>IF($U67=0,0,IF($F67=4,0,IF($F67=3,0,IF(OR(77&gt;$R67,DQ67&lt;=$I67),DQ67,DQ67-MIN(INT(ROUND(IF($F67=1,$C67*$J67,IF(HP67&gt;0,HP67*$K67,DQ67*$J67))*IF(77=$R67,$S67,12)/12,6)+$B$4),DQ67-$I67)))))</f>
        <v/>
      </c>
      <c r="DS67" s="68">
        <f>IF($U67=0,0,IF($F67=4,0,IF($F67=3,0,IF(OR(78&gt;$R67,DR67&lt;=$I67),DR67,DR67-MIN(INT(ROUND(IF($F67=1,$C67*$J67,IF(HQ67&gt;0,HQ67*$K67,DR67*$J67))*IF(78=$R67,$S67,12)/12,6)+$B$4),DR67-$I67)))))</f>
        <v/>
      </c>
      <c r="DT67" s="68">
        <f>IF($U67=0,0,IF($F67=4,0,IF($F67=3,0,IF(OR(79&gt;$R67,DS67&lt;=$I67),DS67,DS67-MIN(INT(ROUND(IF($F67=1,$C67*$J67,IF(HR67&gt;0,HR67*$K67,DS67*$J67))*IF(79=$R67,$S67,12)/12,6)+$B$4),DS67-$I67)))))</f>
        <v/>
      </c>
      <c r="DU67" s="68">
        <f>IF($U67=0,0,IF($F67=4,0,IF($F67=3,0,IF(OR(80&gt;$R67,DT67&lt;=$I67),DT67,DT67-MIN(INT(ROUND(IF($F67=1,$C67*$J67,IF(HS67&gt;0,HS67*$K67,DT67*$J67))*IF(80=$R67,$S67,12)/12,6)+$B$4),DT67-$I67)))))</f>
        <v/>
      </c>
      <c r="DV67" s="68">
        <f>IF($U67=0,0,IF($F67=4,0,IF($F67=3,0,IF(OR(81&gt;$R67,DU67&lt;=$I67),DU67,DU67-MIN(INT(ROUND(IF($F67=1,$C67*$J67,IF(HT67&gt;0,HT67*$K67,DU67*$J67))*IF(81=$R67,$S67,12)/12,6)+$B$4),DU67-$I67)))))</f>
        <v/>
      </c>
      <c r="DW67" s="68">
        <f>IF($U67=0,0,IF($F67=4,0,IF($F67=3,0,IF(OR(82&gt;$R67,DV67&lt;=$I67),DV67,DV67-MIN(INT(ROUND(IF($F67=1,$C67*$J67,IF(HU67&gt;0,HU67*$K67,DV67*$J67))*IF(82=$R67,$S67,12)/12,6)+$B$4),DV67-$I67)))))</f>
        <v/>
      </c>
      <c r="DX67" s="68">
        <f>IF($U67=0,0,IF($F67=4,0,IF($F67=3,0,IF(OR(83&gt;$R67,DW67&lt;=$I67),DW67,DW67-MIN(INT(ROUND(IF($F67=1,$C67*$J67,IF(HV67&gt;0,HV67*$K67,DW67*$J67))*IF(83=$R67,$S67,12)/12,6)+$B$4),DW67-$I67)))))</f>
        <v/>
      </c>
      <c r="DY67" s="68">
        <f>IF($U67=0,0,IF($F67=4,0,IF($F67=3,0,IF(OR(84&gt;$R67,DX67&lt;=$I67),DX67,DX67-MIN(INT(ROUND(IF($F67=1,$C67*$J67,IF(HW67&gt;0,HW67*$K67,DX67*$J67))*IF(84=$R67,$S67,12)/12,6)+$B$4),DX67-$I67)))))</f>
        <v/>
      </c>
      <c r="DZ67" s="68">
        <f>IF($U67=0,0,IF($F67=4,0,IF($F67=3,0,IF(OR(85&gt;$R67,DY67&lt;=$I67),DY67,DY67-MIN(INT(ROUND(IF($F67=1,$C67*$J67,IF(HX67&gt;0,HX67*$K67,DY67*$J67))*IF(85=$R67,$S67,12)/12,6)+$B$4),DY67-$I67)))))</f>
        <v/>
      </c>
      <c r="EA67" s="68">
        <f>IF($U67=0,0,IF($F67=4,0,IF($F67=3,0,IF(OR(86&gt;$R67,DZ67&lt;=$I67),DZ67,DZ67-MIN(INT(ROUND(IF($F67=1,$C67*$J67,IF(HY67&gt;0,HY67*$K67,DZ67*$J67))*IF(86=$R67,$S67,12)/12,6)+$B$4),DZ67-$I67)))))</f>
        <v/>
      </c>
      <c r="EB67" s="68">
        <f>IF($U67=0,0,IF($F67=4,0,IF($F67=3,0,IF(OR(87&gt;$R67,EA67&lt;=$I67),EA67,EA67-MIN(INT(ROUND(IF($F67=1,$C67*$J67,IF(HZ67&gt;0,HZ67*$K67,EA67*$J67))*IF(87=$R67,$S67,12)/12,6)+$B$4),EA67-$I67)))))</f>
        <v/>
      </c>
      <c r="EC67" s="68">
        <f>IF($U67=0,0,IF($F67=4,0,IF($F67=3,0,IF(OR(88&gt;$R67,EB67&lt;=$I67),EB67,EB67-MIN(INT(ROUND(IF($F67=1,$C67*$J67,IF(IA67&gt;0,IA67*$K67,EB67*$J67))*IF(88=$R67,$S67,12)/12,6)+$B$4),EB67-$I67)))))</f>
        <v/>
      </c>
      <c r="ED67" s="68">
        <f>IF($U67=0,0,IF($F67=4,0,IF($F67=3,0,IF(OR(89&gt;$R67,EC67&lt;=$I67),EC67,EC67-MIN(INT(ROUND(IF($F67=1,$C67*$J67,IF(IB67&gt;0,IB67*$K67,EC67*$J67))*IF(89=$R67,$S67,12)/12,6)+$B$4),EC67-$I67)))))</f>
        <v/>
      </c>
      <c r="EE67" s="68">
        <f>IF($U67=0,0,IF($F67=4,0,IF($F67=3,0,IF(OR(90&gt;$R67,ED67&lt;=$I67),ED67,ED67-MIN(INT(ROUND(IF($F67=1,$C67*$J67,IF(IC67&gt;0,IC67*$K67,ED67*$J67))*IF(90=$R67,$S67,12)/12,6)+$B$4),ED67-$I67)))))</f>
        <v/>
      </c>
      <c r="EF67" s="68">
        <f>IF($U67=0,0,IF($F67=4,0,IF($F67=3,0,IF(OR(91&gt;$R67,EE67&lt;=$I67),EE67,EE67-MIN(INT(ROUND(IF($F67=1,$C67*$J67,IF(ID67&gt;0,ID67*$K67,EE67*$J67))*IF(91=$R67,$S67,12)/12,6)+$B$4),EE67-$I67)))))</f>
        <v/>
      </c>
      <c r="EG67" s="68">
        <f>IF($U67=0,0,IF($F67=4,0,IF($F67=3,0,IF(OR(92&gt;$R67,EF67&lt;=$I67),EF67,EF67-MIN(INT(ROUND(IF($F67=1,$C67*$J67,IF(IE67&gt;0,IE67*$K67,EF67*$J67))*IF(92=$R67,$S67,12)/12,6)+$B$4),EF67-$I67)))))</f>
        <v/>
      </c>
      <c r="EH67" s="68">
        <f>IF($U67=0,0,IF($F67=4,0,IF($F67=3,0,IF(OR(93&gt;$R67,EG67&lt;=$I67),EG67,EG67-MIN(INT(ROUND(IF($F67=1,$C67*$J67,IF(IF67&gt;0,IF67*$K67,EG67*$J67))*IF(93=$R67,$S67,12)/12,6)+$B$4),EG67-$I67)))))</f>
        <v/>
      </c>
      <c r="EI67" s="68">
        <f>IF($U67=0,0,IF($F67=4,0,IF($F67=3,0,IF(OR(94&gt;$R67,EH67&lt;=$I67),EH67,EH67-MIN(INT(ROUND(IF($F67=1,$C67*$J67,IF(IG67&gt;0,IG67*$K67,EH67*$J67))*IF(94=$R67,$S67,12)/12,6)+$B$4),EH67-$I67)))))</f>
        <v/>
      </c>
      <c r="EJ67" s="68">
        <f>IF($U67=0,0,IF($F67=4,0,IF($F67=3,0,IF(OR(95&gt;$R67,EI67&lt;=$I67),EI67,EI67-MIN(INT(ROUND(IF($F67=1,$C67*$J67,IF(IH67&gt;0,IH67*$K67,EI67*$J67))*IF(95=$R67,$S67,12)/12,6)+$B$4),EI67-$I67)))))</f>
        <v/>
      </c>
      <c r="EK67" s="68">
        <f>IF($U67=0,0,IF($F67=4,0,IF($F67=3,0,IF(OR(96&gt;$R67,EJ67&lt;=$I67),EJ67,EJ67-MIN(INT(ROUND(IF($F67=1,$C67*$J67,IF(II67&gt;0,II67*$K67,EJ67*$J67))*IF(96=$R67,$S67,12)/12,6)+$B$4),EJ67-$I67)))))</f>
        <v/>
      </c>
      <c r="EL67" s="68">
        <f>IF($U67=0,0,IF($F67=4,0,IF($F67=3,0,IF(OR(97&gt;$R67,EK67&lt;=$I67),EK67,EK67-MIN(INT(ROUND(IF($F67=1,$C67*$J67,IF(IJ67&gt;0,IJ67*$K67,EK67*$J67))*IF(97=$R67,$S67,12)/12,6)+$B$4),EK67-$I67)))))</f>
        <v/>
      </c>
      <c r="EM67" s="68">
        <f>IF($U67=0,0,IF($F67=4,0,IF($F67=3,0,IF(OR(98&gt;$R67,EL67&lt;=$I67),EL67,EL67-MIN(INT(ROUND(IF($F67=1,$C67*$J67,IF(IK67&gt;0,IK67*$K67,EL67*$J67))*IF(98=$R67,$S67,12)/12,6)+$B$4),EL67-$I67)))))</f>
        <v/>
      </c>
      <c r="EN67" s="68">
        <f>IF($U67=0,0,IF($F67=4,0,IF($F67=3,0,IF(OR(99&gt;$R67,EM67&lt;=$I67),EM67,EM67-MIN(INT(ROUND(IF($F67=1,$C67*$J67,IF(IL67&gt;0,IL67*$K67,EM67*$J67))*IF(99=$R67,$S67,12)/12,6)+$B$4),EM67-$I67)))))</f>
        <v/>
      </c>
      <c r="EO67" s="68">
        <f>IF($U67=0,0,IF($F67=4,0,IF($F67=3,0,IF(OR(100&gt;$R67,EN67&lt;=$I67),EN67,EN67-MIN(INT(ROUND(IF($F67=1,$C67*$J67,IF(IM67&gt;0,IM67*$K67,EN67*$J67))*IF(100=$R67,$S67,12)/12,6)+$B$4),EN67-$I67)))))</f>
        <v/>
      </c>
      <c r="EP67" s="68">
        <f>IF($U67=0,0,IF($F67=4,0,IF($F67=3,0,IF(OR(101&gt;$R67,EO67&lt;=$I67),EO67,EO67-MIN(INT(ROUND(IF($F67=1,$C67*$J67,IF(IN67&gt;0,IN67*$K67,EO67*$J67))*IF(101=$R67,$S67,12)/12,6)+$B$4),EO67-$I67)))))</f>
        <v/>
      </c>
      <c r="EQ67" s="68" t="n"/>
      <c r="ER67" s="68">
        <f>IF(OR($U67=0,$F67&lt;&gt;2),0,IF(ROUND(AS67*$J67,6)&lt;ROUND($M67,6),AS67,0))</f>
        <v/>
      </c>
      <c r="ES67" s="68">
        <f>IF(OR($U67=0,$F67&lt;&gt;2),0,IF(ER67&gt;0,ER67,IF(ROUND(AT67*$J67,6)&lt;ROUND($M67,6),AT67,0)))</f>
        <v/>
      </c>
      <c r="ET67" s="68">
        <f>IF(OR($U67=0,$F67&lt;&gt;2),0,IF(ES67&gt;0,ES67,IF(ROUND(AU67*$J67,6)&lt;ROUND($M67,6),AU67,0)))</f>
        <v/>
      </c>
      <c r="EU67" s="68">
        <f>IF(OR($U67=0,$F67&lt;&gt;2),0,IF(ET67&gt;0,ET67,IF(ROUND(AV67*$J67,6)&lt;ROUND($M67,6),AV67,0)))</f>
        <v/>
      </c>
      <c r="EV67" s="68">
        <f>IF(OR($U67=0,$F67&lt;&gt;2),0,IF(EU67&gt;0,EU67,IF(ROUND(AW67*$J67,6)&lt;ROUND($M67,6),AW67,0)))</f>
        <v/>
      </c>
      <c r="EW67" s="68">
        <f>IF(OR($U67=0,$F67&lt;&gt;2),0,IF(EV67&gt;0,EV67,IF(ROUND(AX67*$J67,6)&lt;ROUND($M67,6),AX67,0)))</f>
        <v/>
      </c>
      <c r="EX67" s="68">
        <f>IF(OR($U67=0,$F67&lt;&gt;2),0,IF(EW67&gt;0,EW67,IF(ROUND(AY67*$J67,6)&lt;ROUND($M67,6),AY67,0)))</f>
        <v/>
      </c>
      <c r="EY67" s="68">
        <f>IF(OR($U67=0,$F67&lt;&gt;2),0,IF(EX67&gt;0,EX67,IF(ROUND(AZ67*$J67,6)&lt;ROUND($M67,6),AZ67,0)))</f>
        <v/>
      </c>
      <c r="EZ67" s="68">
        <f>IF(OR($U67=0,$F67&lt;&gt;2),0,IF(EY67&gt;0,EY67,IF(ROUND(BA67*$J67,6)&lt;ROUND($M67,6),BA67,0)))</f>
        <v/>
      </c>
      <c r="FA67" s="68">
        <f>IF(OR($U67=0,$F67&lt;&gt;2),0,IF(EZ67&gt;0,EZ67,IF(ROUND(BB67*$J67,6)&lt;ROUND($M67,6),BB67,0)))</f>
        <v/>
      </c>
      <c r="FB67" s="68">
        <f>IF(OR($U67=0,$F67&lt;&gt;2),0,IF(FA67&gt;0,FA67,IF(ROUND(BC67*$J67,6)&lt;ROUND($M67,6),BC67,0)))</f>
        <v/>
      </c>
      <c r="FC67" s="68">
        <f>IF(OR($U67=0,$F67&lt;&gt;2),0,IF(FB67&gt;0,FB67,IF(ROUND(BD67*$J67,6)&lt;ROUND($M67,6),BD67,0)))</f>
        <v/>
      </c>
      <c r="FD67" s="68">
        <f>IF(OR($U67=0,$F67&lt;&gt;2),0,IF(FC67&gt;0,FC67,IF(ROUND(BE67*$J67,6)&lt;ROUND($M67,6),BE67,0)))</f>
        <v/>
      </c>
      <c r="FE67" s="68">
        <f>IF(OR($U67=0,$F67&lt;&gt;2),0,IF(FD67&gt;0,FD67,IF(ROUND(BF67*$J67,6)&lt;ROUND($M67,6),BF67,0)))</f>
        <v/>
      </c>
      <c r="FF67" s="68">
        <f>IF(OR($U67=0,$F67&lt;&gt;2),0,IF(FE67&gt;0,FE67,IF(ROUND(BG67*$J67,6)&lt;ROUND($M67,6),BG67,0)))</f>
        <v/>
      </c>
      <c r="FG67" s="68">
        <f>IF(OR($U67=0,$F67&lt;&gt;2),0,IF(FF67&gt;0,FF67,IF(ROUND(BH67*$J67,6)&lt;ROUND($M67,6),BH67,0)))</f>
        <v/>
      </c>
      <c r="FH67" s="68">
        <f>IF(OR($U67=0,$F67&lt;&gt;2),0,IF(FG67&gt;0,FG67,IF(ROUND(BI67*$J67,6)&lt;ROUND($M67,6),BI67,0)))</f>
        <v/>
      </c>
      <c r="FI67" s="68">
        <f>IF(OR($U67=0,$F67&lt;&gt;2),0,IF(FH67&gt;0,FH67,IF(ROUND(BJ67*$J67,6)&lt;ROUND($M67,6),BJ67,0)))</f>
        <v/>
      </c>
      <c r="FJ67" s="68">
        <f>IF(OR($U67=0,$F67&lt;&gt;2),0,IF(FI67&gt;0,FI67,IF(ROUND(BK67*$J67,6)&lt;ROUND($M67,6),BK67,0)))</f>
        <v/>
      </c>
      <c r="FK67" s="68">
        <f>IF(OR($U67=0,$F67&lt;&gt;2),0,IF(FJ67&gt;0,FJ67,IF(ROUND(BL67*$J67,6)&lt;ROUND($M67,6),BL67,0)))</f>
        <v/>
      </c>
      <c r="FL67" s="68">
        <f>IF(OR($U67=0,$F67&lt;&gt;2),0,IF(FK67&gt;0,FK67,IF(ROUND(BM67*$J67,6)&lt;ROUND($M67,6),BM67,0)))</f>
        <v/>
      </c>
      <c r="FM67" s="68">
        <f>IF(OR($U67=0,$F67&lt;&gt;2),0,IF(FL67&gt;0,FL67,IF(ROUND(BN67*$J67,6)&lt;ROUND($M67,6),BN67,0)))</f>
        <v/>
      </c>
      <c r="FN67" s="68">
        <f>IF(OR($U67=0,$F67&lt;&gt;2),0,IF(FM67&gt;0,FM67,IF(ROUND(BO67*$J67,6)&lt;ROUND($M67,6),BO67,0)))</f>
        <v/>
      </c>
      <c r="FO67" s="68">
        <f>IF(OR($U67=0,$F67&lt;&gt;2),0,IF(FN67&gt;0,FN67,IF(ROUND(BP67*$J67,6)&lt;ROUND($M67,6),BP67,0)))</f>
        <v/>
      </c>
      <c r="FP67" s="68">
        <f>IF(OR($U67=0,$F67&lt;&gt;2),0,IF(FO67&gt;0,FO67,IF(ROUND(BQ67*$J67,6)&lt;ROUND($M67,6),BQ67,0)))</f>
        <v/>
      </c>
      <c r="FQ67" s="68">
        <f>IF(OR($U67=0,$F67&lt;&gt;2),0,IF(FP67&gt;0,FP67,IF(ROUND(BR67*$J67,6)&lt;ROUND($M67,6),BR67,0)))</f>
        <v/>
      </c>
      <c r="FR67" s="68">
        <f>IF(OR($U67=0,$F67&lt;&gt;2),0,IF(FQ67&gt;0,FQ67,IF(ROUND(BS67*$J67,6)&lt;ROUND($M67,6),BS67,0)))</f>
        <v/>
      </c>
      <c r="FS67" s="68">
        <f>IF(OR($U67=0,$F67&lt;&gt;2),0,IF(FR67&gt;0,FR67,IF(ROUND(BT67*$J67,6)&lt;ROUND($M67,6),BT67,0)))</f>
        <v/>
      </c>
      <c r="FT67" s="68">
        <f>IF(OR($U67=0,$F67&lt;&gt;2),0,IF(FS67&gt;0,FS67,IF(ROUND(BU67*$J67,6)&lt;ROUND($M67,6),BU67,0)))</f>
        <v/>
      </c>
      <c r="FU67" s="68">
        <f>IF(OR($U67=0,$F67&lt;&gt;2),0,IF(FT67&gt;0,FT67,IF(ROUND(BV67*$J67,6)&lt;ROUND($M67,6),BV67,0)))</f>
        <v/>
      </c>
      <c r="FV67" s="68">
        <f>IF(OR($U67=0,$F67&lt;&gt;2),0,IF(FU67&gt;0,FU67,IF(ROUND(BW67*$J67,6)&lt;ROUND($M67,6),BW67,0)))</f>
        <v/>
      </c>
      <c r="FW67" s="68">
        <f>IF(OR($U67=0,$F67&lt;&gt;2),0,IF(FV67&gt;0,FV67,IF(ROUND(BX67*$J67,6)&lt;ROUND($M67,6),BX67,0)))</f>
        <v/>
      </c>
      <c r="FX67" s="68">
        <f>IF(OR($U67=0,$F67&lt;&gt;2),0,IF(FW67&gt;0,FW67,IF(ROUND(BY67*$J67,6)&lt;ROUND($M67,6),BY67,0)))</f>
        <v/>
      </c>
      <c r="FY67" s="68">
        <f>IF(OR($U67=0,$F67&lt;&gt;2),0,IF(FX67&gt;0,FX67,IF(ROUND(BZ67*$J67,6)&lt;ROUND($M67,6),BZ67,0)))</f>
        <v/>
      </c>
      <c r="FZ67" s="68">
        <f>IF(OR($U67=0,$F67&lt;&gt;2),0,IF(FY67&gt;0,FY67,IF(ROUND(CA67*$J67,6)&lt;ROUND($M67,6),CA67,0)))</f>
        <v/>
      </c>
      <c r="GA67" s="68">
        <f>IF(OR($U67=0,$F67&lt;&gt;2),0,IF(FZ67&gt;0,FZ67,IF(ROUND(CB67*$J67,6)&lt;ROUND($M67,6),CB67,0)))</f>
        <v/>
      </c>
      <c r="GB67" s="68">
        <f>IF(OR($U67=0,$F67&lt;&gt;2),0,IF(GA67&gt;0,GA67,IF(ROUND(CC67*$J67,6)&lt;ROUND($M67,6),CC67,0)))</f>
        <v/>
      </c>
      <c r="GC67" s="68">
        <f>IF(OR($U67=0,$F67&lt;&gt;2),0,IF(GB67&gt;0,GB67,IF(ROUND(CD67*$J67,6)&lt;ROUND($M67,6),CD67,0)))</f>
        <v/>
      </c>
      <c r="GD67" s="68">
        <f>IF(OR($U67=0,$F67&lt;&gt;2),0,IF(GC67&gt;0,GC67,IF(ROUND(CE67*$J67,6)&lt;ROUND($M67,6),CE67,0)))</f>
        <v/>
      </c>
      <c r="GE67" s="68">
        <f>IF(OR($U67=0,$F67&lt;&gt;2),0,IF(GD67&gt;0,GD67,IF(ROUND(CF67*$J67,6)&lt;ROUND($M67,6),CF67,0)))</f>
        <v/>
      </c>
      <c r="GF67" s="68">
        <f>IF(OR($U67=0,$F67&lt;&gt;2),0,IF(GE67&gt;0,GE67,IF(ROUND(CG67*$J67,6)&lt;ROUND($M67,6),CG67,0)))</f>
        <v/>
      </c>
      <c r="GG67" s="68">
        <f>IF(OR($U67=0,$F67&lt;&gt;2),0,IF(GF67&gt;0,GF67,IF(ROUND(CH67*$J67,6)&lt;ROUND($M67,6),CH67,0)))</f>
        <v/>
      </c>
      <c r="GH67" s="68">
        <f>IF(OR($U67=0,$F67&lt;&gt;2),0,IF(GG67&gt;0,GG67,IF(ROUND(CI67*$J67,6)&lt;ROUND($M67,6),CI67,0)))</f>
        <v/>
      </c>
      <c r="GI67" s="68">
        <f>IF(OR($U67=0,$F67&lt;&gt;2),0,IF(GH67&gt;0,GH67,IF(ROUND(CJ67*$J67,6)&lt;ROUND($M67,6),CJ67,0)))</f>
        <v/>
      </c>
      <c r="GJ67" s="68">
        <f>IF(OR($U67=0,$F67&lt;&gt;2),0,IF(GI67&gt;0,GI67,IF(ROUND(CK67*$J67,6)&lt;ROUND($M67,6),CK67,0)))</f>
        <v/>
      </c>
      <c r="GK67" s="68">
        <f>IF(OR($U67=0,$F67&lt;&gt;2),0,IF(GJ67&gt;0,GJ67,IF(ROUND(CL67*$J67,6)&lt;ROUND($M67,6),CL67,0)))</f>
        <v/>
      </c>
      <c r="GL67" s="68">
        <f>IF(OR($U67=0,$F67&lt;&gt;2),0,IF(GK67&gt;0,GK67,IF(ROUND(CM67*$J67,6)&lt;ROUND($M67,6),CM67,0)))</f>
        <v/>
      </c>
      <c r="GM67" s="68">
        <f>IF(OR($U67=0,$F67&lt;&gt;2),0,IF(GL67&gt;0,GL67,IF(ROUND(CN67*$J67,6)&lt;ROUND($M67,6),CN67,0)))</f>
        <v/>
      </c>
      <c r="GN67" s="68">
        <f>IF(OR($U67=0,$F67&lt;&gt;2),0,IF(GM67&gt;0,GM67,IF(ROUND(CO67*$J67,6)&lt;ROUND($M67,6),CO67,0)))</f>
        <v/>
      </c>
      <c r="GO67" s="68">
        <f>IF(OR($U67=0,$F67&lt;&gt;2),0,IF(GN67&gt;0,GN67,IF(ROUND(CP67*$J67,6)&lt;ROUND($M67,6),CP67,0)))</f>
        <v/>
      </c>
      <c r="GP67" s="68">
        <f>IF(OR($U67=0,$F67&lt;&gt;2),0,IF(GO67&gt;0,GO67,IF(ROUND(CQ67*$J67,6)&lt;ROUND($M67,6),CQ67,0)))</f>
        <v/>
      </c>
      <c r="GQ67" s="68">
        <f>IF(OR($U67=0,$F67&lt;&gt;2),0,IF(GP67&gt;0,GP67,IF(ROUND(CR67*$J67,6)&lt;ROUND($M67,6),CR67,0)))</f>
        <v/>
      </c>
      <c r="GR67" s="68">
        <f>IF(OR($U67=0,$F67&lt;&gt;2),0,IF(GQ67&gt;0,GQ67,IF(ROUND(CS67*$J67,6)&lt;ROUND($M67,6),CS67,0)))</f>
        <v/>
      </c>
      <c r="GS67" s="68">
        <f>IF(OR($U67=0,$F67&lt;&gt;2),0,IF(GR67&gt;0,GR67,IF(ROUND(CT67*$J67,6)&lt;ROUND($M67,6),CT67,0)))</f>
        <v/>
      </c>
      <c r="GT67" s="68">
        <f>IF(OR($U67=0,$F67&lt;&gt;2),0,IF(GS67&gt;0,GS67,IF(ROUND(CU67*$J67,6)&lt;ROUND($M67,6),CU67,0)))</f>
        <v/>
      </c>
      <c r="GU67" s="68">
        <f>IF(OR($U67=0,$F67&lt;&gt;2),0,IF(GT67&gt;0,GT67,IF(ROUND(CV67*$J67,6)&lt;ROUND($M67,6),CV67,0)))</f>
        <v/>
      </c>
      <c r="GV67" s="68">
        <f>IF(OR($U67=0,$F67&lt;&gt;2),0,IF(GU67&gt;0,GU67,IF(ROUND(CW67*$J67,6)&lt;ROUND($M67,6),CW67,0)))</f>
        <v/>
      </c>
      <c r="GW67" s="68">
        <f>IF(OR($U67=0,$F67&lt;&gt;2),0,IF(GV67&gt;0,GV67,IF(ROUND(CX67*$J67,6)&lt;ROUND($M67,6),CX67,0)))</f>
        <v/>
      </c>
      <c r="GX67" s="68">
        <f>IF(OR($U67=0,$F67&lt;&gt;2),0,IF(GW67&gt;0,GW67,IF(ROUND(CY67*$J67,6)&lt;ROUND($M67,6),CY67,0)))</f>
        <v/>
      </c>
      <c r="GY67" s="68">
        <f>IF(OR($U67=0,$F67&lt;&gt;2),0,IF(GX67&gt;0,GX67,IF(ROUND(CZ67*$J67,6)&lt;ROUND($M67,6),CZ67,0)))</f>
        <v/>
      </c>
      <c r="GZ67" s="68">
        <f>IF(OR($U67=0,$F67&lt;&gt;2),0,IF(GY67&gt;0,GY67,IF(ROUND(DA67*$J67,6)&lt;ROUND($M67,6),DA67,0)))</f>
        <v/>
      </c>
      <c r="HA67" s="68">
        <f>IF(OR($U67=0,$F67&lt;&gt;2),0,IF(GZ67&gt;0,GZ67,IF(ROUND(DB67*$J67,6)&lt;ROUND($M67,6),DB67,0)))</f>
        <v/>
      </c>
      <c r="HB67" s="68">
        <f>IF(OR($U67=0,$F67&lt;&gt;2),0,IF(HA67&gt;0,HA67,IF(ROUND(DC67*$J67,6)&lt;ROUND($M67,6),DC67,0)))</f>
        <v/>
      </c>
      <c r="HC67" s="68">
        <f>IF(OR($U67=0,$F67&lt;&gt;2),0,IF(HB67&gt;0,HB67,IF(ROUND(DD67*$J67,6)&lt;ROUND($M67,6),DD67,0)))</f>
        <v/>
      </c>
      <c r="HD67" s="68">
        <f>IF(OR($U67=0,$F67&lt;&gt;2),0,IF(HC67&gt;0,HC67,IF(ROUND(DE67*$J67,6)&lt;ROUND($M67,6),DE67,0)))</f>
        <v/>
      </c>
      <c r="HE67" s="68">
        <f>IF(OR($U67=0,$F67&lt;&gt;2),0,IF(HD67&gt;0,HD67,IF(ROUND(DF67*$J67,6)&lt;ROUND($M67,6),DF67,0)))</f>
        <v/>
      </c>
      <c r="HF67" s="68">
        <f>IF(OR($U67=0,$F67&lt;&gt;2),0,IF(HE67&gt;0,HE67,IF(ROUND(DG67*$J67,6)&lt;ROUND($M67,6),DG67,0)))</f>
        <v/>
      </c>
      <c r="HG67" s="68">
        <f>IF(OR($U67=0,$F67&lt;&gt;2),0,IF(HF67&gt;0,HF67,IF(ROUND(DH67*$J67,6)&lt;ROUND($M67,6),DH67,0)))</f>
        <v/>
      </c>
      <c r="HH67" s="68">
        <f>IF(OR($U67=0,$F67&lt;&gt;2),0,IF(HG67&gt;0,HG67,IF(ROUND(DI67*$J67,6)&lt;ROUND($M67,6),DI67,0)))</f>
        <v/>
      </c>
      <c r="HI67" s="68">
        <f>IF(OR($U67=0,$F67&lt;&gt;2),0,IF(HH67&gt;0,HH67,IF(ROUND(DJ67*$J67,6)&lt;ROUND($M67,6),DJ67,0)))</f>
        <v/>
      </c>
      <c r="HJ67" s="68">
        <f>IF(OR($U67=0,$F67&lt;&gt;2),0,IF(HI67&gt;0,HI67,IF(ROUND(DK67*$J67,6)&lt;ROUND($M67,6),DK67,0)))</f>
        <v/>
      </c>
      <c r="HK67" s="68">
        <f>IF(OR($U67=0,$F67&lt;&gt;2),0,IF(HJ67&gt;0,HJ67,IF(ROUND(DL67*$J67,6)&lt;ROUND($M67,6),DL67,0)))</f>
        <v/>
      </c>
      <c r="HL67" s="68">
        <f>IF(OR($U67=0,$F67&lt;&gt;2),0,IF(HK67&gt;0,HK67,IF(ROUND(DM67*$J67,6)&lt;ROUND($M67,6),DM67,0)))</f>
        <v/>
      </c>
      <c r="HM67" s="68">
        <f>IF(OR($U67=0,$F67&lt;&gt;2),0,IF(HL67&gt;0,HL67,IF(ROUND(DN67*$J67,6)&lt;ROUND($M67,6),DN67,0)))</f>
        <v/>
      </c>
      <c r="HN67" s="68">
        <f>IF(OR($U67=0,$F67&lt;&gt;2),0,IF(HM67&gt;0,HM67,IF(ROUND(DO67*$J67,6)&lt;ROUND($M67,6),DO67,0)))</f>
        <v/>
      </c>
      <c r="HO67" s="68">
        <f>IF(OR($U67=0,$F67&lt;&gt;2),0,IF(HN67&gt;0,HN67,IF(ROUND(DP67*$J67,6)&lt;ROUND($M67,6),DP67,0)))</f>
        <v/>
      </c>
      <c r="HP67" s="68">
        <f>IF(OR($U67=0,$F67&lt;&gt;2),0,IF(HO67&gt;0,HO67,IF(ROUND(DQ67*$J67,6)&lt;ROUND($M67,6),DQ67,0)))</f>
        <v/>
      </c>
      <c r="HQ67" s="68">
        <f>IF(OR($U67=0,$F67&lt;&gt;2),0,IF(HP67&gt;0,HP67,IF(ROUND(DR67*$J67,6)&lt;ROUND($M67,6),DR67,0)))</f>
        <v/>
      </c>
      <c r="HR67" s="68">
        <f>IF(OR($U67=0,$F67&lt;&gt;2),0,IF(HQ67&gt;0,HQ67,IF(ROUND(DS67*$J67,6)&lt;ROUND($M67,6),DS67,0)))</f>
        <v/>
      </c>
      <c r="HS67" s="68">
        <f>IF(OR($U67=0,$F67&lt;&gt;2),0,IF(HR67&gt;0,HR67,IF(ROUND(DT67*$J67,6)&lt;ROUND($M67,6),DT67,0)))</f>
        <v/>
      </c>
      <c r="HT67" s="68">
        <f>IF(OR($U67=0,$F67&lt;&gt;2),0,IF(HS67&gt;0,HS67,IF(ROUND(DU67*$J67,6)&lt;ROUND($M67,6),DU67,0)))</f>
        <v/>
      </c>
      <c r="HU67" s="68">
        <f>IF(OR($U67=0,$F67&lt;&gt;2),0,IF(HT67&gt;0,HT67,IF(ROUND(DV67*$J67,6)&lt;ROUND($M67,6),DV67,0)))</f>
        <v/>
      </c>
      <c r="HV67" s="68">
        <f>IF(OR($U67=0,$F67&lt;&gt;2),0,IF(HU67&gt;0,HU67,IF(ROUND(DW67*$J67,6)&lt;ROUND($M67,6),DW67,0)))</f>
        <v/>
      </c>
      <c r="HW67" s="68">
        <f>IF(OR($U67=0,$F67&lt;&gt;2),0,IF(HV67&gt;0,HV67,IF(ROUND(DX67*$J67,6)&lt;ROUND($M67,6),DX67,0)))</f>
        <v/>
      </c>
      <c r="HX67" s="68">
        <f>IF(OR($U67=0,$F67&lt;&gt;2),0,IF(HW67&gt;0,HW67,IF(ROUND(DY67*$J67,6)&lt;ROUND($M67,6),DY67,0)))</f>
        <v/>
      </c>
      <c r="HY67" s="68">
        <f>IF(OR($U67=0,$F67&lt;&gt;2),0,IF(HX67&gt;0,HX67,IF(ROUND(DZ67*$J67,6)&lt;ROUND($M67,6),DZ67,0)))</f>
        <v/>
      </c>
      <c r="HZ67" s="68">
        <f>IF(OR($U67=0,$F67&lt;&gt;2),0,IF(HY67&gt;0,HY67,IF(ROUND(EA67*$J67,6)&lt;ROUND($M67,6),EA67,0)))</f>
        <v/>
      </c>
      <c r="IA67" s="68">
        <f>IF(OR($U67=0,$F67&lt;&gt;2),0,IF(HZ67&gt;0,HZ67,IF(ROUND(EB67*$J67,6)&lt;ROUND($M67,6),EB67,0)))</f>
        <v/>
      </c>
      <c r="IB67" s="68">
        <f>IF(OR($U67=0,$F67&lt;&gt;2),0,IF(IA67&gt;0,IA67,IF(ROUND(EC67*$J67,6)&lt;ROUND($M67,6),EC67,0)))</f>
        <v/>
      </c>
      <c r="IC67" s="68">
        <f>IF(OR($U67=0,$F67&lt;&gt;2),0,IF(IB67&gt;0,IB67,IF(ROUND(ED67*$J67,6)&lt;ROUND($M67,6),ED67,0)))</f>
        <v/>
      </c>
      <c r="ID67" s="68">
        <f>IF(OR($U67=0,$F67&lt;&gt;2),0,IF(IC67&gt;0,IC67,IF(ROUND(EE67*$J67,6)&lt;ROUND($M67,6),EE67,0)))</f>
        <v/>
      </c>
      <c r="IE67" s="68">
        <f>IF(OR($U67=0,$F67&lt;&gt;2),0,IF(ID67&gt;0,ID67,IF(ROUND(EF67*$J67,6)&lt;ROUND($M67,6),EF67,0)))</f>
        <v/>
      </c>
      <c r="IF67" s="68">
        <f>IF(OR($U67=0,$F67&lt;&gt;2),0,IF(IE67&gt;0,IE67,IF(ROUND(EG67*$J67,6)&lt;ROUND($M67,6),EG67,0)))</f>
        <v/>
      </c>
      <c r="IG67" s="68">
        <f>IF(OR($U67=0,$F67&lt;&gt;2),0,IF(IF67&gt;0,IF67,IF(ROUND(EH67*$J67,6)&lt;ROUND($M67,6),EH67,0)))</f>
        <v/>
      </c>
      <c r="IH67" s="68">
        <f>IF(OR($U67=0,$F67&lt;&gt;2),0,IF(IG67&gt;0,IG67,IF(ROUND(EI67*$J67,6)&lt;ROUND($M67,6),EI67,0)))</f>
        <v/>
      </c>
      <c r="II67" s="68">
        <f>IF(OR($U67=0,$F67&lt;&gt;2),0,IF(IH67&gt;0,IH67,IF(ROUND(EJ67*$J67,6)&lt;ROUND($M67,6),EJ67,0)))</f>
        <v/>
      </c>
      <c r="IJ67" s="68">
        <f>IF(OR($U67=0,$F67&lt;&gt;2),0,IF(II67&gt;0,II67,IF(ROUND(EK67*$J67,6)&lt;ROUND($M67,6),EK67,0)))</f>
        <v/>
      </c>
      <c r="IK67" s="68">
        <f>IF(OR($U67=0,$F67&lt;&gt;2),0,IF(IJ67&gt;0,IJ67,IF(ROUND(EL67*$J67,6)&lt;ROUND($M67,6),EL67,0)))</f>
        <v/>
      </c>
      <c r="IL67" s="68">
        <f>IF(OR($U67=0,$F67&lt;&gt;2),0,IF(IK67&gt;0,IK67,IF(ROUND(EM67*$J67,6)&lt;ROUND($M67,6),EM67,0)))</f>
        <v/>
      </c>
      <c r="IM67" s="68">
        <f>IF(OR($U67=0,$F67&lt;&gt;2),0,IF(IL67&gt;0,IL67,IF(ROUND(EN67*$J67,6)&lt;ROUND($M67,6),EN67,0)))</f>
        <v/>
      </c>
      <c r="IN67" s="68">
        <f>IF(OR($U67=0,$F67&lt;&gt;2),0,IF(IM67&gt;0,IM67,IF(ROUND(EO67*$J67,6)&lt;ROUND($M67,6),EO67,0)))</f>
        <v/>
      </c>
    </row>
    <row r="68">
      <c r="A68" s="68" t="n">
        <v>63</v>
      </c>
      <c r="B68" s="68">
        <f>IF(OR(TRIM('固定資産台帳'!$B68)&lt;&gt;"",'固定資産台帳'!$E68&lt;&gt;"",'固定資産台帳'!$G68&lt;&gt;"",'固定資産台帳'!$H68&lt;&gt;""),1,0)</f>
        <v/>
      </c>
      <c r="C68" s="68">
        <f>IF(ISNUMBER('固定資産台帳'!$G68),MAX(ROUND('固定資産台帳'!$G68,0),0),0)</f>
        <v/>
      </c>
      <c r="D68" s="84">
        <f>IF(ISNUMBER('固定資産台帳'!$E68),INT('固定資産台帳'!$E68),0)</f>
        <v/>
      </c>
      <c r="E68" s="84">
        <f>IF(ISNUMBER('固定資産台帳'!$F68),INT('固定資産台帳'!$F68),$D68)</f>
        <v/>
      </c>
      <c r="F68" s="68">
        <f>IF('固定資産台帳'!$H68="定額法",1,IF(OR('固定資産台帳'!$H68="定率法",'固定資産台帳'!$H68="定率法（200%）",'固定資産台帳'!$H68="定率法（250%）"),2,IF('固定資産台帳'!$H68="一括償却（3年）",3,IF('固定資産台帳'!$H68="少額特例",4,0))))</f>
        <v/>
      </c>
      <c r="G68" s="68">
        <f>IF('固定資産台帳'!$H68="定率法（250%）",250,IF('固定資産台帳'!$H68="定率法（200%）",200,IF($D68&gt;=DATE(2012,4,1),200,250)))</f>
        <v/>
      </c>
      <c r="H68" s="68">
        <f>IF(ISNUMBER('固定資産台帳'!$I68),IF(AND('固定資産台帳'!$I68&gt;=2,'固定資産台帳'!$I68&lt;=100,'固定資産台帳'!$I68=INT('固定資産台帳'!$I68)),'固定資産台帳'!$I68,0),0)</f>
        <v/>
      </c>
      <c r="I68" s="68">
        <f>IF('固定資産台帳'!$C68="無形固定資産",0,1)</f>
        <v/>
      </c>
      <c r="J68" s="68">
        <f>IF(OR($H68=0,$F68=0,$F68&gt;2),0,IF($F68=1,INDEX('償却率表'!$B$6:$B$104,$H68-1),IF($G68=200,INDEX('償却率表'!$C$6:$C$104,$H68-1),INDEX('償却率表'!$F$6:$F$104,$H68-1))))</f>
        <v/>
      </c>
      <c r="K68" s="68">
        <f>IF(AND($F68=2,$H68&gt;0),IF($G68=200,INDEX('償却率表'!$D$6:$D$104,$H68-1),INDEX('償却率表'!$G$6:$G$104,$H68-1)),0)</f>
        <v/>
      </c>
      <c r="L68" s="68">
        <f>IF(AND($F68=2,$H68&gt;0),IF($G68=200,INDEX('償却率表'!$E$6:$E$104,$H68-1),INDEX('償却率表'!$H$6:$H$104,$H68-1)),0)</f>
        <v/>
      </c>
      <c r="M68" s="68">
        <f>$C68*$L68</f>
        <v/>
      </c>
      <c r="N68" s="68">
        <f>IF($B$1=1,1,IF('固定資産台帳'!$J68="",1,IF(ISNUMBER('固定資産台帳'!$J68),IF(AND('固定資産台帳'!$J68&gt;0,'固定資産台帳'!$J68&lt;=1),'固定資産台帳'!$J68,0),0)))</f>
        <v/>
      </c>
      <c r="O68" s="68">
        <f>IF($E68=0,0,YEAR($E68)-IF(MONTH($E68)&lt;$B$2,1,0))</f>
        <v/>
      </c>
      <c r="P68" s="68">
        <f>IF($E68=0,0,12-MOD(MONTH($E68)-$B$2,12))</f>
        <v/>
      </c>
      <c r="Q68" s="84">
        <f>IF(ISNUMBER('固定資産台帳'!$K68),INT('固定資産台帳'!$K68),0)</f>
        <v/>
      </c>
      <c r="R68" s="68">
        <f>IF(OR($Q68=0,$E68=0),999,YEAR($Q68)-IF(MONTH($Q68)&lt;$B$2,1,0)-$O68)</f>
        <v/>
      </c>
      <c r="S68" s="68">
        <f>IF($R68=999,0,MOD(MONTH($Q68)-$B$2,12)+1-IF($R68=0,12-$P68,0))</f>
        <v/>
      </c>
      <c r="T68" s="68">
        <f>IF($B68=0,0,IF($C68&lt;=0,1,IF($D68=0,2,IF($F68=0,3,IF(AND($F68&lt;=2,$H68=0),4,IF(AND($F68&lt;=2,$D68&lt;DATE(2007,4,1)),5,IF($E68&lt;$D68,6,IF(AND($Q68&gt;0,$Q68&lt;$E68),7,IF($N68=0,8,IF($B$3=0,9,0))))))))))</f>
        <v/>
      </c>
      <c r="U68" s="68">
        <f>IF(AND($B68=1,$T68=0),1,0)</f>
        <v/>
      </c>
      <c r="V68" s="68">
        <f>$B$3-$O68</f>
        <v/>
      </c>
      <c r="W68" s="68">
        <f>IF(AND($U68=1,$V68&gt;=0),1,0)</f>
        <v/>
      </c>
      <c r="X68" s="68">
        <f>IF($W68=0,0,IF($V68=0,$C68,INDEX($AS68:$EP68,MIN($V68,102))))</f>
        <v/>
      </c>
      <c r="Y68" s="68">
        <f>IF($W68=0,0,INDEX($AS68:$EP68,MIN($V68,101)+1))</f>
        <v/>
      </c>
      <c r="Z68" s="68">
        <f>$X68-$Y68</f>
        <v/>
      </c>
      <c r="AA68" s="68">
        <f>IF(AND($W68=1,$F68=2,$V68&gt;=1),INDEX($ER68:$IN68,MIN($V68,101)),0)</f>
        <v/>
      </c>
      <c r="AB68" s="68">
        <f>IF(OR($W68=0,$F68&gt;2,$Z68=0),0,IF($V68=0,IF($R68=0,$S68,$P68),IF($V68=$R68,$S68,12)))</f>
        <v/>
      </c>
      <c r="AC68" s="68">
        <f>IF($W68=0,0,INT(ROUND($Z68*$N68,6)+$B$4))</f>
        <v/>
      </c>
      <c r="AD68" s="68">
        <f>IF(AND($W68=1,$F68&lt;=2,$V68=$R68),1,0)</f>
        <v/>
      </c>
      <c r="AE68" s="68">
        <f>IF(AND($W68=1,$F68&lt;=2,$V68&gt;$R68),1,0)</f>
        <v/>
      </c>
      <c r="AF68" s="68">
        <f>IF(AND($W68=1,$AE68=0,OR($Z68&gt;0,$AD68=1)),1,0)</f>
        <v/>
      </c>
      <c r="AG68" s="68">
        <f>IF($AF68=1,SUM($AF$6:$AF68),0)</f>
        <v/>
      </c>
      <c r="AH68" s="68">
        <f>IF($T68=0,"",CHOOSE($T68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68" s="68">
        <f>IF(AND($F68=2,OR('固定資産台帳'!$C68="建物",'固定資産台帳'!$C68="無形固定資産",AND(OR('固定資産台帳'!$C68="建物附属設備",'固定資産台帳'!$C68="構築物"),$D68&gt;=DATE(2016,4,1)))),"この資産は定額法だけです（定率法は使えません）。","")&amp;IF(AND($F68=3,$C68&gt;=200000),"一括償却は20万円未満の資産だけです。","")&amp;IF(AND($F68=3,$B$1=0,$C68&lt;100000),"10万円未満は一括償却にせず、全額をその年の経費にします。","")&amp;IF(AND($F68=4,$C68&lt;100000),"10万円未満は少額特例ではなく、全額をその年の経費にします。","")&amp;IF(AND($F68=4,$D68&lt;DATE(2026,4,1),$C68&gt;=300000),"2026年3月31日までの取得で少額特例が使えるのは30万円未満です。","")&amp;IF(AND($F68=4,$D68&gt;=DATE(2026,4,1),$C68&gt;=400000),"少額特例は40万円未満の資産だけです。","")&amp;IF(AND($F68=4,OR($D68&lt;DATE(2006,4,1),$D68&gt;DATE(2029,3,31))),"少額特例は2006年4月1日〜2029年3月31日に取得した資産だけです。","")&amp;IF(AND($F68=2,$G68=250,$D68&gt;DATE(2012,12,31)),"250%定率法は2012年12月31日までの取得だけです。","")</f>
        <v/>
      </c>
      <c r="AJ68" s="68">
        <f>IF(AND($F68=2,'固定資産台帳'!$H68="定率法（200%）",$D68&lt;DATE(2012,4,1)),"2012年3月31日までの取得に200%を使うのは、経過措置の届出をした場合です。","")&amp;IF(AND($F68=2,'固定資産台帳'!$H68="定率法（250%）",$D68&gt;=DATE(2012,4,1),$D68&lt;=DATE(2012,12,31)),"2012年4〜12月の取得に250%を使うのは、経過措置を選んだ場合です。","")</f>
        <v/>
      </c>
      <c r="AK68" s="68">
        <f>IF($U68=0,"",IF($V68&lt;0,"表示している年より後に使い始める資産です。",IF($AE68=1,"売却・除却済みです。",IF($AD68=1,"この年に売却・除却。期末の帳簿価額 "&amp;TEXT($Y68,"#,##0")&amp;"円を帳簿から外します。",IF($F68=4,IF($V68=0,"少額特例：この年に全額を経費にします。","少額特例で経費にした資産です。"),IF($F68=3,IF($V68&gt;2,"一括償却は終わっています。","一括償却 "&amp;($V68+1)&amp;"年目（3年のうち）。"),IF($Z68=0,"償却済み（帳簿価額 "&amp;TEXT($Y68,"#,##0")&amp;"円）。",IF($AA68&gt;0,"改定償却率で計算（改定取得価額 "&amp;TEXT($AA68,"#,##0")&amp;"円）。",IF($V68=0,"この年に使い始め（"&amp;$AB68&amp;"か月分）。","")))))))))</f>
        <v/>
      </c>
      <c r="AL68" s="68">
        <f>IF(AND($U68=1,$F68=4,$V68=0),$C68,0)</f>
        <v/>
      </c>
      <c r="AM68" s="68">
        <f>IF($F68=2,INT(ROUND($M68,6)+$B$4),0)</f>
        <v/>
      </c>
      <c r="AN68" s="68">
        <f>IF($W68=0,0,IF($F68=2,IF($AA68&gt;0,$AA68,$X68),$C68))</f>
        <v/>
      </c>
      <c r="AO68" s="68">
        <f>IF($W68=0,"",IF($F68=3,"1/3",IF($F68=4,"―",IF($AA68&gt;0,$K68,$J68))))</f>
        <v/>
      </c>
      <c r="AP68" s="68" t="n"/>
      <c r="AQ68" s="68" t="n"/>
      <c r="AR68" s="68" t="n"/>
      <c r="AS68" s="68">
        <f>IF($U68=0,0,IF($F68=4,0,IF($F68=3,MAX($C68-INT(ROUND($C68/3,6)+$B$4),0),$C68-MIN(INT(ROUND($C68*$J68*IF($R68=0,$S68,$P68)/12,6)+$B$4),MAX($C68-$I68,0)))))</f>
        <v/>
      </c>
      <c r="AT68" s="68">
        <f>IF($U68=0,0,IF($F68=4,0,IF($F68=3,AS68-MIN(INT(ROUND($C68/3,6)+$B$4),AS68),IF(OR(1&gt;$R68,AS68&lt;=$I68),AS68,AS68-MIN(INT(ROUND(IF($F68=1,$C68*$J68,IF(ER68&gt;0,ER68*$K68,AS68*$J68))*IF(1=$R68,$S68,12)/12,6)+$B$4),AS68-$I68)))))</f>
        <v/>
      </c>
      <c r="AU68" s="68">
        <f>IF($U68=0,0,IF($F68=4,0,IF($F68=3,0,IF(OR(2&gt;$R68,AT68&lt;=$I68),AT68,AT68-MIN(INT(ROUND(IF($F68=1,$C68*$J68,IF(ES68&gt;0,ES68*$K68,AT68*$J68))*IF(2=$R68,$S68,12)/12,6)+$B$4),AT68-$I68)))))</f>
        <v/>
      </c>
      <c r="AV68" s="68">
        <f>IF($U68=0,0,IF($F68=4,0,IF($F68=3,0,IF(OR(3&gt;$R68,AU68&lt;=$I68),AU68,AU68-MIN(INT(ROUND(IF($F68=1,$C68*$J68,IF(ET68&gt;0,ET68*$K68,AU68*$J68))*IF(3=$R68,$S68,12)/12,6)+$B$4),AU68-$I68)))))</f>
        <v/>
      </c>
      <c r="AW68" s="68">
        <f>IF($U68=0,0,IF($F68=4,0,IF($F68=3,0,IF(OR(4&gt;$R68,AV68&lt;=$I68),AV68,AV68-MIN(INT(ROUND(IF($F68=1,$C68*$J68,IF(EU68&gt;0,EU68*$K68,AV68*$J68))*IF(4=$R68,$S68,12)/12,6)+$B$4),AV68-$I68)))))</f>
        <v/>
      </c>
      <c r="AX68" s="68">
        <f>IF($U68=0,0,IF($F68=4,0,IF($F68=3,0,IF(OR(5&gt;$R68,AW68&lt;=$I68),AW68,AW68-MIN(INT(ROUND(IF($F68=1,$C68*$J68,IF(EV68&gt;0,EV68*$K68,AW68*$J68))*IF(5=$R68,$S68,12)/12,6)+$B$4),AW68-$I68)))))</f>
        <v/>
      </c>
      <c r="AY68" s="68">
        <f>IF($U68=0,0,IF($F68=4,0,IF($F68=3,0,IF(OR(6&gt;$R68,AX68&lt;=$I68),AX68,AX68-MIN(INT(ROUND(IF($F68=1,$C68*$J68,IF(EW68&gt;0,EW68*$K68,AX68*$J68))*IF(6=$R68,$S68,12)/12,6)+$B$4),AX68-$I68)))))</f>
        <v/>
      </c>
      <c r="AZ68" s="68">
        <f>IF($U68=0,0,IF($F68=4,0,IF($F68=3,0,IF(OR(7&gt;$R68,AY68&lt;=$I68),AY68,AY68-MIN(INT(ROUND(IF($F68=1,$C68*$J68,IF(EX68&gt;0,EX68*$K68,AY68*$J68))*IF(7=$R68,$S68,12)/12,6)+$B$4),AY68-$I68)))))</f>
        <v/>
      </c>
      <c r="BA68" s="68">
        <f>IF($U68=0,0,IF($F68=4,0,IF($F68=3,0,IF(OR(8&gt;$R68,AZ68&lt;=$I68),AZ68,AZ68-MIN(INT(ROUND(IF($F68=1,$C68*$J68,IF(EY68&gt;0,EY68*$K68,AZ68*$J68))*IF(8=$R68,$S68,12)/12,6)+$B$4),AZ68-$I68)))))</f>
        <v/>
      </c>
      <c r="BB68" s="68">
        <f>IF($U68=0,0,IF($F68=4,0,IF($F68=3,0,IF(OR(9&gt;$R68,BA68&lt;=$I68),BA68,BA68-MIN(INT(ROUND(IF($F68=1,$C68*$J68,IF(EZ68&gt;0,EZ68*$K68,BA68*$J68))*IF(9=$R68,$S68,12)/12,6)+$B$4),BA68-$I68)))))</f>
        <v/>
      </c>
      <c r="BC68" s="68">
        <f>IF($U68=0,0,IF($F68=4,0,IF($F68=3,0,IF(OR(10&gt;$R68,BB68&lt;=$I68),BB68,BB68-MIN(INT(ROUND(IF($F68=1,$C68*$J68,IF(FA68&gt;0,FA68*$K68,BB68*$J68))*IF(10=$R68,$S68,12)/12,6)+$B$4),BB68-$I68)))))</f>
        <v/>
      </c>
      <c r="BD68" s="68">
        <f>IF($U68=0,0,IF($F68=4,0,IF($F68=3,0,IF(OR(11&gt;$R68,BC68&lt;=$I68),BC68,BC68-MIN(INT(ROUND(IF($F68=1,$C68*$J68,IF(FB68&gt;0,FB68*$K68,BC68*$J68))*IF(11=$R68,$S68,12)/12,6)+$B$4),BC68-$I68)))))</f>
        <v/>
      </c>
      <c r="BE68" s="68">
        <f>IF($U68=0,0,IF($F68=4,0,IF($F68=3,0,IF(OR(12&gt;$R68,BD68&lt;=$I68),BD68,BD68-MIN(INT(ROUND(IF($F68=1,$C68*$J68,IF(FC68&gt;0,FC68*$K68,BD68*$J68))*IF(12=$R68,$S68,12)/12,6)+$B$4),BD68-$I68)))))</f>
        <v/>
      </c>
      <c r="BF68" s="68">
        <f>IF($U68=0,0,IF($F68=4,0,IF($F68=3,0,IF(OR(13&gt;$R68,BE68&lt;=$I68),BE68,BE68-MIN(INT(ROUND(IF($F68=1,$C68*$J68,IF(FD68&gt;0,FD68*$K68,BE68*$J68))*IF(13=$R68,$S68,12)/12,6)+$B$4),BE68-$I68)))))</f>
        <v/>
      </c>
      <c r="BG68" s="68">
        <f>IF($U68=0,0,IF($F68=4,0,IF($F68=3,0,IF(OR(14&gt;$R68,BF68&lt;=$I68),BF68,BF68-MIN(INT(ROUND(IF($F68=1,$C68*$J68,IF(FE68&gt;0,FE68*$K68,BF68*$J68))*IF(14=$R68,$S68,12)/12,6)+$B$4),BF68-$I68)))))</f>
        <v/>
      </c>
      <c r="BH68" s="68">
        <f>IF($U68=0,0,IF($F68=4,0,IF($F68=3,0,IF(OR(15&gt;$R68,BG68&lt;=$I68),BG68,BG68-MIN(INT(ROUND(IF($F68=1,$C68*$J68,IF(FF68&gt;0,FF68*$K68,BG68*$J68))*IF(15=$R68,$S68,12)/12,6)+$B$4),BG68-$I68)))))</f>
        <v/>
      </c>
      <c r="BI68" s="68">
        <f>IF($U68=0,0,IF($F68=4,0,IF($F68=3,0,IF(OR(16&gt;$R68,BH68&lt;=$I68),BH68,BH68-MIN(INT(ROUND(IF($F68=1,$C68*$J68,IF(FG68&gt;0,FG68*$K68,BH68*$J68))*IF(16=$R68,$S68,12)/12,6)+$B$4),BH68-$I68)))))</f>
        <v/>
      </c>
      <c r="BJ68" s="68">
        <f>IF($U68=0,0,IF($F68=4,0,IF($F68=3,0,IF(OR(17&gt;$R68,BI68&lt;=$I68),BI68,BI68-MIN(INT(ROUND(IF($F68=1,$C68*$J68,IF(FH68&gt;0,FH68*$K68,BI68*$J68))*IF(17=$R68,$S68,12)/12,6)+$B$4),BI68-$I68)))))</f>
        <v/>
      </c>
      <c r="BK68" s="68">
        <f>IF($U68=0,0,IF($F68=4,0,IF($F68=3,0,IF(OR(18&gt;$R68,BJ68&lt;=$I68),BJ68,BJ68-MIN(INT(ROUND(IF($F68=1,$C68*$J68,IF(FI68&gt;0,FI68*$K68,BJ68*$J68))*IF(18=$R68,$S68,12)/12,6)+$B$4),BJ68-$I68)))))</f>
        <v/>
      </c>
      <c r="BL68" s="68">
        <f>IF($U68=0,0,IF($F68=4,0,IF($F68=3,0,IF(OR(19&gt;$R68,BK68&lt;=$I68),BK68,BK68-MIN(INT(ROUND(IF($F68=1,$C68*$J68,IF(FJ68&gt;0,FJ68*$K68,BK68*$J68))*IF(19=$R68,$S68,12)/12,6)+$B$4),BK68-$I68)))))</f>
        <v/>
      </c>
      <c r="BM68" s="68">
        <f>IF($U68=0,0,IF($F68=4,0,IF($F68=3,0,IF(OR(20&gt;$R68,BL68&lt;=$I68),BL68,BL68-MIN(INT(ROUND(IF($F68=1,$C68*$J68,IF(FK68&gt;0,FK68*$K68,BL68*$J68))*IF(20=$R68,$S68,12)/12,6)+$B$4),BL68-$I68)))))</f>
        <v/>
      </c>
      <c r="BN68" s="68">
        <f>IF($U68=0,0,IF($F68=4,0,IF($F68=3,0,IF(OR(21&gt;$R68,BM68&lt;=$I68),BM68,BM68-MIN(INT(ROUND(IF($F68=1,$C68*$J68,IF(FL68&gt;0,FL68*$K68,BM68*$J68))*IF(21=$R68,$S68,12)/12,6)+$B$4),BM68-$I68)))))</f>
        <v/>
      </c>
      <c r="BO68" s="68">
        <f>IF($U68=0,0,IF($F68=4,0,IF($F68=3,0,IF(OR(22&gt;$R68,BN68&lt;=$I68),BN68,BN68-MIN(INT(ROUND(IF($F68=1,$C68*$J68,IF(FM68&gt;0,FM68*$K68,BN68*$J68))*IF(22=$R68,$S68,12)/12,6)+$B$4),BN68-$I68)))))</f>
        <v/>
      </c>
      <c r="BP68" s="68">
        <f>IF($U68=0,0,IF($F68=4,0,IF($F68=3,0,IF(OR(23&gt;$R68,BO68&lt;=$I68),BO68,BO68-MIN(INT(ROUND(IF($F68=1,$C68*$J68,IF(FN68&gt;0,FN68*$K68,BO68*$J68))*IF(23=$R68,$S68,12)/12,6)+$B$4),BO68-$I68)))))</f>
        <v/>
      </c>
      <c r="BQ68" s="68">
        <f>IF($U68=0,0,IF($F68=4,0,IF($F68=3,0,IF(OR(24&gt;$R68,BP68&lt;=$I68),BP68,BP68-MIN(INT(ROUND(IF($F68=1,$C68*$J68,IF(FO68&gt;0,FO68*$K68,BP68*$J68))*IF(24=$R68,$S68,12)/12,6)+$B$4),BP68-$I68)))))</f>
        <v/>
      </c>
      <c r="BR68" s="68">
        <f>IF($U68=0,0,IF($F68=4,0,IF($F68=3,0,IF(OR(25&gt;$R68,BQ68&lt;=$I68),BQ68,BQ68-MIN(INT(ROUND(IF($F68=1,$C68*$J68,IF(FP68&gt;0,FP68*$K68,BQ68*$J68))*IF(25=$R68,$S68,12)/12,6)+$B$4),BQ68-$I68)))))</f>
        <v/>
      </c>
      <c r="BS68" s="68">
        <f>IF($U68=0,0,IF($F68=4,0,IF($F68=3,0,IF(OR(26&gt;$R68,BR68&lt;=$I68),BR68,BR68-MIN(INT(ROUND(IF($F68=1,$C68*$J68,IF(FQ68&gt;0,FQ68*$K68,BR68*$J68))*IF(26=$R68,$S68,12)/12,6)+$B$4),BR68-$I68)))))</f>
        <v/>
      </c>
      <c r="BT68" s="68">
        <f>IF($U68=0,0,IF($F68=4,0,IF($F68=3,0,IF(OR(27&gt;$R68,BS68&lt;=$I68),BS68,BS68-MIN(INT(ROUND(IF($F68=1,$C68*$J68,IF(FR68&gt;0,FR68*$K68,BS68*$J68))*IF(27=$R68,$S68,12)/12,6)+$B$4),BS68-$I68)))))</f>
        <v/>
      </c>
      <c r="BU68" s="68">
        <f>IF($U68=0,0,IF($F68=4,0,IF($F68=3,0,IF(OR(28&gt;$R68,BT68&lt;=$I68),BT68,BT68-MIN(INT(ROUND(IF($F68=1,$C68*$J68,IF(FS68&gt;0,FS68*$K68,BT68*$J68))*IF(28=$R68,$S68,12)/12,6)+$B$4),BT68-$I68)))))</f>
        <v/>
      </c>
      <c r="BV68" s="68">
        <f>IF($U68=0,0,IF($F68=4,0,IF($F68=3,0,IF(OR(29&gt;$R68,BU68&lt;=$I68),BU68,BU68-MIN(INT(ROUND(IF($F68=1,$C68*$J68,IF(FT68&gt;0,FT68*$K68,BU68*$J68))*IF(29=$R68,$S68,12)/12,6)+$B$4),BU68-$I68)))))</f>
        <v/>
      </c>
      <c r="BW68" s="68">
        <f>IF($U68=0,0,IF($F68=4,0,IF($F68=3,0,IF(OR(30&gt;$R68,BV68&lt;=$I68),BV68,BV68-MIN(INT(ROUND(IF($F68=1,$C68*$J68,IF(FU68&gt;0,FU68*$K68,BV68*$J68))*IF(30=$R68,$S68,12)/12,6)+$B$4),BV68-$I68)))))</f>
        <v/>
      </c>
      <c r="BX68" s="68">
        <f>IF($U68=0,0,IF($F68=4,0,IF($F68=3,0,IF(OR(31&gt;$R68,BW68&lt;=$I68),BW68,BW68-MIN(INT(ROUND(IF($F68=1,$C68*$J68,IF(FV68&gt;0,FV68*$K68,BW68*$J68))*IF(31=$R68,$S68,12)/12,6)+$B$4),BW68-$I68)))))</f>
        <v/>
      </c>
      <c r="BY68" s="68">
        <f>IF($U68=0,0,IF($F68=4,0,IF($F68=3,0,IF(OR(32&gt;$R68,BX68&lt;=$I68),BX68,BX68-MIN(INT(ROUND(IF($F68=1,$C68*$J68,IF(FW68&gt;0,FW68*$K68,BX68*$J68))*IF(32=$R68,$S68,12)/12,6)+$B$4),BX68-$I68)))))</f>
        <v/>
      </c>
      <c r="BZ68" s="68">
        <f>IF($U68=0,0,IF($F68=4,0,IF($F68=3,0,IF(OR(33&gt;$R68,BY68&lt;=$I68),BY68,BY68-MIN(INT(ROUND(IF($F68=1,$C68*$J68,IF(FX68&gt;0,FX68*$K68,BY68*$J68))*IF(33=$R68,$S68,12)/12,6)+$B$4),BY68-$I68)))))</f>
        <v/>
      </c>
      <c r="CA68" s="68">
        <f>IF($U68=0,0,IF($F68=4,0,IF($F68=3,0,IF(OR(34&gt;$R68,BZ68&lt;=$I68),BZ68,BZ68-MIN(INT(ROUND(IF($F68=1,$C68*$J68,IF(FY68&gt;0,FY68*$K68,BZ68*$J68))*IF(34=$R68,$S68,12)/12,6)+$B$4),BZ68-$I68)))))</f>
        <v/>
      </c>
      <c r="CB68" s="68">
        <f>IF($U68=0,0,IF($F68=4,0,IF($F68=3,0,IF(OR(35&gt;$R68,CA68&lt;=$I68),CA68,CA68-MIN(INT(ROUND(IF($F68=1,$C68*$J68,IF(FZ68&gt;0,FZ68*$K68,CA68*$J68))*IF(35=$R68,$S68,12)/12,6)+$B$4),CA68-$I68)))))</f>
        <v/>
      </c>
      <c r="CC68" s="68">
        <f>IF($U68=0,0,IF($F68=4,0,IF($F68=3,0,IF(OR(36&gt;$R68,CB68&lt;=$I68),CB68,CB68-MIN(INT(ROUND(IF($F68=1,$C68*$J68,IF(GA68&gt;0,GA68*$K68,CB68*$J68))*IF(36=$R68,$S68,12)/12,6)+$B$4),CB68-$I68)))))</f>
        <v/>
      </c>
      <c r="CD68" s="68">
        <f>IF($U68=0,0,IF($F68=4,0,IF($F68=3,0,IF(OR(37&gt;$R68,CC68&lt;=$I68),CC68,CC68-MIN(INT(ROUND(IF($F68=1,$C68*$J68,IF(GB68&gt;0,GB68*$K68,CC68*$J68))*IF(37=$R68,$S68,12)/12,6)+$B$4),CC68-$I68)))))</f>
        <v/>
      </c>
      <c r="CE68" s="68">
        <f>IF($U68=0,0,IF($F68=4,0,IF($F68=3,0,IF(OR(38&gt;$R68,CD68&lt;=$I68),CD68,CD68-MIN(INT(ROUND(IF($F68=1,$C68*$J68,IF(GC68&gt;0,GC68*$K68,CD68*$J68))*IF(38=$R68,$S68,12)/12,6)+$B$4),CD68-$I68)))))</f>
        <v/>
      </c>
      <c r="CF68" s="68">
        <f>IF($U68=0,0,IF($F68=4,0,IF($F68=3,0,IF(OR(39&gt;$R68,CE68&lt;=$I68),CE68,CE68-MIN(INT(ROUND(IF($F68=1,$C68*$J68,IF(GD68&gt;0,GD68*$K68,CE68*$J68))*IF(39=$R68,$S68,12)/12,6)+$B$4),CE68-$I68)))))</f>
        <v/>
      </c>
      <c r="CG68" s="68">
        <f>IF($U68=0,0,IF($F68=4,0,IF($F68=3,0,IF(OR(40&gt;$R68,CF68&lt;=$I68),CF68,CF68-MIN(INT(ROUND(IF($F68=1,$C68*$J68,IF(GE68&gt;0,GE68*$K68,CF68*$J68))*IF(40=$R68,$S68,12)/12,6)+$B$4),CF68-$I68)))))</f>
        <v/>
      </c>
      <c r="CH68" s="68">
        <f>IF($U68=0,0,IF($F68=4,0,IF($F68=3,0,IF(OR(41&gt;$R68,CG68&lt;=$I68),CG68,CG68-MIN(INT(ROUND(IF($F68=1,$C68*$J68,IF(GF68&gt;0,GF68*$K68,CG68*$J68))*IF(41=$R68,$S68,12)/12,6)+$B$4),CG68-$I68)))))</f>
        <v/>
      </c>
      <c r="CI68" s="68">
        <f>IF($U68=0,0,IF($F68=4,0,IF($F68=3,0,IF(OR(42&gt;$R68,CH68&lt;=$I68),CH68,CH68-MIN(INT(ROUND(IF($F68=1,$C68*$J68,IF(GG68&gt;0,GG68*$K68,CH68*$J68))*IF(42=$R68,$S68,12)/12,6)+$B$4),CH68-$I68)))))</f>
        <v/>
      </c>
      <c r="CJ68" s="68">
        <f>IF($U68=0,0,IF($F68=4,0,IF($F68=3,0,IF(OR(43&gt;$R68,CI68&lt;=$I68),CI68,CI68-MIN(INT(ROUND(IF($F68=1,$C68*$J68,IF(GH68&gt;0,GH68*$K68,CI68*$J68))*IF(43=$R68,$S68,12)/12,6)+$B$4),CI68-$I68)))))</f>
        <v/>
      </c>
      <c r="CK68" s="68">
        <f>IF($U68=0,0,IF($F68=4,0,IF($F68=3,0,IF(OR(44&gt;$R68,CJ68&lt;=$I68),CJ68,CJ68-MIN(INT(ROUND(IF($F68=1,$C68*$J68,IF(GI68&gt;0,GI68*$K68,CJ68*$J68))*IF(44=$R68,$S68,12)/12,6)+$B$4),CJ68-$I68)))))</f>
        <v/>
      </c>
      <c r="CL68" s="68">
        <f>IF($U68=0,0,IF($F68=4,0,IF($F68=3,0,IF(OR(45&gt;$R68,CK68&lt;=$I68),CK68,CK68-MIN(INT(ROUND(IF($F68=1,$C68*$J68,IF(GJ68&gt;0,GJ68*$K68,CK68*$J68))*IF(45=$R68,$S68,12)/12,6)+$B$4),CK68-$I68)))))</f>
        <v/>
      </c>
      <c r="CM68" s="68">
        <f>IF($U68=0,0,IF($F68=4,0,IF($F68=3,0,IF(OR(46&gt;$R68,CL68&lt;=$I68),CL68,CL68-MIN(INT(ROUND(IF($F68=1,$C68*$J68,IF(GK68&gt;0,GK68*$K68,CL68*$J68))*IF(46=$R68,$S68,12)/12,6)+$B$4),CL68-$I68)))))</f>
        <v/>
      </c>
      <c r="CN68" s="68">
        <f>IF($U68=0,0,IF($F68=4,0,IF($F68=3,0,IF(OR(47&gt;$R68,CM68&lt;=$I68),CM68,CM68-MIN(INT(ROUND(IF($F68=1,$C68*$J68,IF(GL68&gt;0,GL68*$K68,CM68*$J68))*IF(47=$R68,$S68,12)/12,6)+$B$4),CM68-$I68)))))</f>
        <v/>
      </c>
      <c r="CO68" s="68">
        <f>IF($U68=0,0,IF($F68=4,0,IF($F68=3,0,IF(OR(48&gt;$R68,CN68&lt;=$I68),CN68,CN68-MIN(INT(ROUND(IF($F68=1,$C68*$J68,IF(GM68&gt;0,GM68*$K68,CN68*$J68))*IF(48=$R68,$S68,12)/12,6)+$B$4),CN68-$I68)))))</f>
        <v/>
      </c>
      <c r="CP68" s="68">
        <f>IF($U68=0,0,IF($F68=4,0,IF($F68=3,0,IF(OR(49&gt;$R68,CO68&lt;=$I68),CO68,CO68-MIN(INT(ROUND(IF($F68=1,$C68*$J68,IF(GN68&gt;0,GN68*$K68,CO68*$J68))*IF(49=$R68,$S68,12)/12,6)+$B$4),CO68-$I68)))))</f>
        <v/>
      </c>
      <c r="CQ68" s="68">
        <f>IF($U68=0,0,IF($F68=4,0,IF($F68=3,0,IF(OR(50&gt;$R68,CP68&lt;=$I68),CP68,CP68-MIN(INT(ROUND(IF($F68=1,$C68*$J68,IF(GO68&gt;0,GO68*$K68,CP68*$J68))*IF(50=$R68,$S68,12)/12,6)+$B$4),CP68-$I68)))))</f>
        <v/>
      </c>
      <c r="CR68" s="68">
        <f>IF($U68=0,0,IF($F68=4,0,IF($F68=3,0,IF(OR(51&gt;$R68,CQ68&lt;=$I68),CQ68,CQ68-MIN(INT(ROUND(IF($F68=1,$C68*$J68,IF(GP68&gt;0,GP68*$K68,CQ68*$J68))*IF(51=$R68,$S68,12)/12,6)+$B$4),CQ68-$I68)))))</f>
        <v/>
      </c>
      <c r="CS68" s="68">
        <f>IF($U68=0,0,IF($F68=4,0,IF($F68=3,0,IF(OR(52&gt;$R68,CR68&lt;=$I68),CR68,CR68-MIN(INT(ROUND(IF($F68=1,$C68*$J68,IF(GQ68&gt;0,GQ68*$K68,CR68*$J68))*IF(52=$R68,$S68,12)/12,6)+$B$4),CR68-$I68)))))</f>
        <v/>
      </c>
      <c r="CT68" s="68">
        <f>IF($U68=0,0,IF($F68=4,0,IF($F68=3,0,IF(OR(53&gt;$R68,CS68&lt;=$I68),CS68,CS68-MIN(INT(ROUND(IF($F68=1,$C68*$J68,IF(GR68&gt;0,GR68*$K68,CS68*$J68))*IF(53=$R68,$S68,12)/12,6)+$B$4),CS68-$I68)))))</f>
        <v/>
      </c>
      <c r="CU68" s="68">
        <f>IF($U68=0,0,IF($F68=4,0,IF($F68=3,0,IF(OR(54&gt;$R68,CT68&lt;=$I68),CT68,CT68-MIN(INT(ROUND(IF($F68=1,$C68*$J68,IF(GS68&gt;0,GS68*$K68,CT68*$J68))*IF(54=$R68,$S68,12)/12,6)+$B$4),CT68-$I68)))))</f>
        <v/>
      </c>
      <c r="CV68" s="68">
        <f>IF($U68=0,0,IF($F68=4,0,IF($F68=3,0,IF(OR(55&gt;$R68,CU68&lt;=$I68),CU68,CU68-MIN(INT(ROUND(IF($F68=1,$C68*$J68,IF(GT68&gt;0,GT68*$K68,CU68*$J68))*IF(55=$R68,$S68,12)/12,6)+$B$4),CU68-$I68)))))</f>
        <v/>
      </c>
      <c r="CW68" s="68">
        <f>IF($U68=0,0,IF($F68=4,0,IF($F68=3,0,IF(OR(56&gt;$R68,CV68&lt;=$I68),CV68,CV68-MIN(INT(ROUND(IF($F68=1,$C68*$J68,IF(GU68&gt;0,GU68*$K68,CV68*$J68))*IF(56=$R68,$S68,12)/12,6)+$B$4),CV68-$I68)))))</f>
        <v/>
      </c>
      <c r="CX68" s="68">
        <f>IF($U68=0,0,IF($F68=4,0,IF($F68=3,0,IF(OR(57&gt;$R68,CW68&lt;=$I68),CW68,CW68-MIN(INT(ROUND(IF($F68=1,$C68*$J68,IF(GV68&gt;0,GV68*$K68,CW68*$J68))*IF(57=$R68,$S68,12)/12,6)+$B$4),CW68-$I68)))))</f>
        <v/>
      </c>
      <c r="CY68" s="68">
        <f>IF($U68=0,0,IF($F68=4,0,IF($F68=3,0,IF(OR(58&gt;$R68,CX68&lt;=$I68),CX68,CX68-MIN(INT(ROUND(IF($F68=1,$C68*$J68,IF(GW68&gt;0,GW68*$K68,CX68*$J68))*IF(58=$R68,$S68,12)/12,6)+$B$4),CX68-$I68)))))</f>
        <v/>
      </c>
      <c r="CZ68" s="68">
        <f>IF($U68=0,0,IF($F68=4,0,IF($F68=3,0,IF(OR(59&gt;$R68,CY68&lt;=$I68),CY68,CY68-MIN(INT(ROUND(IF($F68=1,$C68*$J68,IF(GX68&gt;0,GX68*$K68,CY68*$J68))*IF(59=$R68,$S68,12)/12,6)+$B$4),CY68-$I68)))))</f>
        <v/>
      </c>
      <c r="DA68" s="68">
        <f>IF($U68=0,0,IF($F68=4,0,IF($F68=3,0,IF(OR(60&gt;$R68,CZ68&lt;=$I68),CZ68,CZ68-MIN(INT(ROUND(IF($F68=1,$C68*$J68,IF(GY68&gt;0,GY68*$K68,CZ68*$J68))*IF(60=$R68,$S68,12)/12,6)+$B$4),CZ68-$I68)))))</f>
        <v/>
      </c>
      <c r="DB68" s="68">
        <f>IF($U68=0,0,IF($F68=4,0,IF($F68=3,0,IF(OR(61&gt;$R68,DA68&lt;=$I68),DA68,DA68-MIN(INT(ROUND(IF($F68=1,$C68*$J68,IF(GZ68&gt;0,GZ68*$K68,DA68*$J68))*IF(61=$R68,$S68,12)/12,6)+$B$4),DA68-$I68)))))</f>
        <v/>
      </c>
      <c r="DC68" s="68">
        <f>IF($U68=0,0,IF($F68=4,0,IF($F68=3,0,IF(OR(62&gt;$R68,DB68&lt;=$I68),DB68,DB68-MIN(INT(ROUND(IF($F68=1,$C68*$J68,IF(HA68&gt;0,HA68*$K68,DB68*$J68))*IF(62=$R68,$S68,12)/12,6)+$B$4),DB68-$I68)))))</f>
        <v/>
      </c>
      <c r="DD68" s="68">
        <f>IF($U68=0,0,IF($F68=4,0,IF($F68=3,0,IF(OR(63&gt;$R68,DC68&lt;=$I68),DC68,DC68-MIN(INT(ROUND(IF($F68=1,$C68*$J68,IF(HB68&gt;0,HB68*$K68,DC68*$J68))*IF(63=$R68,$S68,12)/12,6)+$B$4),DC68-$I68)))))</f>
        <v/>
      </c>
      <c r="DE68" s="68">
        <f>IF($U68=0,0,IF($F68=4,0,IF($F68=3,0,IF(OR(64&gt;$R68,DD68&lt;=$I68),DD68,DD68-MIN(INT(ROUND(IF($F68=1,$C68*$J68,IF(HC68&gt;0,HC68*$K68,DD68*$J68))*IF(64=$R68,$S68,12)/12,6)+$B$4),DD68-$I68)))))</f>
        <v/>
      </c>
      <c r="DF68" s="68">
        <f>IF($U68=0,0,IF($F68=4,0,IF($F68=3,0,IF(OR(65&gt;$R68,DE68&lt;=$I68),DE68,DE68-MIN(INT(ROUND(IF($F68=1,$C68*$J68,IF(HD68&gt;0,HD68*$K68,DE68*$J68))*IF(65=$R68,$S68,12)/12,6)+$B$4),DE68-$I68)))))</f>
        <v/>
      </c>
      <c r="DG68" s="68">
        <f>IF($U68=0,0,IF($F68=4,0,IF($F68=3,0,IF(OR(66&gt;$R68,DF68&lt;=$I68),DF68,DF68-MIN(INT(ROUND(IF($F68=1,$C68*$J68,IF(HE68&gt;0,HE68*$K68,DF68*$J68))*IF(66=$R68,$S68,12)/12,6)+$B$4),DF68-$I68)))))</f>
        <v/>
      </c>
      <c r="DH68" s="68">
        <f>IF($U68=0,0,IF($F68=4,0,IF($F68=3,0,IF(OR(67&gt;$R68,DG68&lt;=$I68),DG68,DG68-MIN(INT(ROUND(IF($F68=1,$C68*$J68,IF(HF68&gt;0,HF68*$K68,DG68*$J68))*IF(67=$R68,$S68,12)/12,6)+$B$4),DG68-$I68)))))</f>
        <v/>
      </c>
      <c r="DI68" s="68">
        <f>IF($U68=0,0,IF($F68=4,0,IF($F68=3,0,IF(OR(68&gt;$R68,DH68&lt;=$I68),DH68,DH68-MIN(INT(ROUND(IF($F68=1,$C68*$J68,IF(HG68&gt;0,HG68*$K68,DH68*$J68))*IF(68=$R68,$S68,12)/12,6)+$B$4),DH68-$I68)))))</f>
        <v/>
      </c>
      <c r="DJ68" s="68">
        <f>IF($U68=0,0,IF($F68=4,0,IF($F68=3,0,IF(OR(69&gt;$R68,DI68&lt;=$I68),DI68,DI68-MIN(INT(ROUND(IF($F68=1,$C68*$J68,IF(HH68&gt;0,HH68*$K68,DI68*$J68))*IF(69=$R68,$S68,12)/12,6)+$B$4),DI68-$I68)))))</f>
        <v/>
      </c>
      <c r="DK68" s="68">
        <f>IF($U68=0,0,IF($F68=4,0,IF($F68=3,0,IF(OR(70&gt;$R68,DJ68&lt;=$I68),DJ68,DJ68-MIN(INT(ROUND(IF($F68=1,$C68*$J68,IF(HI68&gt;0,HI68*$K68,DJ68*$J68))*IF(70=$R68,$S68,12)/12,6)+$B$4),DJ68-$I68)))))</f>
        <v/>
      </c>
      <c r="DL68" s="68">
        <f>IF($U68=0,0,IF($F68=4,0,IF($F68=3,0,IF(OR(71&gt;$R68,DK68&lt;=$I68),DK68,DK68-MIN(INT(ROUND(IF($F68=1,$C68*$J68,IF(HJ68&gt;0,HJ68*$K68,DK68*$J68))*IF(71=$R68,$S68,12)/12,6)+$B$4),DK68-$I68)))))</f>
        <v/>
      </c>
      <c r="DM68" s="68">
        <f>IF($U68=0,0,IF($F68=4,0,IF($F68=3,0,IF(OR(72&gt;$R68,DL68&lt;=$I68),DL68,DL68-MIN(INT(ROUND(IF($F68=1,$C68*$J68,IF(HK68&gt;0,HK68*$K68,DL68*$J68))*IF(72=$R68,$S68,12)/12,6)+$B$4),DL68-$I68)))))</f>
        <v/>
      </c>
      <c r="DN68" s="68">
        <f>IF($U68=0,0,IF($F68=4,0,IF($F68=3,0,IF(OR(73&gt;$R68,DM68&lt;=$I68),DM68,DM68-MIN(INT(ROUND(IF($F68=1,$C68*$J68,IF(HL68&gt;0,HL68*$K68,DM68*$J68))*IF(73=$R68,$S68,12)/12,6)+$B$4),DM68-$I68)))))</f>
        <v/>
      </c>
      <c r="DO68" s="68">
        <f>IF($U68=0,0,IF($F68=4,0,IF($F68=3,0,IF(OR(74&gt;$R68,DN68&lt;=$I68),DN68,DN68-MIN(INT(ROUND(IF($F68=1,$C68*$J68,IF(HM68&gt;0,HM68*$K68,DN68*$J68))*IF(74=$R68,$S68,12)/12,6)+$B$4),DN68-$I68)))))</f>
        <v/>
      </c>
      <c r="DP68" s="68">
        <f>IF($U68=0,0,IF($F68=4,0,IF($F68=3,0,IF(OR(75&gt;$R68,DO68&lt;=$I68),DO68,DO68-MIN(INT(ROUND(IF($F68=1,$C68*$J68,IF(HN68&gt;0,HN68*$K68,DO68*$J68))*IF(75=$R68,$S68,12)/12,6)+$B$4),DO68-$I68)))))</f>
        <v/>
      </c>
      <c r="DQ68" s="68">
        <f>IF($U68=0,0,IF($F68=4,0,IF($F68=3,0,IF(OR(76&gt;$R68,DP68&lt;=$I68),DP68,DP68-MIN(INT(ROUND(IF($F68=1,$C68*$J68,IF(HO68&gt;0,HO68*$K68,DP68*$J68))*IF(76=$R68,$S68,12)/12,6)+$B$4),DP68-$I68)))))</f>
        <v/>
      </c>
      <c r="DR68" s="68">
        <f>IF($U68=0,0,IF($F68=4,0,IF($F68=3,0,IF(OR(77&gt;$R68,DQ68&lt;=$I68),DQ68,DQ68-MIN(INT(ROUND(IF($F68=1,$C68*$J68,IF(HP68&gt;0,HP68*$K68,DQ68*$J68))*IF(77=$R68,$S68,12)/12,6)+$B$4),DQ68-$I68)))))</f>
        <v/>
      </c>
      <c r="DS68" s="68">
        <f>IF($U68=0,0,IF($F68=4,0,IF($F68=3,0,IF(OR(78&gt;$R68,DR68&lt;=$I68),DR68,DR68-MIN(INT(ROUND(IF($F68=1,$C68*$J68,IF(HQ68&gt;0,HQ68*$K68,DR68*$J68))*IF(78=$R68,$S68,12)/12,6)+$B$4),DR68-$I68)))))</f>
        <v/>
      </c>
      <c r="DT68" s="68">
        <f>IF($U68=0,0,IF($F68=4,0,IF($F68=3,0,IF(OR(79&gt;$R68,DS68&lt;=$I68),DS68,DS68-MIN(INT(ROUND(IF($F68=1,$C68*$J68,IF(HR68&gt;0,HR68*$K68,DS68*$J68))*IF(79=$R68,$S68,12)/12,6)+$B$4),DS68-$I68)))))</f>
        <v/>
      </c>
      <c r="DU68" s="68">
        <f>IF($U68=0,0,IF($F68=4,0,IF($F68=3,0,IF(OR(80&gt;$R68,DT68&lt;=$I68),DT68,DT68-MIN(INT(ROUND(IF($F68=1,$C68*$J68,IF(HS68&gt;0,HS68*$K68,DT68*$J68))*IF(80=$R68,$S68,12)/12,6)+$B$4),DT68-$I68)))))</f>
        <v/>
      </c>
      <c r="DV68" s="68">
        <f>IF($U68=0,0,IF($F68=4,0,IF($F68=3,0,IF(OR(81&gt;$R68,DU68&lt;=$I68),DU68,DU68-MIN(INT(ROUND(IF($F68=1,$C68*$J68,IF(HT68&gt;0,HT68*$K68,DU68*$J68))*IF(81=$R68,$S68,12)/12,6)+$B$4),DU68-$I68)))))</f>
        <v/>
      </c>
      <c r="DW68" s="68">
        <f>IF($U68=0,0,IF($F68=4,0,IF($F68=3,0,IF(OR(82&gt;$R68,DV68&lt;=$I68),DV68,DV68-MIN(INT(ROUND(IF($F68=1,$C68*$J68,IF(HU68&gt;0,HU68*$K68,DV68*$J68))*IF(82=$R68,$S68,12)/12,6)+$B$4),DV68-$I68)))))</f>
        <v/>
      </c>
      <c r="DX68" s="68">
        <f>IF($U68=0,0,IF($F68=4,0,IF($F68=3,0,IF(OR(83&gt;$R68,DW68&lt;=$I68),DW68,DW68-MIN(INT(ROUND(IF($F68=1,$C68*$J68,IF(HV68&gt;0,HV68*$K68,DW68*$J68))*IF(83=$R68,$S68,12)/12,6)+$B$4),DW68-$I68)))))</f>
        <v/>
      </c>
      <c r="DY68" s="68">
        <f>IF($U68=0,0,IF($F68=4,0,IF($F68=3,0,IF(OR(84&gt;$R68,DX68&lt;=$I68),DX68,DX68-MIN(INT(ROUND(IF($F68=1,$C68*$J68,IF(HW68&gt;0,HW68*$K68,DX68*$J68))*IF(84=$R68,$S68,12)/12,6)+$B$4),DX68-$I68)))))</f>
        <v/>
      </c>
      <c r="DZ68" s="68">
        <f>IF($U68=0,0,IF($F68=4,0,IF($F68=3,0,IF(OR(85&gt;$R68,DY68&lt;=$I68),DY68,DY68-MIN(INT(ROUND(IF($F68=1,$C68*$J68,IF(HX68&gt;0,HX68*$K68,DY68*$J68))*IF(85=$R68,$S68,12)/12,6)+$B$4),DY68-$I68)))))</f>
        <v/>
      </c>
      <c r="EA68" s="68">
        <f>IF($U68=0,0,IF($F68=4,0,IF($F68=3,0,IF(OR(86&gt;$R68,DZ68&lt;=$I68),DZ68,DZ68-MIN(INT(ROUND(IF($F68=1,$C68*$J68,IF(HY68&gt;0,HY68*$K68,DZ68*$J68))*IF(86=$R68,$S68,12)/12,6)+$B$4),DZ68-$I68)))))</f>
        <v/>
      </c>
      <c r="EB68" s="68">
        <f>IF($U68=0,0,IF($F68=4,0,IF($F68=3,0,IF(OR(87&gt;$R68,EA68&lt;=$I68),EA68,EA68-MIN(INT(ROUND(IF($F68=1,$C68*$J68,IF(HZ68&gt;0,HZ68*$K68,EA68*$J68))*IF(87=$R68,$S68,12)/12,6)+$B$4),EA68-$I68)))))</f>
        <v/>
      </c>
      <c r="EC68" s="68">
        <f>IF($U68=0,0,IF($F68=4,0,IF($F68=3,0,IF(OR(88&gt;$R68,EB68&lt;=$I68),EB68,EB68-MIN(INT(ROUND(IF($F68=1,$C68*$J68,IF(IA68&gt;0,IA68*$K68,EB68*$J68))*IF(88=$R68,$S68,12)/12,6)+$B$4),EB68-$I68)))))</f>
        <v/>
      </c>
      <c r="ED68" s="68">
        <f>IF($U68=0,0,IF($F68=4,0,IF($F68=3,0,IF(OR(89&gt;$R68,EC68&lt;=$I68),EC68,EC68-MIN(INT(ROUND(IF($F68=1,$C68*$J68,IF(IB68&gt;0,IB68*$K68,EC68*$J68))*IF(89=$R68,$S68,12)/12,6)+$B$4),EC68-$I68)))))</f>
        <v/>
      </c>
      <c r="EE68" s="68">
        <f>IF($U68=0,0,IF($F68=4,0,IF($F68=3,0,IF(OR(90&gt;$R68,ED68&lt;=$I68),ED68,ED68-MIN(INT(ROUND(IF($F68=1,$C68*$J68,IF(IC68&gt;0,IC68*$K68,ED68*$J68))*IF(90=$R68,$S68,12)/12,6)+$B$4),ED68-$I68)))))</f>
        <v/>
      </c>
      <c r="EF68" s="68">
        <f>IF($U68=0,0,IF($F68=4,0,IF($F68=3,0,IF(OR(91&gt;$R68,EE68&lt;=$I68),EE68,EE68-MIN(INT(ROUND(IF($F68=1,$C68*$J68,IF(ID68&gt;0,ID68*$K68,EE68*$J68))*IF(91=$R68,$S68,12)/12,6)+$B$4),EE68-$I68)))))</f>
        <v/>
      </c>
      <c r="EG68" s="68">
        <f>IF($U68=0,0,IF($F68=4,0,IF($F68=3,0,IF(OR(92&gt;$R68,EF68&lt;=$I68),EF68,EF68-MIN(INT(ROUND(IF($F68=1,$C68*$J68,IF(IE68&gt;0,IE68*$K68,EF68*$J68))*IF(92=$R68,$S68,12)/12,6)+$B$4),EF68-$I68)))))</f>
        <v/>
      </c>
      <c r="EH68" s="68">
        <f>IF($U68=0,0,IF($F68=4,0,IF($F68=3,0,IF(OR(93&gt;$R68,EG68&lt;=$I68),EG68,EG68-MIN(INT(ROUND(IF($F68=1,$C68*$J68,IF(IF68&gt;0,IF68*$K68,EG68*$J68))*IF(93=$R68,$S68,12)/12,6)+$B$4),EG68-$I68)))))</f>
        <v/>
      </c>
      <c r="EI68" s="68">
        <f>IF($U68=0,0,IF($F68=4,0,IF($F68=3,0,IF(OR(94&gt;$R68,EH68&lt;=$I68),EH68,EH68-MIN(INT(ROUND(IF($F68=1,$C68*$J68,IF(IG68&gt;0,IG68*$K68,EH68*$J68))*IF(94=$R68,$S68,12)/12,6)+$B$4),EH68-$I68)))))</f>
        <v/>
      </c>
      <c r="EJ68" s="68">
        <f>IF($U68=0,0,IF($F68=4,0,IF($F68=3,0,IF(OR(95&gt;$R68,EI68&lt;=$I68),EI68,EI68-MIN(INT(ROUND(IF($F68=1,$C68*$J68,IF(IH68&gt;0,IH68*$K68,EI68*$J68))*IF(95=$R68,$S68,12)/12,6)+$B$4),EI68-$I68)))))</f>
        <v/>
      </c>
      <c r="EK68" s="68">
        <f>IF($U68=0,0,IF($F68=4,0,IF($F68=3,0,IF(OR(96&gt;$R68,EJ68&lt;=$I68),EJ68,EJ68-MIN(INT(ROUND(IF($F68=1,$C68*$J68,IF(II68&gt;0,II68*$K68,EJ68*$J68))*IF(96=$R68,$S68,12)/12,6)+$B$4),EJ68-$I68)))))</f>
        <v/>
      </c>
      <c r="EL68" s="68">
        <f>IF($U68=0,0,IF($F68=4,0,IF($F68=3,0,IF(OR(97&gt;$R68,EK68&lt;=$I68),EK68,EK68-MIN(INT(ROUND(IF($F68=1,$C68*$J68,IF(IJ68&gt;0,IJ68*$K68,EK68*$J68))*IF(97=$R68,$S68,12)/12,6)+$B$4),EK68-$I68)))))</f>
        <v/>
      </c>
      <c r="EM68" s="68">
        <f>IF($U68=0,0,IF($F68=4,0,IF($F68=3,0,IF(OR(98&gt;$R68,EL68&lt;=$I68),EL68,EL68-MIN(INT(ROUND(IF($F68=1,$C68*$J68,IF(IK68&gt;0,IK68*$K68,EL68*$J68))*IF(98=$R68,$S68,12)/12,6)+$B$4),EL68-$I68)))))</f>
        <v/>
      </c>
      <c r="EN68" s="68">
        <f>IF($U68=0,0,IF($F68=4,0,IF($F68=3,0,IF(OR(99&gt;$R68,EM68&lt;=$I68),EM68,EM68-MIN(INT(ROUND(IF($F68=1,$C68*$J68,IF(IL68&gt;0,IL68*$K68,EM68*$J68))*IF(99=$R68,$S68,12)/12,6)+$B$4),EM68-$I68)))))</f>
        <v/>
      </c>
      <c r="EO68" s="68">
        <f>IF($U68=0,0,IF($F68=4,0,IF($F68=3,0,IF(OR(100&gt;$R68,EN68&lt;=$I68),EN68,EN68-MIN(INT(ROUND(IF($F68=1,$C68*$J68,IF(IM68&gt;0,IM68*$K68,EN68*$J68))*IF(100=$R68,$S68,12)/12,6)+$B$4),EN68-$I68)))))</f>
        <v/>
      </c>
      <c r="EP68" s="68">
        <f>IF($U68=0,0,IF($F68=4,0,IF($F68=3,0,IF(OR(101&gt;$R68,EO68&lt;=$I68),EO68,EO68-MIN(INT(ROUND(IF($F68=1,$C68*$J68,IF(IN68&gt;0,IN68*$K68,EO68*$J68))*IF(101=$R68,$S68,12)/12,6)+$B$4),EO68-$I68)))))</f>
        <v/>
      </c>
      <c r="EQ68" s="68" t="n"/>
      <c r="ER68" s="68">
        <f>IF(OR($U68=0,$F68&lt;&gt;2),0,IF(ROUND(AS68*$J68,6)&lt;ROUND($M68,6),AS68,0))</f>
        <v/>
      </c>
      <c r="ES68" s="68">
        <f>IF(OR($U68=0,$F68&lt;&gt;2),0,IF(ER68&gt;0,ER68,IF(ROUND(AT68*$J68,6)&lt;ROUND($M68,6),AT68,0)))</f>
        <v/>
      </c>
      <c r="ET68" s="68">
        <f>IF(OR($U68=0,$F68&lt;&gt;2),0,IF(ES68&gt;0,ES68,IF(ROUND(AU68*$J68,6)&lt;ROUND($M68,6),AU68,0)))</f>
        <v/>
      </c>
      <c r="EU68" s="68">
        <f>IF(OR($U68=0,$F68&lt;&gt;2),0,IF(ET68&gt;0,ET68,IF(ROUND(AV68*$J68,6)&lt;ROUND($M68,6),AV68,0)))</f>
        <v/>
      </c>
      <c r="EV68" s="68">
        <f>IF(OR($U68=0,$F68&lt;&gt;2),0,IF(EU68&gt;0,EU68,IF(ROUND(AW68*$J68,6)&lt;ROUND($M68,6),AW68,0)))</f>
        <v/>
      </c>
      <c r="EW68" s="68">
        <f>IF(OR($U68=0,$F68&lt;&gt;2),0,IF(EV68&gt;0,EV68,IF(ROUND(AX68*$J68,6)&lt;ROUND($M68,6),AX68,0)))</f>
        <v/>
      </c>
      <c r="EX68" s="68">
        <f>IF(OR($U68=0,$F68&lt;&gt;2),0,IF(EW68&gt;0,EW68,IF(ROUND(AY68*$J68,6)&lt;ROUND($M68,6),AY68,0)))</f>
        <v/>
      </c>
      <c r="EY68" s="68">
        <f>IF(OR($U68=0,$F68&lt;&gt;2),0,IF(EX68&gt;0,EX68,IF(ROUND(AZ68*$J68,6)&lt;ROUND($M68,6),AZ68,0)))</f>
        <v/>
      </c>
      <c r="EZ68" s="68">
        <f>IF(OR($U68=0,$F68&lt;&gt;2),0,IF(EY68&gt;0,EY68,IF(ROUND(BA68*$J68,6)&lt;ROUND($M68,6),BA68,0)))</f>
        <v/>
      </c>
      <c r="FA68" s="68">
        <f>IF(OR($U68=0,$F68&lt;&gt;2),0,IF(EZ68&gt;0,EZ68,IF(ROUND(BB68*$J68,6)&lt;ROUND($M68,6),BB68,0)))</f>
        <v/>
      </c>
      <c r="FB68" s="68">
        <f>IF(OR($U68=0,$F68&lt;&gt;2),0,IF(FA68&gt;0,FA68,IF(ROUND(BC68*$J68,6)&lt;ROUND($M68,6),BC68,0)))</f>
        <v/>
      </c>
      <c r="FC68" s="68">
        <f>IF(OR($U68=0,$F68&lt;&gt;2),0,IF(FB68&gt;0,FB68,IF(ROUND(BD68*$J68,6)&lt;ROUND($M68,6),BD68,0)))</f>
        <v/>
      </c>
      <c r="FD68" s="68">
        <f>IF(OR($U68=0,$F68&lt;&gt;2),0,IF(FC68&gt;0,FC68,IF(ROUND(BE68*$J68,6)&lt;ROUND($M68,6),BE68,0)))</f>
        <v/>
      </c>
      <c r="FE68" s="68">
        <f>IF(OR($U68=0,$F68&lt;&gt;2),0,IF(FD68&gt;0,FD68,IF(ROUND(BF68*$J68,6)&lt;ROUND($M68,6),BF68,0)))</f>
        <v/>
      </c>
      <c r="FF68" s="68">
        <f>IF(OR($U68=0,$F68&lt;&gt;2),0,IF(FE68&gt;0,FE68,IF(ROUND(BG68*$J68,6)&lt;ROUND($M68,6),BG68,0)))</f>
        <v/>
      </c>
      <c r="FG68" s="68">
        <f>IF(OR($U68=0,$F68&lt;&gt;2),0,IF(FF68&gt;0,FF68,IF(ROUND(BH68*$J68,6)&lt;ROUND($M68,6),BH68,0)))</f>
        <v/>
      </c>
      <c r="FH68" s="68">
        <f>IF(OR($U68=0,$F68&lt;&gt;2),0,IF(FG68&gt;0,FG68,IF(ROUND(BI68*$J68,6)&lt;ROUND($M68,6),BI68,0)))</f>
        <v/>
      </c>
      <c r="FI68" s="68">
        <f>IF(OR($U68=0,$F68&lt;&gt;2),0,IF(FH68&gt;0,FH68,IF(ROUND(BJ68*$J68,6)&lt;ROUND($M68,6),BJ68,0)))</f>
        <v/>
      </c>
      <c r="FJ68" s="68">
        <f>IF(OR($U68=0,$F68&lt;&gt;2),0,IF(FI68&gt;0,FI68,IF(ROUND(BK68*$J68,6)&lt;ROUND($M68,6),BK68,0)))</f>
        <v/>
      </c>
      <c r="FK68" s="68">
        <f>IF(OR($U68=0,$F68&lt;&gt;2),0,IF(FJ68&gt;0,FJ68,IF(ROUND(BL68*$J68,6)&lt;ROUND($M68,6),BL68,0)))</f>
        <v/>
      </c>
      <c r="FL68" s="68">
        <f>IF(OR($U68=0,$F68&lt;&gt;2),0,IF(FK68&gt;0,FK68,IF(ROUND(BM68*$J68,6)&lt;ROUND($M68,6),BM68,0)))</f>
        <v/>
      </c>
      <c r="FM68" s="68">
        <f>IF(OR($U68=0,$F68&lt;&gt;2),0,IF(FL68&gt;0,FL68,IF(ROUND(BN68*$J68,6)&lt;ROUND($M68,6),BN68,0)))</f>
        <v/>
      </c>
      <c r="FN68" s="68">
        <f>IF(OR($U68=0,$F68&lt;&gt;2),0,IF(FM68&gt;0,FM68,IF(ROUND(BO68*$J68,6)&lt;ROUND($M68,6),BO68,0)))</f>
        <v/>
      </c>
      <c r="FO68" s="68">
        <f>IF(OR($U68=0,$F68&lt;&gt;2),0,IF(FN68&gt;0,FN68,IF(ROUND(BP68*$J68,6)&lt;ROUND($M68,6),BP68,0)))</f>
        <v/>
      </c>
      <c r="FP68" s="68">
        <f>IF(OR($U68=0,$F68&lt;&gt;2),0,IF(FO68&gt;0,FO68,IF(ROUND(BQ68*$J68,6)&lt;ROUND($M68,6),BQ68,0)))</f>
        <v/>
      </c>
      <c r="FQ68" s="68">
        <f>IF(OR($U68=0,$F68&lt;&gt;2),0,IF(FP68&gt;0,FP68,IF(ROUND(BR68*$J68,6)&lt;ROUND($M68,6),BR68,0)))</f>
        <v/>
      </c>
      <c r="FR68" s="68">
        <f>IF(OR($U68=0,$F68&lt;&gt;2),0,IF(FQ68&gt;0,FQ68,IF(ROUND(BS68*$J68,6)&lt;ROUND($M68,6),BS68,0)))</f>
        <v/>
      </c>
      <c r="FS68" s="68">
        <f>IF(OR($U68=0,$F68&lt;&gt;2),0,IF(FR68&gt;0,FR68,IF(ROUND(BT68*$J68,6)&lt;ROUND($M68,6),BT68,0)))</f>
        <v/>
      </c>
      <c r="FT68" s="68">
        <f>IF(OR($U68=0,$F68&lt;&gt;2),0,IF(FS68&gt;0,FS68,IF(ROUND(BU68*$J68,6)&lt;ROUND($M68,6),BU68,0)))</f>
        <v/>
      </c>
      <c r="FU68" s="68">
        <f>IF(OR($U68=0,$F68&lt;&gt;2),0,IF(FT68&gt;0,FT68,IF(ROUND(BV68*$J68,6)&lt;ROUND($M68,6),BV68,0)))</f>
        <v/>
      </c>
      <c r="FV68" s="68">
        <f>IF(OR($U68=0,$F68&lt;&gt;2),0,IF(FU68&gt;0,FU68,IF(ROUND(BW68*$J68,6)&lt;ROUND($M68,6),BW68,0)))</f>
        <v/>
      </c>
      <c r="FW68" s="68">
        <f>IF(OR($U68=0,$F68&lt;&gt;2),0,IF(FV68&gt;0,FV68,IF(ROUND(BX68*$J68,6)&lt;ROUND($M68,6),BX68,0)))</f>
        <v/>
      </c>
      <c r="FX68" s="68">
        <f>IF(OR($U68=0,$F68&lt;&gt;2),0,IF(FW68&gt;0,FW68,IF(ROUND(BY68*$J68,6)&lt;ROUND($M68,6),BY68,0)))</f>
        <v/>
      </c>
      <c r="FY68" s="68">
        <f>IF(OR($U68=0,$F68&lt;&gt;2),0,IF(FX68&gt;0,FX68,IF(ROUND(BZ68*$J68,6)&lt;ROUND($M68,6),BZ68,0)))</f>
        <v/>
      </c>
      <c r="FZ68" s="68">
        <f>IF(OR($U68=0,$F68&lt;&gt;2),0,IF(FY68&gt;0,FY68,IF(ROUND(CA68*$J68,6)&lt;ROUND($M68,6),CA68,0)))</f>
        <v/>
      </c>
      <c r="GA68" s="68">
        <f>IF(OR($U68=0,$F68&lt;&gt;2),0,IF(FZ68&gt;0,FZ68,IF(ROUND(CB68*$J68,6)&lt;ROUND($M68,6),CB68,0)))</f>
        <v/>
      </c>
      <c r="GB68" s="68">
        <f>IF(OR($U68=0,$F68&lt;&gt;2),0,IF(GA68&gt;0,GA68,IF(ROUND(CC68*$J68,6)&lt;ROUND($M68,6),CC68,0)))</f>
        <v/>
      </c>
      <c r="GC68" s="68">
        <f>IF(OR($U68=0,$F68&lt;&gt;2),0,IF(GB68&gt;0,GB68,IF(ROUND(CD68*$J68,6)&lt;ROUND($M68,6),CD68,0)))</f>
        <v/>
      </c>
      <c r="GD68" s="68">
        <f>IF(OR($U68=0,$F68&lt;&gt;2),0,IF(GC68&gt;0,GC68,IF(ROUND(CE68*$J68,6)&lt;ROUND($M68,6),CE68,0)))</f>
        <v/>
      </c>
      <c r="GE68" s="68">
        <f>IF(OR($U68=0,$F68&lt;&gt;2),0,IF(GD68&gt;0,GD68,IF(ROUND(CF68*$J68,6)&lt;ROUND($M68,6),CF68,0)))</f>
        <v/>
      </c>
      <c r="GF68" s="68">
        <f>IF(OR($U68=0,$F68&lt;&gt;2),0,IF(GE68&gt;0,GE68,IF(ROUND(CG68*$J68,6)&lt;ROUND($M68,6),CG68,0)))</f>
        <v/>
      </c>
      <c r="GG68" s="68">
        <f>IF(OR($U68=0,$F68&lt;&gt;2),0,IF(GF68&gt;0,GF68,IF(ROUND(CH68*$J68,6)&lt;ROUND($M68,6),CH68,0)))</f>
        <v/>
      </c>
      <c r="GH68" s="68">
        <f>IF(OR($U68=0,$F68&lt;&gt;2),0,IF(GG68&gt;0,GG68,IF(ROUND(CI68*$J68,6)&lt;ROUND($M68,6),CI68,0)))</f>
        <v/>
      </c>
      <c r="GI68" s="68">
        <f>IF(OR($U68=0,$F68&lt;&gt;2),0,IF(GH68&gt;0,GH68,IF(ROUND(CJ68*$J68,6)&lt;ROUND($M68,6),CJ68,0)))</f>
        <v/>
      </c>
      <c r="GJ68" s="68">
        <f>IF(OR($U68=0,$F68&lt;&gt;2),0,IF(GI68&gt;0,GI68,IF(ROUND(CK68*$J68,6)&lt;ROUND($M68,6),CK68,0)))</f>
        <v/>
      </c>
      <c r="GK68" s="68">
        <f>IF(OR($U68=0,$F68&lt;&gt;2),0,IF(GJ68&gt;0,GJ68,IF(ROUND(CL68*$J68,6)&lt;ROUND($M68,6),CL68,0)))</f>
        <v/>
      </c>
      <c r="GL68" s="68">
        <f>IF(OR($U68=0,$F68&lt;&gt;2),0,IF(GK68&gt;0,GK68,IF(ROUND(CM68*$J68,6)&lt;ROUND($M68,6),CM68,0)))</f>
        <v/>
      </c>
      <c r="GM68" s="68">
        <f>IF(OR($U68=0,$F68&lt;&gt;2),0,IF(GL68&gt;0,GL68,IF(ROUND(CN68*$J68,6)&lt;ROUND($M68,6),CN68,0)))</f>
        <v/>
      </c>
      <c r="GN68" s="68">
        <f>IF(OR($U68=0,$F68&lt;&gt;2),0,IF(GM68&gt;0,GM68,IF(ROUND(CO68*$J68,6)&lt;ROUND($M68,6),CO68,0)))</f>
        <v/>
      </c>
      <c r="GO68" s="68">
        <f>IF(OR($U68=0,$F68&lt;&gt;2),0,IF(GN68&gt;0,GN68,IF(ROUND(CP68*$J68,6)&lt;ROUND($M68,6),CP68,0)))</f>
        <v/>
      </c>
      <c r="GP68" s="68">
        <f>IF(OR($U68=0,$F68&lt;&gt;2),0,IF(GO68&gt;0,GO68,IF(ROUND(CQ68*$J68,6)&lt;ROUND($M68,6),CQ68,0)))</f>
        <v/>
      </c>
      <c r="GQ68" s="68">
        <f>IF(OR($U68=0,$F68&lt;&gt;2),0,IF(GP68&gt;0,GP68,IF(ROUND(CR68*$J68,6)&lt;ROUND($M68,6),CR68,0)))</f>
        <v/>
      </c>
      <c r="GR68" s="68">
        <f>IF(OR($U68=0,$F68&lt;&gt;2),0,IF(GQ68&gt;0,GQ68,IF(ROUND(CS68*$J68,6)&lt;ROUND($M68,6),CS68,0)))</f>
        <v/>
      </c>
      <c r="GS68" s="68">
        <f>IF(OR($U68=0,$F68&lt;&gt;2),0,IF(GR68&gt;0,GR68,IF(ROUND(CT68*$J68,6)&lt;ROUND($M68,6),CT68,0)))</f>
        <v/>
      </c>
      <c r="GT68" s="68">
        <f>IF(OR($U68=0,$F68&lt;&gt;2),0,IF(GS68&gt;0,GS68,IF(ROUND(CU68*$J68,6)&lt;ROUND($M68,6),CU68,0)))</f>
        <v/>
      </c>
      <c r="GU68" s="68">
        <f>IF(OR($U68=0,$F68&lt;&gt;2),0,IF(GT68&gt;0,GT68,IF(ROUND(CV68*$J68,6)&lt;ROUND($M68,6),CV68,0)))</f>
        <v/>
      </c>
      <c r="GV68" s="68">
        <f>IF(OR($U68=0,$F68&lt;&gt;2),0,IF(GU68&gt;0,GU68,IF(ROUND(CW68*$J68,6)&lt;ROUND($M68,6),CW68,0)))</f>
        <v/>
      </c>
      <c r="GW68" s="68">
        <f>IF(OR($U68=0,$F68&lt;&gt;2),0,IF(GV68&gt;0,GV68,IF(ROUND(CX68*$J68,6)&lt;ROUND($M68,6),CX68,0)))</f>
        <v/>
      </c>
      <c r="GX68" s="68">
        <f>IF(OR($U68=0,$F68&lt;&gt;2),0,IF(GW68&gt;0,GW68,IF(ROUND(CY68*$J68,6)&lt;ROUND($M68,6),CY68,0)))</f>
        <v/>
      </c>
      <c r="GY68" s="68">
        <f>IF(OR($U68=0,$F68&lt;&gt;2),0,IF(GX68&gt;0,GX68,IF(ROUND(CZ68*$J68,6)&lt;ROUND($M68,6),CZ68,0)))</f>
        <v/>
      </c>
      <c r="GZ68" s="68">
        <f>IF(OR($U68=0,$F68&lt;&gt;2),0,IF(GY68&gt;0,GY68,IF(ROUND(DA68*$J68,6)&lt;ROUND($M68,6),DA68,0)))</f>
        <v/>
      </c>
      <c r="HA68" s="68">
        <f>IF(OR($U68=0,$F68&lt;&gt;2),0,IF(GZ68&gt;0,GZ68,IF(ROUND(DB68*$J68,6)&lt;ROUND($M68,6),DB68,0)))</f>
        <v/>
      </c>
      <c r="HB68" s="68">
        <f>IF(OR($U68=0,$F68&lt;&gt;2),0,IF(HA68&gt;0,HA68,IF(ROUND(DC68*$J68,6)&lt;ROUND($M68,6),DC68,0)))</f>
        <v/>
      </c>
      <c r="HC68" s="68">
        <f>IF(OR($U68=0,$F68&lt;&gt;2),0,IF(HB68&gt;0,HB68,IF(ROUND(DD68*$J68,6)&lt;ROUND($M68,6),DD68,0)))</f>
        <v/>
      </c>
      <c r="HD68" s="68">
        <f>IF(OR($U68=0,$F68&lt;&gt;2),0,IF(HC68&gt;0,HC68,IF(ROUND(DE68*$J68,6)&lt;ROUND($M68,6),DE68,0)))</f>
        <v/>
      </c>
      <c r="HE68" s="68">
        <f>IF(OR($U68=0,$F68&lt;&gt;2),0,IF(HD68&gt;0,HD68,IF(ROUND(DF68*$J68,6)&lt;ROUND($M68,6),DF68,0)))</f>
        <v/>
      </c>
      <c r="HF68" s="68">
        <f>IF(OR($U68=0,$F68&lt;&gt;2),0,IF(HE68&gt;0,HE68,IF(ROUND(DG68*$J68,6)&lt;ROUND($M68,6),DG68,0)))</f>
        <v/>
      </c>
      <c r="HG68" s="68">
        <f>IF(OR($U68=0,$F68&lt;&gt;2),0,IF(HF68&gt;0,HF68,IF(ROUND(DH68*$J68,6)&lt;ROUND($M68,6),DH68,0)))</f>
        <v/>
      </c>
      <c r="HH68" s="68">
        <f>IF(OR($U68=0,$F68&lt;&gt;2),0,IF(HG68&gt;0,HG68,IF(ROUND(DI68*$J68,6)&lt;ROUND($M68,6),DI68,0)))</f>
        <v/>
      </c>
      <c r="HI68" s="68">
        <f>IF(OR($U68=0,$F68&lt;&gt;2),0,IF(HH68&gt;0,HH68,IF(ROUND(DJ68*$J68,6)&lt;ROUND($M68,6),DJ68,0)))</f>
        <v/>
      </c>
      <c r="HJ68" s="68">
        <f>IF(OR($U68=0,$F68&lt;&gt;2),0,IF(HI68&gt;0,HI68,IF(ROUND(DK68*$J68,6)&lt;ROUND($M68,6),DK68,0)))</f>
        <v/>
      </c>
      <c r="HK68" s="68">
        <f>IF(OR($U68=0,$F68&lt;&gt;2),0,IF(HJ68&gt;0,HJ68,IF(ROUND(DL68*$J68,6)&lt;ROUND($M68,6),DL68,0)))</f>
        <v/>
      </c>
      <c r="HL68" s="68">
        <f>IF(OR($U68=0,$F68&lt;&gt;2),0,IF(HK68&gt;0,HK68,IF(ROUND(DM68*$J68,6)&lt;ROUND($M68,6),DM68,0)))</f>
        <v/>
      </c>
      <c r="HM68" s="68">
        <f>IF(OR($U68=0,$F68&lt;&gt;2),0,IF(HL68&gt;0,HL68,IF(ROUND(DN68*$J68,6)&lt;ROUND($M68,6),DN68,0)))</f>
        <v/>
      </c>
      <c r="HN68" s="68">
        <f>IF(OR($U68=0,$F68&lt;&gt;2),0,IF(HM68&gt;0,HM68,IF(ROUND(DO68*$J68,6)&lt;ROUND($M68,6),DO68,0)))</f>
        <v/>
      </c>
      <c r="HO68" s="68">
        <f>IF(OR($U68=0,$F68&lt;&gt;2),0,IF(HN68&gt;0,HN68,IF(ROUND(DP68*$J68,6)&lt;ROUND($M68,6),DP68,0)))</f>
        <v/>
      </c>
      <c r="HP68" s="68">
        <f>IF(OR($U68=0,$F68&lt;&gt;2),0,IF(HO68&gt;0,HO68,IF(ROUND(DQ68*$J68,6)&lt;ROUND($M68,6),DQ68,0)))</f>
        <v/>
      </c>
      <c r="HQ68" s="68">
        <f>IF(OR($U68=0,$F68&lt;&gt;2),0,IF(HP68&gt;0,HP68,IF(ROUND(DR68*$J68,6)&lt;ROUND($M68,6),DR68,0)))</f>
        <v/>
      </c>
      <c r="HR68" s="68">
        <f>IF(OR($U68=0,$F68&lt;&gt;2),0,IF(HQ68&gt;0,HQ68,IF(ROUND(DS68*$J68,6)&lt;ROUND($M68,6),DS68,0)))</f>
        <v/>
      </c>
      <c r="HS68" s="68">
        <f>IF(OR($U68=0,$F68&lt;&gt;2),0,IF(HR68&gt;0,HR68,IF(ROUND(DT68*$J68,6)&lt;ROUND($M68,6),DT68,0)))</f>
        <v/>
      </c>
      <c r="HT68" s="68">
        <f>IF(OR($U68=0,$F68&lt;&gt;2),0,IF(HS68&gt;0,HS68,IF(ROUND(DU68*$J68,6)&lt;ROUND($M68,6),DU68,0)))</f>
        <v/>
      </c>
      <c r="HU68" s="68">
        <f>IF(OR($U68=0,$F68&lt;&gt;2),0,IF(HT68&gt;0,HT68,IF(ROUND(DV68*$J68,6)&lt;ROUND($M68,6),DV68,0)))</f>
        <v/>
      </c>
      <c r="HV68" s="68">
        <f>IF(OR($U68=0,$F68&lt;&gt;2),0,IF(HU68&gt;0,HU68,IF(ROUND(DW68*$J68,6)&lt;ROUND($M68,6),DW68,0)))</f>
        <v/>
      </c>
      <c r="HW68" s="68">
        <f>IF(OR($U68=0,$F68&lt;&gt;2),0,IF(HV68&gt;0,HV68,IF(ROUND(DX68*$J68,6)&lt;ROUND($M68,6),DX68,0)))</f>
        <v/>
      </c>
      <c r="HX68" s="68">
        <f>IF(OR($U68=0,$F68&lt;&gt;2),0,IF(HW68&gt;0,HW68,IF(ROUND(DY68*$J68,6)&lt;ROUND($M68,6),DY68,0)))</f>
        <v/>
      </c>
      <c r="HY68" s="68">
        <f>IF(OR($U68=0,$F68&lt;&gt;2),0,IF(HX68&gt;0,HX68,IF(ROUND(DZ68*$J68,6)&lt;ROUND($M68,6),DZ68,0)))</f>
        <v/>
      </c>
      <c r="HZ68" s="68">
        <f>IF(OR($U68=0,$F68&lt;&gt;2),0,IF(HY68&gt;0,HY68,IF(ROUND(EA68*$J68,6)&lt;ROUND($M68,6),EA68,0)))</f>
        <v/>
      </c>
      <c r="IA68" s="68">
        <f>IF(OR($U68=0,$F68&lt;&gt;2),0,IF(HZ68&gt;0,HZ68,IF(ROUND(EB68*$J68,6)&lt;ROUND($M68,6),EB68,0)))</f>
        <v/>
      </c>
      <c r="IB68" s="68">
        <f>IF(OR($U68=0,$F68&lt;&gt;2),0,IF(IA68&gt;0,IA68,IF(ROUND(EC68*$J68,6)&lt;ROUND($M68,6),EC68,0)))</f>
        <v/>
      </c>
      <c r="IC68" s="68">
        <f>IF(OR($U68=0,$F68&lt;&gt;2),0,IF(IB68&gt;0,IB68,IF(ROUND(ED68*$J68,6)&lt;ROUND($M68,6),ED68,0)))</f>
        <v/>
      </c>
      <c r="ID68" s="68">
        <f>IF(OR($U68=0,$F68&lt;&gt;2),0,IF(IC68&gt;0,IC68,IF(ROUND(EE68*$J68,6)&lt;ROUND($M68,6),EE68,0)))</f>
        <v/>
      </c>
      <c r="IE68" s="68">
        <f>IF(OR($U68=0,$F68&lt;&gt;2),0,IF(ID68&gt;0,ID68,IF(ROUND(EF68*$J68,6)&lt;ROUND($M68,6),EF68,0)))</f>
        <v/>
      </c>
      <c r="IF68" s="68">
        <f>IF(OR($U68=0,$F68&lt;&gt;2),0,IF(IE68&gt;0,IE68,IF(ROUND(EG68*$J68,6)&lt;ROUND($M68,6),EG68,0)))</f>
        <v/>
      </c>
      <c r="IG68" s="68">
        <f>IF(OR($U68=0,$F68&lt;&gt;2),0,IF(IF68&gt;0,IF68,IF(ROUND(EH68*$J68,6)&lt;ROUND($M68,6),EH68,0)))</f>
        <v/>
      </c>
      <c r="IH68" s="68">
        <f>IF(OR($U68=0,$F68&lt;&gt;2),0,IF(IG68&gt;0,IG68,IF(ROUND(EI68*$J68,6)&lt;ROUND($M68,6),EI68,0)))</f>
        <v/>
      </c>
      <c r="II68" s="68">
        <f>IF(OR($U68=0,$F68&lt;&gt;2),0,IF(IH68&gt;0,IH68,IF(ROUND(EJ68*$J68,6)&lt;ROUND($M68,6),EJ68,0)))</f>
        <v/>
      </c>
      <c r="IJ68" s="68">
        <f>IF(OR($U68=0,$F68&lt;&gt;2),0,IF(II68&gt;0,II68,IF(ROUND(EK68*$J68,6)&lt;ROUND($M68,6),EK68,0)))</f>
        <v/>
      </c>
      <c r="IK68" s="68">
        <f>IF(OR($U68=0,$F68&lt;&gt;2),0,IF(IJ68&gt;0,IJ68,IF(ROUND(EL68*$J68,6)&lt;ROUND($M68,6),EL68,0)))</f>
        <v/>
      </c>
      <c r="IL68" s="68">
        <f>IF(OR($U68=0,$F68&lt;&gt;2),0,IF(IK68&gt;0,IK68,IF(ROUND(EM68*$J68,6)&lt;ROUND($M68,6),EM68,0)))</f>
        <v/>
      </c>
      <c r="IM68" s="68">
        <f>IF(OR($U68=0,$F68&lt;&gt;2),0,IF(IL68&gt;0,IL68,IF(ROUND(EN68*$J68,6)&lt;ROUND($M68,6),EN68,0)))</f>
        <v/>
      </c>
      <c r="IN68" s="68">
        <f>IF(OR($U68=0,$F68&lt;&gt;2),0,IF(IM68&gt;0,IM68,IF(ROUND(EO68*$J68,6)&lt;ROUND($M68,6),EO68,0)))</f>
        <v/>
      </c>
    </row>
    <row r="69">
      <c r="A69" s="68" t="n">
        <v>64</v>
      </c>
      <c r="B69" s="68">
        <f>IF(OR(TRIM('固定資産台帳'!$B69)&lt;&gt;"",'固定資産台帳'!$E69&lt;&gt;"",'固定資産台帳'!$G69&lt;&gt;"",'固定資産台帳'!$H69&lt;&gt;""),1,0)</f>
        <v/>
      </c>
      <c r="C69" s="68">
        <f>IF(ISNUMBER('固定資産台帳'!$G69),MAX(ROUND('固定資産台帳'!$G69,0),0),0)</f>
        <v/>
      </c>
      <c r="D69" s="84">
        <f>IF(ISNUMBER('固定資産台帳'!$E69),INT('固定資産台帳'!$E69),0)</f>
        <v/>
      </c>
      <c r="E69" s="84">
        <f>IF(ISNUMBER('固定資産台帳'!$F69),INT('固定資産台帳'!$F69),$D69)</f>
        <v/>
      </c>
      <c r="F69" s="68">
        <f>IF('固定資産台帳'!$H69="定額法",1,IF(OR('固定資産台帳'!$H69="定率法",'固定資産台帳'!$H69="定率法（200%）",'固定資産台帳'!$H69="定率法（250%）"),2,IF('固定資産台帳'!$H69="一括償却（3年）",3,IF('固定資産台帳'!$H69="少額特例",4,0))))</f>
        <v/>
      </c>
      <c r="G69" s="68">
        <f>IF('固定資産台帳'!$H69="定率法（250%）",250,IF('固定資産台帳'!$H69="定率法（200%）",200,IF($D69&gt;=DATE(2012,4,1),200,250)))</f>
        <v/>
      </c>
      <c r="H69" s="68">
        <f>IF(ISNUMBER('固定資産台帳'!$I69),IF(AND('固定資産台帳'!$I69&gt;=2,'固定資産台帳'!$I69&lt;=100,'固定資産台帳'!$I69=INT('固定資産台帳'!$I69)),'固定資産台帳'!$I69,0),0)</f>
        <v/>
      </c>
      <c r="I69" s="68">
        <f>IF('固定資産台帳'!$C69="無形固定資産",0,1)</f>
        <v/>
      </c>
      <c r="J69" s="68">
        <f>IF(OR($H69=0,$F69=0,$F69&gt;2),0,IF($F69=1,INDEX('償却率表'!$B$6:$B$104,$H69-1),IF($G69=200,INDEX('償却率表'!$C$6:$C$104,$H69-1),INDEX('償却率表'!$F$6:$F$104,$H69-1))))</f>
        <v/>
      </c>
      <c r="K69" s="68">
        <f>IF(AND($F69=2,$H69&gt;0),IF($G69=200,INDEX('償却率表'!$D$6:$D$104,$H69-1),INDEX('償却率表'!$G$6:$G$104,$H69-1)),0)</f>
        <v/>
      </c>
      <c r="L69" s="68">
        <f>IF(AND($F69=2,$H69&gt;0),IF($G69=200,INDEX('償却率表'!$E$6:$E$104,$H69-1),INDEX('償却率表'!$H$6:$H$104,$H69-1)),0)</f>
        <v/>
      </c>
      <c r="M69" s="68">
        <f>$C69*$L69</f>
        <v/>
      </c>
      <c r="N69" s="68">
        <f>IF($B$1=1,1,IF('固定資産台帳'!$J69="",1,IF(ISNUMBER('固定資産台帳'!$J69),IF(AND('固定資産台帳'!$J69&gt;0,'固定資産台帳'!$J69&lt;=1),'固定資産台帳'!$J69,0),0)))</f>
        <v/>
      </c>
      <c r="O69" s="68">
        <f>IF($E69=0,0,YEAR($E69)-IF(MONTH($E69)&lt;$B$2,1,0))</f>
        <v/>
      </c>
      <c r="P69" s="68">
        <f>IF($E69=0,0,12-MOD(MONTH($E69)-$B$2,12))</f>
        <v/>
      </c>
      <c r="Q69" s="84">
        <f>IF(ISNUMBER('固定資産台帳'!$K69),INT('固定資産台帳'!$K69),0)</f>
        <v/>
      </c>
      <c r="R69" s="68">
        <f>IF(OR($Q69=0,$E69=0),999,YEAR($Q69)-IF(MONTH($Q69)&lt;$B$2,1,0)-$O69)</f>
        <v/>
      </c>
      <c r="S69" s="68">
        <f>IF($R69=999,0,MOD(MONTH($Q69)-$B$2,12)+1-IF($R69=0,12-$P69,0))</f>
        <v/>
      </c>
      <c r="T69" s="68">
        <f>IF($B69=0,0,IF($C69&lt;=0,1,IF($D69=0,2,IF($F69=0,3,IF(AND($F69&lt;=2,$H69=0),4,IF(AND($F69&lt;=2,$D69&lt;DATE(2007,4,1)),5,IF($E69&lt;$D69,6,IF(AND($Q69&gt;0,$Q69&lt;$E69),7,IF($N69=0,8,IF($B$3=0,9,0))))))))))</f>
        <v/>
      </c>
      <c r="U69" s="68">
        <f>IF(AND($B69=1,$T69=0),1,0)</f>
        <v/>
      </c>
      <c r="V69" s="68">
        <f>$B$3-$O69</f>
        <v/>
      </c>
      <c r="W69" s="68">
        <f>IF(AND($U69=1,$V69&gt;=0),1,0)</f>
        <v/>
      </c>
      <c r="X69" s="68">
        <f>IF($W69=0,0,IF($V69=0,$C69,INDEX($AS69:$EP69,MIN($V69,102))))</f>
        <v/>
      </c>
      <c r="Y69" s="68">
        <f>IF($W69=0,0,INDEX($AS69:$EP69,MIN($V69,101)+1))</f>
        <v/>
      </c>
      <c r="Z69" s="68">
        <f>$X69-$Y69</f>
        <v/>
      </c>
      <c r="AA69" s="68">
        <f>IF(AND($W69=1,$F69=2,$V69&gt;=1),INDEX($ER69:$IN69,MIN($V69,101)),0)</f>
        <v/>
      </c>
      <c r="AB69" s="68">
        <f>IF(OR($W69=0,$F69&gt;2,$Z69=0),0,IF($V69=0,IF($R69=0,$S69,$P69),IF($V69=$R69,$S69,12)))</f>
        <v/>
      </c>
      <c r="AC69" s="68">
        <f>IF($W69=0,0,INT(ROUND($Z69*$N69,6)+$B$4))</f>
        <v/>
      </c>
      <c r="AD69" s="68">
        <f>IF(AND($W69=1,$F69&lt;=2,$V69=$R69),1,0)</f>
        <v/>
      </c>
      <c r="AE69" s="68">
        <f>IF(AND($W69=1,$F69&lt;=2,$V69&gt;$R69),1,0)</f>
        <v/>
      </c>
      <c r="AF69" s="68">
        <f>IF(AND($W69=1,$AE69=0,OR($Z69&gt;0,$AD69=1)),1,0)</f>
        <v/>
      </c>
      <c r="AG69" s="68">
        <f>IF($AF69=1,SUM($AF$6:$AF69),0)</f>
        <v/>
      </c>
      <c r="AH69" s="68">
        <f>IF($T69=0,"",CHOOSE($T69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69" s="68">
        <f>IF(AND($F69=2,OR('固定資産台帳'!$C69="建物",'固定資産台帳'!$C69="無形固定資産",AND(OR('固定資産台帳'!$C69="建物附属設備",'固定資産台帳'!$C69="構築物"),$D69&gt;=DATE(2016,4,1)))),"この資産は定額法だけです（定率法は使えません）。","")&amp;IF(AND($F69=3,$C69&gt;=200000),"一括償却は20万円未満の資産だけです。","")&amp;IF(AND($F69=3,$B$1=0,$C69&lt;100000),"10万円未満は一括償却にせず、全額をその年の経費にします。","")&amp;IF(AND($F69=4,$C69&lt;100000),"10万円未満は少額特例ではなく、全額をその年の経費にします。","")&amp;IF(AND($F69=4,$D69&lt;DATE(2026,4,1),$C69&gt;=300000),"2026年3月31日までの取得で少額特例が使えるのは30万円未満です。","")&amp;IF(AND($F69=4,$D69&gt;=DATE(2026,4,1),$C69&gt;=400000),"少額特例は40万円未満の資産だけです。","")&amp;IF(AND($F69=4,OR($D69&lt;DATE(2006,4,1),$D69&gt;DATE(2029,3,31))),"少額特例は2006年4月1日〜2029年3月31日に取得した資産だけです。","")&amp;IF(AND($F69=2,$G69=250,$D69&gt;DATE(2012,12,31)),"250%定率法は2012年12月31日までの取得だけです。","")</f>
        <v/>
      </c>
      <c r="AJ69" s="68">
        <f>IF(AND($F69=2,'固定資産台帳'!$H69="定率法（200%）",$D69&lt;DATE(2012,4,1)),"2012年3月31日までの取得に200%を使うのは、経過措置の届出をした場合です。","")&amp;IF(AND($F69=2,'固定資産台帳'!$H69="定率法（250%）",$D69&gt;=DATE(2012,4,1),$D69&lt;=DATE(2012,12,31)),"2012年4〜12月の取得に250%を使うのは、経過措置を選んだ場合です。","")</f>
        <v/>
      </c>
      <c r="AK69" s="68">
        <f>IF($U69=0,"",IF($V69&lt;0,"表示している年より後に使い始める資産です。",IF($AE69=1,"売却・除却済みです。",IF($AD69=1,"この年に売却・除却。期末の帳簿価額 "&amp;TEXT($Y69,"#,##0")&amp;"円を帳簿から外します。",IF($F69=4,IF($V69=0,"少額特例：この年に全額を経費にします。","少額特例で経費にした資産です。"),IF($F69=3,IF($V69&gt;2,"一括償却は終わっています。","一括償却 "&amp;($V69+1)&amp;"年目（3年のうち）。"),IF($Z69=0,"償却済み（帳簿価額 "&amp;TEXT($Y69,"#,##0")&amp;"円）。",IF($AA69&gt;0,"改定償却率で計算（改定取得価額 "&amp;TEXT($AA69,"#,##0")&amp;"円）。",IF($V69=0,"この年に使い始め（"&amp;$AB69&amp;"か月分）。","")))))))))</f>
        <v/>
      </c>
      <c r="AL69" s="68">
        <f>IF(AND($U69=1,$F69=4,$V69=0),$C69,0)</f>
        <v/>
      </c>
      <c r="AM69" s="68">
        <f>IF($F69=2,INT(ROUND($M69,6)+$B$4),0)</f>
        <v/>
      </c>
      <c r="AN69" s="68">
        <f>IF($W69=0,0,IF($F69=2,IF($AA69&gt;0,$AA69,$X69),$C69))</f>
        <v/>
      </c>
      <c r="AO69" s="68">
        <f>IF($W69=0,"",IF($F69=3,"1/3",IF($F69=4,"―",IF($AA69&gt;0,$K69,$J69))))</f>
        <v/>
      </c>
      <c r="AP69" s="68" t="n"/>
      <c r="AQ69" s="68" t="n"/>
      <c r="AR69" s="68" t="n"/>
      <c r="AS69" s="68">
        <f>IF($U69=0,0,IF($F69=4,0,IF($F69=3,MAX($C69-INT(ROUND($C69/3,6)+$B$4),0),$C69-MIN(INT(ROUND($C69*$J69*IF($R69=0,$S69,$P69)/12,6)+$B$4),MAX($C69-$I69,0)))))</f>
        <v/>
      </c>
      <c r="AT69" s="68">
        <f>IF($U69=0,0,IF($F69=4,0,IF($F69=3,AS69-MIN(INT(ROUND($C69/3,6)+$B$4),AS69),IF(OR(1&gt;$R69,AS69&lt;=$I69),AS69,AS69-MIN(INT(ROUND(IF($F69=1,$C69*$J69,IF(ER69&gt;0,ER69*$K69,AS69*$J69))*IF(1=$R69,$S69,12)/12,6)+$B$4),AS69-$I69)))))</f>
        <v/>
      </c>
      <c r="AU69" s="68">
        <f>IF($U69=0,0,IF($F69=4,0,IF($F69=3,0,IF(OR(2&gt;$R69,AT69&lt;=$I69),AT69,AT69-MIN(INT(ROUND(IF($F69=1,$C69*$J69,IF(ES69&gt;0,ES69*$K69,AT69*$J69))*IF(2=$R69,$S69,12)/12,6)+$B$4),AT69-$I69)))))</f>
        <v/>
      </c>
      <c r="AV69" s="68">
        <f>IF($U69=0,0,IF($F69=4,0,IF($F69=3,0,IF(OR(3&gt;$R69,AU69&lt;=$I69),AU69,AU69-MIN(INT(ROUND(IF($F69=1,$C69*$J69,IF(ET69&gt;0,ET69*$K69,AU69*$J69))*IF(3=$R69,$S69,12)/12,6)+$B$4),AU69-$I69)))))</f>
        <v/>
      </c>
      <c r="AW69" s="68">
        <f>IF($U69=0,0,IF($F69=4,0,IF($F69=3,0,IF(OR(4&gt;$R69,AV69&lt;=$I69),AV69,AV69-MIN(INT(ROUND(IF($F69=1,$C69*$J69,IF(EU69&gt;0,EU69*$K69,AV69*$J69))*IF(4=$R69,$S69,12)/12,6)+$B$4),AV69-$I69)))))</f>
        <v/>
      </c>
      <c r="AX69" s="68">
        <f>IF($U69=0,0,IF($F69=4,0,IF($F69=3,0,IF(OR(5&gt;$R69,AW69&lt;=$I69),AW69,AW69-MIN(INT(ROUND(IF($F69=1,$C69*$J69,IF(EV69&gt;0,EV69*$K69,AW69*$J69))*IF(5=$R69,$S69,12)/12,6)+$B$4),AW69-$I69)))))</f>
        <v/>
      </c>
      <c r="AY69" s="68">
        <f>IF($U69=0,0,IF($F69=4,0,IF($F69=3,0,IF(OR(6&gt;$R69,AX69&lt;=$I69),AX69,AX69-MIN(INT(ROUND(IF($F69=1,$C69*$J69,IF(EW69&gt;0,EW69*$K69,AX69*$J69))*IF(6=$R69,$S69,12)/12,6)+$B$4),AX69-$I69)))))</f>
        <v/>
      </c>
      <c r="AZ69" s="68">
        <f>IF($U69=0,0,IF($F69=4,0,IF($F69=3,0,IF(OR(7&gt;$R69,AY69&lt;=$I69),AY69,AY69-MIN(INT(ROUND(IF($F69=1,$C69*$J69,IF(EX69&gt;0,EX69*$K69,AY69*$J69))*IF(7=$R69,$S69,12)/12,6)+$B$4),AY69-$I69)))))</f>
        <v/>
      </c>
      <c r="BA69" s="68">
        <f>IF($U69=0,0,IF($F69=4,0,IF($F69=3,0,IF(OR(8&gt;$R69,AZ69&lt;=$I69),AZ69,AZ69-MIN(INT(ROUND(IF($F69=1,$C69*$J69,IF(EY69&gt;0,EY69*$K69,AZ69*$J69))*IF(8=$R69,$S69,12)/12,6)+$B$4),AZ69-$I69)))))</f>
        <v/>
      </c>
      <c r="BB69" s="68">
        <f>IF($U69=0,0,IF($F69=4,0,IF($F69=3,0,IF(OR(9&gt;$R69,BA69&lt;=$I69),BA69,BA69-MIN(INT(ROUND(IF($F69=1,$C69*$J69,IF(EZ69&gt;0,EZ69*$K69,BA69*$J69))*IF(9=$R69,$S69,12)/12,6)+$B$4),BA69-$I69)))))</f>
        <v/>
      </c>
      <c r="BC69" s="68">
        <f>IF($U69=0,0,IF($F69=4,0,IF($F69=3,0,IF(OR(10&gt;$R69,BB69&lt;=$I69),BB69,BB69-MIN(INT(ROUND(IF($F69=1,$C69*$J69,IF(FA69&gt;0,FA69*$K69,BB69*$J69))*IF(10=$R69,$S69,12)/12,6)+$B$4),BB69-$I69)))))</f>
        <v/>
      </c>
      <c r="BD69" s="68">
        <f>IF($U69=0,0,IF($F69=4,0,IF($F69=3,0,IF(OR(11&gt;$R69,BC69&lt;=$I69),BC69,BC69-MIN(INT(ROUND(IF($F69=1,$C69*$J69,IF(FB69&gt;0,FB69*$K69,BC69*$J69))*IF(11=$R69,$S69,12)/12,6)+$B$4),BC69-$I69)))))</f>
        <v/>
      </c>
      <c r="BE69" s="68">
        <f>IF($U69=0,0,IF($F69=4,0,IF($F69=3,0,IF(OR(12&gt;$R69,BD69&lt;=$I69),BD69,BD69-MIN(INT(ROUND(IF($F69=1,$C69*$J69,IF(FC69&gt;0,FC69*$K69,BD69*$J69))*IF(12=$R69,$S69,12)/12,6)+$B$4),BD69-$I69)))))</f>
        <v/>
      </c>
      <c r="BF69" s="68">
        <f>IF($U69=0,0,IF($F69=4,0,IF($F69=3,0,IF(OR(13&gt;$R69,BE69&lt;=$I69),BE69,BE69-MIN(INT(ROUND(IF($F69=1,$C69*$J69,IF(FD69&gt;0,FD69*$K69,BE69*$J69))*IF(13=$R69,$S69,12)/12,6)+$B$4),BE69-$I69)))))</f>
        <v/>
      </c>
      <c r="BG69" s="68">
        <f>IF($U69=0,0,IF($F69=4,0,IF($F69=3,0,IF(OR(14&gt;$R69,BF69&lt;=$I69),BF69,BF69-MIN(INT(ROUND(IF($F69=1,$C69*$J69,IF(FE69&gt;0,FE69*$K69,BF69*$J69))*IF(14=$R69,$S69,12)/12,6)+$B$4),BF69-$I69)))))</f>
        <v/>
      </c>
      <c r="BH69" s="68">
        <f>IF($U69=0,0,IF($F69=4,0,IF($F69=3,0,IF(OR(15&gt;$R69,BG69&lt;=$I69),BG69,BG69-MIN(INT(ROUND(IF($F69=1,$C69*$J69,IF(FF69&gt;0,FF69*$K69,BG69*$J69))*IF(15=$R69,$S69,12)/12,6)+$B$4),BG69-$I69)))))</f>
        <v/>
      </c>
      <c r="BI69" s="68">
        <f>IF($U69=0,0,IF($F69=4,0,IF($F69=3,0,IF(OR(16&gt;$R69,BH69&lt;=$I69),BH69,BH69-MIN(INT(ROUND(IF($F69=1,$C69*$J69,IF(FG69&gt;0,FG69*$K69,BH69*$J69))*IF(16=$R69,$S69,12)/12,6)+$B$4),BH69-$I69)))))</f>
        <v/>
      </c>
      <c r="BJ69" s="68">
        <f>IF($U69=0,0,IF($F69=4,0,IF($F69=3,0,IF(OR(17&gt;$R69,BI69&lt;=$I69),BI69,BI69-MIN(INT(ROUND(IF($F69=1,$C69*$J69,IF(FH69&gt;0,FH69*$K69,BI69*$J69))*IF(17=$R69,$S69,12)/12,6)+$B$4),BI69-$I69)))))</f>
        <v/>
      </c>
      <c r="BK69" s="68">
        <f>IF($U69=0,0,IF($F69=4,0,IF($F69=3,0,IF(OR(18&gt;$R69,BJ69&lt;=$I69),BJ69,BJ69-MIN(INT(ROUND(IF($F69=1,$C69*$J69,IF(FI69&gt;0,FI69*$K69,BJ69*$J69))*IF(18=$R69,$S69,12)/12,6)+$B$4),BJ69-$I69)))))</f>
        <v/>
      </c>
      <c r="BL69" s="68">
        <f>IF($U69=0,0,IF($F69=4,0,IF($F69=3,0,IF(OR(19&gt;$R69,BK69&lt;=$I69),BK69,BK69-MIN(INT(ROUND(IF($F69=1,$C69*$J69,IF(FJ69&gt;0,FJ69*$K69,BK69*$J69))*IF(19=$R69,$S69,12)/12,6)+$B$4),BK69-$I69)))))</f>
        <v/>
      </c>
      <c r="BM69" s="68">
        <f>IF($U69=0,0,IF($F69=4,0,IF($F69=3,0,IF(OR(20&gt;$R69,BL69&lt;=$I69),BL69,BL69-MIN(INT(ROUND(IF($F69=1,$C69*$J69,IF(FK69&gt;0,FK69*$K69,BL69*$J69))*IF(20=$R69,$S69,12)/12,6)+$B$4),BL69-$I69)))))</f>
        <v/>
      </c>
      <c r="BN69" s="68">
        <f>IF($U69=0,0,IF($F69=4,0,IF($F69=3,0,IF(OR(21&gt;$R69,BM69&lt;=$I69),BM69,BM69-MIN(INT(ROUND(IF($F69=1,$C69*$J69,IF(FL69&gt;0,FL69*$K69,BM69*$J69))*IF(21=$R69,$S69,12)/12,6)+$B$4),BM69-$I69)))))</f>
        <v/>
      </c>
      <c r="BO69" s="68">
        <f>IF($U69=0,0,IF($F69=4,0,IF($F69=3,0,IF(OR(22&gt;$R69,BN69&lt;=$I69),BN69,BN69-MIN(INT(ROUND(IF($F69=1,$C69*$J69,IF(FM69&gt;0,FM69*$K69,BN69*$J69))*IF(22=$R69,$S69,12)/12,6)+$B$4),BN69-$I69)))))</f>
        <v/>
      </c>
      <c r="BP69" s="68">
        <f>IF($U69=0,0,IF($F69=4,0,IF($F69=3,0,IF(OR(23&gt;$R69,BO69&lt;=$I69),BO69,BO69-MIN(INT(ROUND(IF($F69=1,$C69*$J69,IF(FN69&gt;0,FN69*$K69,BO69*$J69))*IF(23=$R69,$S69,12)/12,6)+$B$4),BO69-$I69)))))</f>
        <v/>
      </c>
      <c r="BQ69" s="68">
        <f>IF($U69=0,0,IF($F69=4,0,IF($F69=3,0,IF(OR(24&gt;$R69,BP69&lt;=$I69),BP69,BP69-MIN(INT(ROUND(IF($F69=1,$C69*$J69,IF(FO69&gt;0,FO69*$K69,BP69*$J69))*IF(24=$R69,$S69,12)/12,6)+$B$4),BP69-$I69)))))</f>
        <v/>
      </c>
      <c r="BR69" s="68">
        <f>IF($U69=0,0,IF($F69=4,0,IF($F69=3,0,IF(OR(25&gt;$R69,BQ69&lt;=$I69),BQ69,BQ69-MIN(INT(ROUND(IF($F69=1,$C69*$J69,IF(FP69&gt;0,FP69*$K69,BQ69*$J69))*IF(25=$R69,$S69,12)/12,6)+$B$4),BQ69-$I69)))))</f>
        <v/>
      </c>
      <c r="BS69" s="68">
        <f>IF($U69=0,0,IF($F69=4,0,IF($F69=3,0,IF(OR(26&gt;$R69,BR69&lt;=$I69),BR69,BR69-MIN(INT(ROUND(IF($F69=1,$C69*$J69,IF(FQ69&gt;0,FQ69*$K69,BR69*$J69))*IF(26=$R69,$S69,12)/12,6)+$B$4),BR69-$I69)))))</f>
        <v/>
      </c>
      <c r="BT69" s="68">
        <f>IF($U69=0,0,IF($F69=4,0,IF($F69=3,0,IF(OR(27&gt;$R69,BS69&lt;=$I69),BS69,BS69-MIN(INT(ROUND(IF($F69=1,$C69*$J69,IF(FR69&gt;0,FR69*$K69,BS69*$J69))*IF(27=$R69,$S69,12)/12,6)+$B$4),BS69-$I69)))))</f>
        <v/>
      </c>
      <c r="BU69" s="68">
        <f>IF($U69=0,0,IF($F69=4,0,IF($F69=3,0,IF(OR(28&gt;$R69,BT69&lt;=$I69),BT69,BT69-MIN(INT(ROUND(IF($F69=1,$C69*$J69,IF(FS69&gt;0,FS69*$K69,BT69*$J69))*IF(28=$R69,$S69,12)/12,6)+$B$4),BT69-$I69)))))</f>
        <v/>
      </c>
      <c r="BV69" s="68">
        <f>IF($U69=0,0,IF($F69=4,0,IF($F69=3,0,IF(OR(29&gt;$R69,BU69&lt;=$I69),BU69,BU69-MIN(INT(ROUND(IF($F69=1,$C69*$J69,IF(FT69&gt;0,FT69*$K69,BU69*$J69))*IF(29=$R69,$S69,12)/12,6)+$B$4),BU69-$I69)))))</f>
        <v/>
      </c>
      <c r="BW69" s="68">
        <f>IF($U69=0,0,IF($F69=4,0,IF($F69=3,0,IF(OR(30&gt;$R69,BV69&lt;=$I69),BV69,BV69-MIN(INT(ROUND(IF($F69=1,$C69*$J69,IF(FU69&gt;0,FU69*$K69,BV69*$J69))*IF(30=$R69,$S69,12)/12,6)+$B$4),BV69-$I69)))))</f>
        <v/>
      </c>
      <c r="BX69" s="68">
        <f>IF($U69=0,0,IF($F69=4,0,IF($F69=3,0,IF(OR(31&gt;$R69,BW69&lt;=$I69),BW69,BW69-MIN(INT(ROUND(IF($F69=1,$C69*$J69,IF(FV69&gt;0,FV69*$K69,BW69*$J69))*IF(31=$R69,$S69,12)/12,6)+$B$4),BW69-$I69)))))</f>
        <v/>
      </c>
      <c r="BY69" s="68">
        <f>IF($U69=0,0,IF($F69=4,0,IF($F69=3,0,IF(OR(32&gt;$R69,BX69&lt;=$I69),BX69,BX69-MIN(INT(ROUND(IF($F69=1,$C69*$J69,IF(FW69&gt;0,FW69*$K69,BX69*$J69))*IF(32=$R69,$S69,12)/12,6)+$B$4),BX69-$I69)))))</f>
        <v/>
      </c>
      <c r="BZ69" s="68">
        <f>IF($U69=0,0,IF($F69=4,0,IF($F69=3,0,IF(OR(33&gt;$R69,BY69&lt;=$I69),BY69,BY69-MIN(INT(ROUND(IF($F69=1,$C69*$J69,IF(FX69&gt;0,FX69*$K69,BY69*$J69))*IF(33=$R69,$S69,12)/12,6)+$B$4),BY69-$I69)))))</f>
        <v/>
      </c>
      <c r="CA69" s="68">
        <f>IF($U69=0,0,IF($F69=4,0,IF($F69=3,0,IF(OR(34&gt;$R69,BZ69&lt;=$I69),BZ69,BZ69-MIN(INT(ROUND(IF($F69=1,$C69*$J69,IF(FY69&gt;0,FY69*$K69,BZ69*$J69))*IF(34=$R69,$S69,12)/12,6)+$B$4),BZ69-$I69)))))</f>
        <v/>
      </c>
      <c r="CB69" s="68">
        <f>IF($U69=0,0,IF($F69=4,0,IF($F69=3,0,IF(OR(35&gt;$R69,CA69&lt;=$I69),CA69,CA69-MIN(INT(ROUND(IF($F69=1,$C69*$J69,IF(FZ69&gt;0,FZ69*$K69,CA69*$J69))*IF(35=$R69,$S69,12)/12,6)+$B$4),CA69-$I69)))))</f>
        <v/>
      </c>
      <c r="CC69" s="68">
        <f>IF($U69=0,0,IF($F69=4,0,IF($F69=3,0,IF(OR(36&gt;$R69,CB69&lt;=$I69),CB69,CB69-MIN(INT(ROUND(IF($F69=1,$C69*$J69,IF(GA69&gt;0,GA69*$K69,CB69*$J69))*IF(36=$R69,$S69,12)/12,6)+$B$4),CB69-$I69)))))</f>
        <v/>
      </c>
      <c r="CD69" s="68">
        <f>IF($U69=0,0,IF($F69=4,0,IF($F69=3,0,IF(OR(37&gt;$R69,CC69&lt;=$I69),CC69,CC69-MIN(INT(ROUND(IF($F69=1,$C69*$J69,IF(GB69&gt;0,GB69*$K69,CC69*$J69))*IF(37=$R69,$S69,12)/12,6)+$B$4),CC69-$I69)))))</f>
        <v/>
      </c>
      <c r="CE69" s="68">
        <f>IF($U69=0,0,IF($F69=4,0,IF($F69=3,0,IF(OR(38&gt;$R69,CD69&lt;=$I69),CD69,CD69-MIN(INT(ROUND(IF($F69=1,$C69*$J69,IF(GC69&gt;0,GC69*$K69,CD69*$J69))*IF(38=$R69,$S69,12)/12,6)+$B$4),CD69-$I69)))))</f>
        <v/>
      </c>
      <c r="CF69" s="68">
        <f>IF($U69=0,0,IF($F69=4,0,IF($F69=3,0,IF(OR(39&gt;$R69,CE69&lt;=$I69),CE69,CE69-MIN(INT(ROUND(IF($F69=1,$C69*$J69,IF(GD69&gt;0,GD69*$K69,CE69*$J69))*IF(39=$R69,$S69,12)/12,6)+$B$4),CE69-$I69)))))</f>
        <v/>
      </c>
      <c r="CG69" s="68">
        <f>IF($U69=0,0,IF($F69=4,0,IF($F69=3,0,IF(OR(40&gt;$R69,CF69&lt;=$I69),CF69,CF69-MIN(INT(ROUND(IF($F69=1,$C69*$J69,IF(GE69&gt;0,GE69*$K69,CF69*$J69))*IF(40=$R69,$S69,12)/12,6)+$B$4),CF69-$I69)))))</f>
        <v/>
      </c>
      <c r="CH69" s="68">
        <f>IF($U69=0,0,IF($F69=4,0,IF($F69=3,0,IF(OR(41&gt;$R69,CG69&lt;=$I69),CG69,CG69-MIN(INT(ROUND(IF($F69=1,$C69*$J69,IF(GF69&gt;0,GF69*$K69,CG69*$J69))*IF(41=$R69,$S69,12)/12,6)+$B$4),CG69-$I69)))))</f>
        <v/>
      </c>
      <c r="CI69" s="68">
        <f>IF($U69=0,0,IF($F69=4,0,IF($F69=3,0,IF(OR(42&gt;$R69,CH69&lt;=$I69),CH69,CH69-MIN(INT(ROUND(IF($F69=1,$C69*$J69,IF(GG69&gt;0,GG69*$K69,CH69*$J69))*IF(42=$R69,$S69,12)/12,6)+$B$4),CH69-$I69)))))</f>
        <v/>
      </c>
      <c r="CJ69" s="68">
        <f>IF($U69=0,0,IF($F69=4,0,IF($F69=3,0,IF(OR(43&gt;$R69,CI69&lt;=$I69),CI69,CI69-MIN(INT(ROUND(IF($F69=1,$C69*$J69,IF(GH69&gt;0,GH69*$K69,CI69*$J69))*IF(43=$R69,$S69,12)/12,6)+$B$4),CI69-$I69)))))</f>
        <v/>
      </c>
      <c r="CK69" s="68">
        <f>IF($U69=0,0,IF($F69=4,0,IF($F69=3,0,IF(OR(44&gt;$R69,CJ69&lt;=$I69),CJ69,CJ69-MIN(INT(ROUND(IF($F69=1,$C69*$J69,IF(GI69&gt;0,GI69*$K69,CJ69*$J69))*IF(44=$R69,$S69,12)/12,6)+$B$4),CJ69-$I69)))))</f>
        <v/>
      </c>
      <c r="CL69" s="68">
        <f>IF($U69=0,0,IF($F69=4,0,IF($F69=3,0,IF(OR(45&gt;$R69,CK69&lt;=$I69),CK69,CK69-MIN(INT(ROUND(IF($F69=1,$C69*$J69,IF(GJ69&gt;0,GJ69*$K69,CK69*$J69))*IF(45=$R69,$S69,12)/12,6)+$B$4),CK69-$I69)))))</f>
        <v/>
      </c>
      <c r="CM69" s="68">
        <f>IF($U69=0,0,IF($F69=4,0,IF($F69=3,0,IF(OR(46&gt;$R69,CL69&lt;=$I69),CL69,CL69-MIN(INT(ROUND(IF($F69=1,$C69*$J69,IF(GK69&gt;0,GK69*$K69,CL69*$J69))*IF(46=$R69,$S69,12)/12,6)+$B$4),CL69-$I69)))))</f>
        <v/>
      </c>
      <c r="CN69" s="68">
        <f>IF($U69=0,0,IF($F69=4,0,IF($F69=3,0,IF(OR(47&gt;$R69,CM69&lt;=$I69),CM69,CM69-MIN(INT(ROUND(IF($F69=1,$C69*$J69,IF(GL69&gt;0,GL69*$K69,CM69*$J69))*IF(47=$R69,$S69,12)/12,6)+$B$4),CM69-$I69)))))</f>
        <v/>
      </c>
      <c r="CO69" s="68">
        <f>IF($U69=0,0,IF($F69=4,0,IF($F69=3,0,IF(OR(48&gt;$R69,CN69&lt;=$I69),CN69,CN69-MIN(INT(ROUND(IF($F69=1,$C69*$J69,IF(GM69&gt;0,GM69*$K69,CN69*$J69))*IF(48=$R69,$S69,12)/12,6)+$B$4),CN69-$I69)))))</f>
        <v/>
      </c>
      <c r="CP69" s="68">
        <f>IF($U69=0,0,IF($F69=4,0,IF($F69=3,0,IF(OR(49&gt;$R69,CO69&lt;=$I69),CO69,CO69-MIN(INT(ROUND(IF($F69=1,$C69*$J69,IF(GN69&gt;0,GN69*$K69,CO69*$J69))*IF(49=$R69,$S69,12)/12,6)+$B$4),CO69-$I69)))))</f>
        <v/>
      </c>
      <c r="CQ69" s="68">
        <f>IF($U69=0,0,IF($F69=4,0,IF($F69=3,0,IF(OR(50&gt;$R69,CP69&lt;=$I69),CP69,CP69-MIN(INT(ROUND(IF($F69=1,$C69*$J69,IF(GO69&gt;0,GO69*$K69,CP69*$J69))*IF(50=$R69,$S69,12)/12,6)+$B$4),CP69-$I69)))))</f>
        <v/>
      </c>
      <c r="CR69" s="68">
        <f>IF($U69=0,0,IF($F69=4,0,IF($F69=3,0,IF(OR(51&gt;$R69,CQ69&lt;=$I69),CQ69,CQ69-MIN(INT(ROUND(IF($F69=1,$C69*$J69,IF(GP69&gt;0,GP69*$K69,CQ69*$J69))*IF(51=$R69,$S69,12)/12,6)+$B$4),CQ69-$I69)))))</f>
        <v/>
      </c>
      <c r="CS69" s="68">
        <f>IF($U69=0,0,IF($F69=4,0,IF($F69=3,0,IF(OR(52&gt;$R69,CR69&lt;=$I69),CR69,CR69-MIN(INT(ROUND(IF($F69=1,$C69*$J69,IF(GQ69&gt;0,GQ69*$K69,CR69*$J69))*IF(52=$R69,$S69,12)/12,6)+$B$4),CR69-$I69)))))</f>
        <v/>
      </c>
      <c r="CT69" s="68">
        <f>IF($U69=0,0,IF($F69=4,0,IF($F69=3,0,IF(OR(53&gt;$R69,CS69&lt;=$I69),CS69,CS69-MIN(INT(ROUND(IF($F69=1,$C69*$J69,IF(GR69&gt;0,GR69*$K69,CS69*$J69))*IF(53=$R69,$S69,12)/12,6)+$B$4),CS69-$I69)))))</f>
        <v/>
      </c>
      <c r="CU69" s="68">
        <f>IF($U69=0,0,IF($F69=4,0,IF($F69=3,0,IF(OR(54&gt;$R69,CT69&lt;=$I69),CT69,CT69-MIN(INT(ROUND(IF($F69=1,$C69*$J69,IF(GS69&gt;0,GS69*$K69,CT69*$J69))*IF(54=$R69,$S69,12)/12,6)+$B$4),CT69-$I69)))))</f>
        <v/>
      </c>
      <c r="CV69" s="68">
        <f>IF($U69=0,0,IF($F69=4,0,IF($F69=3,0,IF(OR(55&gt;$R69,CU69&lt;=$I69),CU69,CU69-MIN(INT(ROUND(IF($F69=1,$C69*$J69,IF(GT69&gt;0,GT69*$K69,CU69*$J69))*IF(55=$R69,$S69,12)/12,6)+$B$4),CU69-$I69)))))</f>
        <v/>
      </c>
      <c r="CW69" s="68">
        <f>IF($U69=0,0,IF($F69=4,0,IF($F69=3,0,IF(OR(56&gt;$R69,CV69&lt;=$I69),CV69,CV69-MIN(INT(ROUND(IF($F69=1,$C69*$J69,IF(GU69&gt;0,GU69*$K69,CV69*$J69))*IF(56=$R69,$S69,12)/12,6)+$B$4),CV69-$I69)))))</f>
        <v/>
      </c>
      <c r="CX69" s="68">
        <f>IF($U69=0,0,IF($F69=4,0,IF($F69=3,0,IF(OR(57&gt;$R69,CW69&lt;=$I69),CW69,CW69-MIN(INT(ROUND(IF($F69=1,$C69*$J69,IF(GV69&gt;0,GV69*$K69,CW69*$J69))*IF(57=$R69,$S69,12)/12,6)+$B$4),CW69-$I69)))))</f>
        <v/>
      </c>
      <c r="CY69" s="68">
        <f>IF($U69=0,0,IF($F69=4,0,IF($F69=3,0,IF(OR(58&gt;$R69,CX69&lt;=$I69),CX69,CX69-MIN(INT(ROUND(IF($F69=1,$C69*$J69,IF(GW69&gt;0,GW69*$K69,CX69*$J69))*IF(58=$R69,$S69,12)/12,6)+$B$4),CX69-$I69)))))</f>
        <v/>
      </c>
      <c r="CZ69" s="68">
        <f>IF($U69=0,0,IF($F69=4,0,IF($F69=3,0,IF(OR(59&gt;$R69,CY69&lt;=$I69),CY69,CY69-MIN(INT(ROUND(IF($F69=1,$C69*$J69,IF(GX69&gt;0,GX69*$K69,CY69*$J69))*IF(59=$R69,$S69,12)/12,6)+$B$4),CY69-$I69)))))</f>
        <v/>
      </c>
      <c r="DA69" s="68">
        <f>IF($U69=0,0,IF($F69=4,0,IF($F69=3,0,IF(OR(60&gt;$R69,CZ69&lt;=$I69),CZ69,CZ69-MIN(INT(ROUND(IF($F69=1,$C69*$J69,IF(GY69&gt;0,GY69*$K69,CZ69*$J69))*IF(60=$R69,$S69,12)/12,6)+$B$4),CZ69-$I69)))))</f>
        <v/>
      </c>
      <c r="DB69" s="68">
        <f>IF($U69=0,0,IF($F69=4,0,IF($F69=3,0,IF(OR(61&gt;$R69,DA69&lt;=$I69),DA69,DA69-MIN(INT(ROUND(IF($F69=1,$C69*$J69,IF(GZ69&gt;0,GZ69*$K69,DA69*$J69))*IF(61=$R69,$S69,12)/12,6)+$B$4),DA69-$I69)))))</f>
        <v/>
      </c>
      <c r="DC69" s="68">
        <f>IF($U69=0,0,IF($F69=4,0,IF($F69=3,0,IF(OR(62&gt;$R69,DB69&lt;=$I69),DB69,DB69-MIN(INT(ROUND(IF($F69=1,$C69*$J69,IF(HA69&gt;0,HA69*$K69,DB69*$J69))*IF(62=$R69,$S69,12)/12,6)+$B$4),DB69-$I69)))))</f>
        <v/>
      </c>
      <c r="DD69" s="68">
        <f>IF($U69=0,0,IF($F69=4,0,IF($F69=3,0,IF(OR(63&gt;$R69,DC69&lt;=$I69),DC69,DC69-MIN(INT(ROUND(IF($F69=1,$C69*$J69,IF(HB69&gt;0,HB69*$K69,DC69*$J69))*IF(63=$R69,$S69,12)/12,6)+$B$4),DC69-$I69)))))</f>
        <v/>
      </c>
      <c r="DE69" s="68">
        <f>IF($U69=0,0,IF($F69=4,0,IF($F69=3,0,IF(OR(64&gt;$R69,DD69&lt;=$I69),DD69,DD69-MIN(INT(ROUND(IF($F69=1,$C69*$J69,IF(HC69&gt;0,HC69*$K69,DD69*$J69))*IF(64=$R69,$S69,12)/12,6)+$B$4),DD69-$I69)))))</f>
        <v/>
      </c>
      <c r="DF69" s="68">
        <f>IF($U69=0,0,IF($F69=4,0,IF($F69=3,0,IF(OR(65&gt;$R69,DE69&lt;=$I69),DE69,DE69-MIN(INT(ROUND(IF($F69=1,$C69*$J69,IF(HD69&gt;0,HD69*$K69,DE69*$J69))*IF(65=$R69,$S69,12)/12,6)+$B$4),DE69-$I69)))))</f>
        <v/>
      </c>
      <c r="DG69" s="68">
        <f>IF($U69=0,0,IF($F69=4,0,IF($F69=3,0,IF(OR(66&gt;$R69,DF69&lt;=$I69),DF69,DF69-MIN(INT(ROUND(IF($F69=1,$C69*$J69,IF(HE69&gt;0,HE69*$K69,DF69*$J69))*IF(66=$R69,$S69,12)/12,6)+$B$4),DF69-$I69)))))</f>
        <v/>
      </c>
      <c r="DH69" s="68">
        <f>IF($U69=0,0,IF($F69=4,0,IF($F69=3,0,IF(OR(67&gt;$R69,DG69&lt;=$I69),DG69,DG69-MIN(INT(ROUND(IF($F69=1,$C69*$J69,IF(HF69&gt;0,HF69*$K69,DG69*$J69))*IF(67=$R69,$S69,12)/12,6)+$B$4),DG69-$I69)))))</f>
        <v/>
      </c>
      <c r="DI69" s="68">
        <f>IF($U69=0,0,IF($F69=4,0,IF($F69=3,0,IF(OR(68&gt;$R69,DH69&lt;=$I69),DH69,DH69-MIN(INT(ROUND(IF($F69=1,$C69*$J69,IF(HG69&gt;0,HG69*$K69,DH69*$J69))*IF(68=$R69,$S69,12)/12,6)+$B$4),DH69-$I69)))))</f>
        <v/>
      </c>
      <c r="DJ69" s="68">
        <f>IF($U69=0,0,IF($F69=4,0,IF($F69=3,0,IF(OR(69&gt;$R69,DI69&lt;=$I69),DI69,DI69-MIN(INT(ROUND(IF($F69=1,$C69*$J69,IF(HH69&gt;0,HH69*$K69,DI69*$J69))*IF(69=$R69,$S69,12)/12,6)+$B$4),DI69-$I69)))))</f>
        <v/>
      </c>
      <c r="DK69" s="68">
        <f>IF($U69=0,0,IF($F69=4,0,IF($F69=3,0,IF(OR(70&gt;$R69,DJ69&lt;=$I69),DJ69,DJ69-MIN(INT(ROUND(IF($F69=1,$C69*$J69,IF(HI69&gt;0,HI69*$K69,DJ69*$J69))*IF(70=$R69,$S69,12)/12,6)+$B$4),DJ69-$I69)))))</f>
        <v/>
      </c>
      <c r="DL69" s="68">
        <f>IF($U69=0,0,IF($F69=4,0,IF($F69=3,0,IF(OR(71&gt;$R69,DK69&lt;=$I69),DK69,DK69-MIN(INT(ROUND(IF($F69=1,$C69*$J69,IF(HJ69&gt;0,HJ69*$K69,DK69*$J69))*IF(71=$R69,$S69,12)/12,6)+$B$4),DK69-$I69)))))</f>
        <v/>
      </c>
      <c r="DM69" s="68">
        <f>IF($U69=0,0,IF($F69=4,0,IF($F69=3,0,IF(OR(72&gt;$R69,DL69&lt;=$I69),DL69,DL69-MIN(INT(ROUND(IF($F69=1,$C69*$J69,IF(HK69&gt;0,HK69*$K69,DL69*$J69))*IF(72=$R69,$S69,12)/12,6)+$B$4),DL69-$I69)))))</f>
        <v/>
      </c>
      <c r="DN69" s="68">
        <f>IF($U69=0,0,IF($F69=4,0,IF($F69=3,0,IF(OR(73&gt;$R69,DM69&lt;=$I69),DM69,DM69-MIN(INT(ROUND(IF($F69=1,$C69*$J69,IF(HL69&gt;0,HL69*$K69,DM69*$J69))*IF(73=$R69,$S69,12)/12,6)+$B$4),DM69-$I69)))))</f>
        <v/>
      </c>
      <c r="DO69" s="68">
        <f>IF($U69=0,0,IF($F69=4,0,IF($F69=3,0,IF(OR(74&gt;$R69,DN69&lt;=$I69),DN69,DN69-MIN(INT(ROUND(IF($F69=1,$C69*$J69,IF(HM69&gt;0,HM69*$K69,DN69*$J69))*IF(74=$R69,$S69,12)/12,6)+$B$4),DN69-$I69)))))</f>
        <v/>
      </c>
      <c r="DP69" s="68">
        <f>IF($U69=0,0,IF($F69=4,0,IF($F69=3,0,IF(OR(75&gt;$R69,DO69&lt;=$I69),DO69,DO69-MIN(INT(ROUND(IF($F69=1,$C69*$J69,IF(HN69&gt;0,HN69*$K69,DO69*$J69))*IF(75=$R69,$S69,12)/12,6)+$B$4),DO69-$I69)))))</f>
        <v/>
      </c>
      <c r="DQ69" s="68">
        <f>IF($U69=0,0,IF($F69=4,0,IF($F69=3,0,IF(OR(76&gt;$R69,DP69&lt;=$I69),DP69,DP69-MIN(INT(ROUND(IF($F69=1,$C69*$J69,IF(HO69&gt;0,HO69*$K69,DP69*$J69))*IF(76=$R69,$S69,12)/12,6)+$B$4),DP69-$I69)))))</f>
        <v/>
      </c>
      <c r="DR69" s="68">
        <f>IF($U69=0,0,IF($F69=4,0,IF($F69=3,0,IF(OR(77&gt;$R69,DQ69&lt;=$I69),DQ69,DQ69-MIN(INT(ROUND(IF($F69=1,$C69*$J69,IF(HP69&gt;0,HP69*$K69,DQ69*$J69))*IF(77=$R69,$S69,12)/12,6)+$B$4),DQ69-$I69)))))</f>
        <v/>
      </c>
      <c r="DS69" s="68">
        <f>IF($U69=0,0,IF($F69=4,0,IF($F69=3,0,IF(OR(78&gt;$R69,DR69&lt;=$I69),DR69,DR69-MIN(INT(ROUND(IF($F69=1,$C69*$J69,IF(HQ69&gt;0,HQ69*$K69,DR69*$J69))*IF(78=$R69,$S69,12)/12,6)+$B$4),DR69-$I69)))))</f>
        <v/>
      </c>
      <c r="DT69" s="68">
        <f>IF($U69=0,0,IF($F69=4,0,IF($F69=3,0,IF(OR(79&gt;$R69,DS69&lt;=$I69),DS69,DS69-MIN(INT(ROUND(IF($F69=1,$C69*$J69,IF(HR69&gt;0,HR69*$K69,DS69*$J69))*IF(79=$R69,$S69,12)/12,6)+$B$4),DS69-$I69)))))</f>
        <v/>
      </c>
      <c r="DU69" s="68">
        <f>IF($U69=0,0,IF($F69=4,0,IF($F69=3,0,IF(OR(80&gt;$R69,DT69&lt;=$I69),DT69,DT69-MIN(INT(ROUND(IF($F69=1,$C69*$J69,IF(HS69&gt;0,HS69*$K69,DT69*$J69))*IF(80=$R69,$S69,12)/12,6)+$B$4),DT69-$I69)))))</f>
        <v/>
      </c>
      <c r="DV69" s="68">
        <f>IF($U69=0,0,IF($F69=4,0,IF($F69=3,0,IF(OR(81&gt;$R69,DU69&lt;=$I69),DU69,DU69-MIN(INT(ROUND(IF($F69=1,$C69*$J69,IF(HT69&gt;0,HT69*$K69,DU69*$J69))*IF(81=$R69,$S69,12)/12,6)+$B$4),DU69-$I69)))))</f>
        <v/>
      </c>
      <c r="DW69" s="68">
        <f>IF($U69=0,0,IF($F69=4,0,IF($F69=3,0,IF(OR(82&gt;$R69,DV69&lt;=$I69),DV69,DV69-MIN(INT(ROUND(IF($F69=1,$C69*$J69,IF(HU69&gt;0,HU69*$K69,DV69*$J69))*IF(82=$R69,$S69,12)/12,6)+$B$4),DV69-$I69)))))</f>
        <v/>
      </c>
      <c r="DX69" s="68">
        <f>IF($U69=0,0,IF($F69=4,0,IF($F69=3,0,IF(OR(83&gt;$R69,DW69&lt;=$I69),DW69,DW69-MIN(INT(ROUND(IF($F69=1,$C69*$J69,IF(HV69&gt;0,HV69*$K69,DW69*$J69))*IF(83=$R69,$S69,12)/12,6)+$B$4),DW69-$I69)))))</f>
        <v/>
      </c>
      <c r="DY69" s="68">
        <f>IF($U69=0,0,IF($F69=4,0,IF($F69=3,0,IF(OR(84&gt;$R69,DX69&lt;=$I69),DX69,DX69-MIN(INT(ROUND(IF($F69=1,$C69*$J69,IF(HW69&gt;0,HW69*$K69,DX69*$J69))*IF(84=$R69,$S69,12)/12,6)+$B$4),DX69-$I69)))))</f>
        <v/>
      </c>
      <c r="DZ69" s="68">
        <f>IF($U69=0,0,IF($F69=4,0,IF($F69=3,0,IF(OR(85&gt;$R69,DY69&lt;=$I69),DY69,DY69-MIN(INT(ROUND(IF($F69=1,$C69*$J69,IF(HX69&gt;0,HX69*$K69,DY69*$J69))*IF(85=$R69,$S69,12)/12,6)+$B$4),DY69-$I69)))))</f>
        <v/>
      </c>
      <c r="EA69" s="68">
        <f>IF($U69=0,0,IF($F69=4,0,IF($F69=3,0,IF(OR(86&gt;$R69,DZ69&lt;=$I69),DZ69,DZ69-MIN(INT(ROUND(IF($F69=1,$C69*$J69,IF(HY69&gt;0,HY69*$K69,DZ69*$J69))*IF(86=$R69,$S69,12)/12,6)+$B$4),DZ69-$I69)))))</f>
        <v/>
      </c>
      <c r="EB69" s="68">
        <f>IF($U69=0,0,IF($F69=4,0,IF($F69=3,0,IF(OR(87&gt;$R69,EA69&lt;=$I69),EA69,EA69-MIN(INT(ROUND(IF($F69=1,$C69*$J69,IF(HZ69&gt;0,HZ69*$K69,EA69*$J69))*IF(87=$R69,$S69,12)/12,6)+$B$4),EA69-$I69)))))</f>
        <v/>
      </c>
      <c r="EC69" s="68">
        <f>IF($U69=0,0,IF($F69=4,0,IF($F69=3,0,IF(OR(88&gt;$R69,EB69&lt;=$I69),EB69,EB69-MIN(INT(ROUND(IF($F69=1,$C69*$J69,IF(IA69&gt;0,IA69*$K69,EB69*$J69))*IF(88=$R69,$S69,12)/12,6)+$B$4),EB69-$I69)))))</f>
        <v/>
      </c>
      <c r="ED69" s="68">
        <f>IF($U69=0,0,IF($F69=4,0,IF($F69=3,0,IF(OR(89&gt;$R69,EC69&lt;=$I69),EC69,EC69-MIN(INT(ROUND(IF($F69=1,$C69*$J69,IF(IB69&gt;0,IB69*$K69,EC69*$J69))*IF(89=$R69,$S69,12)/12,6)+$B$4),EC69-$I69)))))</f>
        <v/>
      </c>
      <c r="EE69" s="68">
        <f>IF($U69=0,0,IF($F69=4,0,IF($F69=3,0,IF(OR(90&gt;$R69,ED69&lt;=$I69),ED69,ED69-MIN(INT(ROUND(IF($F69=1,$C69*$J69,IF(IC69&gt;0,IC69*$K69,ED69*$J69))*IF(90=$R69,$S69,12)/12,6)+$B$4),ED69-$I69)))))</f>
        <v/>
      </c>
      <c r="EF69" s="68">
        <f>IF($U69=0,0,IF($F69=4,0,IF($F69=3,0,IF(OR(91&gt;$R69,EE69&lt;=$I69),EE69,EE69-MIN(INT(ROUND(IF($F69=1,$C69*$J69,IF(ID69&gt;0,ID69*$K69,EE69*$J69))*IF(91=$R69,$S69,12)/12,6)+$B$4),EE69-$I69)))))</f>
        <v/>
      </c>
      <c r="EG69" s="68">
        <f>IF($U69=0,0,IF($F69=4,0,IF($F69=3,0,IF(OR(92&gt;$R69,EF69&lt;=$I69),EF69,EF69-MIN(INT(ROUND(IF($F69=1,$C69*$J69,IF(IE69&gt;0,IE69*$K69,EF69*$J69))*IF(92=$R69,$S69,12)/12,6)+$B$4),EF69-$I69)))))</f>
        <v/>
      </c>
      <c r="EH69" s="68">
        <f>IF($U69=0,0,IF($F69=4,0,IF($F69=3,0,IF(OR(93&gt;$R69,EG69&lt;=$I69),EG69,EG69-MIN(INT(ROUND(IF($F69=1,$C69*$J69,IF(IF69&gt;0,IF69*$K69,EG69*$J69))*IF(93=$R69,$S69,12)/12,6)+$B$4),EG69-$I69)))))</f>
        <v/>
      </c>
      <c r="EI69" s="68">
        <f>IF($U69=0,0,IF($F69=4,0,IF($F69=3,0,IF(OR(94&gt;$R69,EH69&lt;=$I69),EH69,EH69-MIN(INT(ROUND(IF($F69=1,$C69*$J69,IF(IG69&gt;0,IG69*$K69,EH69*$J69))*IF(94=$R69,$S69,12)/12,6)+$B$4),EH69-$I69)))))</f>
        <v/>
      </c>
      <c r="EJ69" s="68">
        <f>IF($U69=0,0,IF($F69=4,0,IF($F69=3,0,IF(OR(95&gt;$R69,EI69&lt;=$I69),EI69,EI69-MIN(INT(ROUND(IF($F69=1,$C69*$J69,IF(IH69&gt;0,IH69*$K69,EI69*$J69))*IF(95=$R69,$S69,12)/12,6)+$B$4),EI69-$I69)))))</f>
        <v/>
      </c>
      <c r="EK69" s="68">
        <f>IF($U69=0,0,IF($F69=4,0,IF($F69=3,0,IF(OR(96&gt;$R69,EJ69&lt;=$I69),EJ69,EJ69-MIN(INT(ROUND(IF($F69=1,$C69*$J69,IF(II69&gt;0,II69*$K69,EJ69*$J69))*IF(96=$R69,$S69,12)/12,6)+$B$4),EJ69-$I69)))))</f>
        <v/>
      </c>
      <c r="EL69" s="68">
        <f>IF($U69=0,0,IF($F69=4,0,IF($F69=3,0,IF(OR(97&gt;$R69,EK69&lt;=$I69),EK69,EK69-MIN(INT(ROUND(IF($F69=1,$C69*$J69,IF(IJ69&gt;0,IJ69*$K69,EK69*$J69))*IF(97=$R69,$S69,12)/12,6)+$B$4),EK69-$I69)))))</f>
        <v/>
      </c>
      <c r="EM69" s="68">
        <f>IF($U69=0,0,IF($F69=4,0,IF($F69=3,0,IF(OR(98&gt;$R69,EL69&lt;=$I69),EL69,EL69-MIN(INT(ROUND(IF($F69=1,$C69*$J69,IF(IK69&gt;0,IK69*$K69,EL69*$J69))*IF(98=$R69,$S69,12)/12,6)+$B$4),EL69-$I69)))))</f>
        <v/>
      </c>
      <c r="EN69" s="68">
        <f>IF($U69=0,0,IF($F69=4,0,IF($F69=3,0,IF(OR(99&gt;$R69,EM69&lt;=$I69),EM69,EM69-MIN(INT(ROUND(IF($F69=1,$C69*$J69,IF(IL69&gt;0,IL69*$K69,EM69*$J69))*IF(99=$R69,$S69,12)/12,6)+$B$4),EM69-$I69)))))</f>
        <v/>
      </c>
      <c r="EO69" s="68">
        <f>IF($U69=0,0,IF($F69=4,0,IF($F69=3,0,IF(OR(100&gt;$R69,EN69&lt;=$I69),EN69,EN69-MIN(INT(ROUND(IF($F69=1,$C69*$J69,IF(IM69&gt;0,IM69*$K69,EN69*$J69))*IF(100=$R69,$S69,12)/12,6)+$B$4),EN69-$I69)))))</f>
        <v/>
      </c>
      <c r="EP69" s="68">
        <f>IF($U69=0,0,IF($F69=4,0,IF($F69=3,0,IF(OR(101&gt;$R69,EO69&lt;=$I69),EO69,EO69-MIN(INT(ROUND(IF($F69=1,$C69*$J69,IF(IN69&gt;0,IN69*$K69,EO69*$J69))*IF(101=$R69,$S69,12)/12,6)+$B$4),EO69-$I69)))))</f>
        <v/>
      </c>
      <c r="EQ69" s="68" t="n"/>
      <c r="ER69" s="68">
        <f>IF(OR($U69=0,$F69&lt;&gt;2),0,IF(ROUND(AS69*$J69,6)&lt;ROUND($M69,6),AS69,0))</f>
        <v/>
      </c>
      <c r="ES69" s="68">
        <f>IF(OR($U69=0,$F69&lt;&gt;2),0,IF(ER69&gt;0,ER69,IF(ROUND(AT69*$J69,6)&lt;ROUND($M69,6),AT69,0)))</f>
        <v/>
      </c>
      <c r="ET69" s="68">
        <f>IF(OR($U69=0,$F69&lt;&gt;2),0,IF(ES69&gt;0,ES69,IF(ROUND(AU69*$J69,6)&lt;ROUND($M69,6),AU69,0)))</f>
        <v/>
      </c>
      <c r="EU69" s="68">
        <f>IF(OR($U69=0,$F69&lt;&gt;2),0,IF(ET69&gt;0,ET69,IF(ROUND(AV69*$J69,6)&lt;ROUND($M69,6),AV69,0)))</f>
        <v/>
      </c>
      <c r="EV69" s="68">
        <f>IF(OR($U69=0,$F69&lt;&gt;2),0,IF(EU69&gt;0,EU69,IF(ROUND(AW69*$J69,6)&lt;ROUND($M69,6),AW69,0)))</f>
        <v/>
      </c>
      <c r="EW69" s="68">
        <f>IF(OR($U69=0,$F69&lt;&gt;2),0,IF(EV69&gt;0,EV69,IF(ROUND(AX69*$J69,6)&lt;ROUND($M69,6),AX69,0)))</f>
        <v/>
      </c>
      <c r="EX69" s="68">
        <f>IF(OR($U69=0,$F69&lt;&gt;2),0,IF(EW69&gt;0,EW69,IF(ROUND(AY69*$J69,6)&lt;ROUND($M69,6),AY69,0)))</f>
        <v/>
      </c>
      <c r="EY69" s="68">
        <f>IF(OR($U69=0,$F69&lt;&gt;2),0,IF(EX69&gt;0,EX69,IF(ROUND(AZ69*$J69,6)&lt;ROUND($M69,6),AZ69,0)))</f>
        <v/>
      </c>
      <c r="EZ69" s="68">
        <f>IF(OR($U69=0,$F69&lt;&gt;2),0,IF(EY69&gt;0,EY69,IF(ROUND(BA69*$J69,6)&lt;ROUND($M69,6),BA69,0)))</f>
        <v/>
      </c>
      <c r="FA69" s="68">
        <f>IF(OR($U69=0,$F69&lt;&gt;2),0,IF(EZ69&gt;0,EZ69,IF(ROUND(BB69*$J69,6)&lt;ROUND($M69,6),BB69,0)))</f>
        <v/>
      </c>
      <c r="FB69" s="68">
        <f>IF(OR($U69=0,$F69&lt;&gt;2),0,IF(FA69&gt;0,FA69,IF(ROUND(BC69*$J69,6)&lt;ROUND($M69,6),BC69,0)))</f>
        <v/>
      </c>
      <c r="FC69" s="68">
        <f>IF(OR($U69=0,$F69&lt;&gt;2),0,IF(FB69&gt;0,FB69,IF(ROUND(BD69*$J69,6)&lt;ROUND($M69,6),BD69,0)))</f>
        <v/>
      </c>
      <c r="FD69" s="68">
        <f>IF(OR($U69=0,$F69&lt;&gt;2),0,IF(FC69&gt;0,FC69,IF(ROUND(BE69*$J69,6)&lt;ROUND($M69,6),BE69,0)))</f>
        <v/>
      </c>
      <c r="FE69" s="68">
        <f>IF(OR($U69=0,$F69&lt;&gt;2),0,IF(FD69&gt;0,FD69,IF(ROUND(BF69*$J69,6)&lt;ROUND($M69,6),BF69,0)))</f>
        <v/>
      </c>
      <c r="FF69" s="68">
        <f>IF(OR($U69=0,$F69&lt;&gt;2),0,IF(FE69&gt;0,FE69,IF(ROUND(BG69*$J69,6)&lt;ROUND($M69,6),BG69,0)))</f>
        <v/>
      </c>
      <c r="FG69" s="68">
        <f>IF(OR($U69=0,$F69&lt;&gt;2),0,IF(FF69&gt;0,FF69,IF(ROUND(BH69*$J69,6)&lt;ROUND($M69,6),BH69,0)))</f>
        <v/>
      </c>
      <c r="FH69" s="68">
        <f>IF(OR($U69=0,$F69&lt;&gt;2),0,IF(FG69&gt;0,FG69,IF(ROUND(BI69*$J69,6)&lt;ROUND($M69,6),BI69,0)))</f>
        <v/>
      </c>
      <c r="FI69" s="68">
        <f>IF(OR($U69=0,$F69&lt;&gt;2),0,IF(FH69&gt;0,FH69,IF(ROUND(BJ69*$J69,6)&lt;ROUND($M69,6),BJ69,0)))</f>
        <v/>
      </c>
      <c r="FJ69" s="68">
        <f>IF(OR($U69=0,$F69&lt;&gt;2),0,IF(FI69&gt;0,FI69,IF(ROUND(BK69*$J69,6)&lt;ROUND($M69,6),BK69,0)))</f>
        <v/>
      </c>
      <c r="FK69" s="68">
        <f>IF(OR($U69=0,$F69&lt;&gt;2),0,IF(FJ69&gt;0,FJ69,IF(ROUND(BL69*$J69,6)&lt;ROUND($M69,6),BL69,0)))</f>
        <v/>
      </c>
      <c r="FL69" s="68">
        <f>IF(OR($U69=0,$F69&lt;&gt;2),0,IF(FK69&gt;0,FK69,IF(ROUND(BM69*$J69,6)&lt;ROUND($M69,6),BM69,0)))</f>
        <v/>
      </c>
      <c r="FM69" s="68">
        <f>IF(OR($U69=0,$F69&lt;&gt;2),0,IF(FL69&gt;0,FL69,IF(ROUND(BN69*$J69,6)&lt;ROUND($M69,6),BN69,0)))</f>
        <v/>
      </c>
      <c r="FN69" s="68">
        <f>IF(OR($U69=0,$F69&lt;&gt;2),0,IF(FM69&gt;0,FM69,IF(ROUND(BO69*$J69,6)&lt;ROUND($M69,6),BO69,0)))</f>
        <v/>
      </c>
      <c r="FO69" s="68">
        <f>IF(OR($U69=0,$F69&lt;&gt;2),0,IF(FN69&gt;0,FN69,IF(ROUND(BP69*$J69,6)&lt;ROUND($M69,6),BP69,0)))</f>
        <v/>
      </c>
      <c r="FP69" s="68">
        <f>IF(OR($U69=0,$F69&lt;&gt;2),0,IF(FO69&gt;0,FO69,IF(ROUND(BQ69*$J69,6)&lt;ROUND($M69,6),BQ69,0)))</f>
        <v/>
      </c>
      <c r="FQ69" s="68">
        <f>IF(OR($U69=0,$F69&lt;&gt;2),0,IF(FP69&gt;0,FP69,IF(ROUND(BR69*$J69,6)&lt;ROUND($M69,6),BR69,0)))</f>
        <v/>
      </c>
      <c r="FR69" s="68">
        <f>IF(OR($U69=0,$F69&lt;&gt;2),0,IF(FQ69&gt;0,FQ69,IF(ROUND(BS69*$J69,6)&lt;ROUND($M69,6),BS69,0)))</f>
        <v/>
      </c>
      <c r="FS69" s="68">
        <f>IF(OR($U69=0,$F69&lt;&gt;2),0,IF(FR69&gt;0,FR69,IF(ROUND(BT69*$J69,6)&lt;ROUND($M69,6),BT69,0)))</f>
        <v/>
      </c>
      <c r="FT69" s="68">
        <f>IF(OR($U69=0,$F69&lt;&gt;2),0,IF(FS69&gt;0,FS69,IF(ROUND(BU69*$J69,6)&lt;ROUND($M69,6),BU69,0)))</f>
        <v/>
      </c>
      <c r="FU69" s="68">
        <f>IF(OR($U69=0,$F69&lt;&gt;2),0,IF(FT69&gt;0,FT69,IF(ROUND(BV69*$J69,6)&lt;ROUND($M69,6),BV69,0)))</f>
        <v/>
      </c>
      <c r="FV69" s="68">
        <f>IF(OR($U69=0,$F69&lt;&gt;2),0,IF(FU69&gt;0,FU69,IF(ROUND(BW69*$J69,6)&lt;ROUND($M69,6),BW69,0)))</f>
        <v/>
      </c>
      <c r="FW69" s="68">
        <f>IF(OR($U69=0,$F69&lt;&gt;2),0,IF(FV69&gt;0,FV69,IF(ROUND(BX69*$J69,6)&lt;ROUND($M69,6),BX69,0)))</f>
        <v/>
      </c>
      <c r="FX69" s="68">
        <f>IF(OR($U69=0,$F69&lt;&gt;2),0,IF(FW69&gt;0,FW69,IF(ROUND(BY69*$J69,6)&lt;ROUND($M69,6),BY69,0)))</f>
        <v/>
      </c>
      <c r="FY69" s="68">
        <f>IF(OR($U69=0,$F69&lt;&gt;2),0,IF(FX69&gt;0,FX69,IF(ROUND(BZ69*$J69,6)&lt;ROUND($M69,6),BZ69,0)))</f>
        <v/>
      </c>
      <c r="FZ69" s="68">
        <f>IF(OR($U69=0,$F69&lt;&gt;2),0,IF(FY69&gt;0,FY69,IF(ROUND(CA69*$J69,6)&lt;ROUND($M69,6),CA69,0)))</f>
        <v/>
      </c>
      <c r="GA69" s="68">
        <f>IF(OR($U69=0,$F69&lt;&gt;2),0,IF(FZ69&gt;0,FZ69,IF(ROUND(CB69*$J69,6)&lt;ROUND($M69,6),CB69,0)))</f>
        <v/>
      </c>
      <c r="GB69" s="68">
        <f>IF(OR($U69=0,$F69&lt;&gt;2),0,IF(GA69&gt;0,GA69,IF(ROUND(CC69*$J69,6)&lt;ROUND($M69,6),CC69,0)))</f>
        <v/>
      </c>
      <c r="GC69" s="68">
        <f>IF(OR($U69=0,$F69&lt;&gt;2),0,IF(GB69&gt;0,GB69,IF(ROUND(CD69*$J69,6)&lt;ROUND($M69,6),CD69,0)))</f>
        <v/>
      </c>
      <c r="GD69" s="68">
        <f>IF(OR($U69=0,$F69&lt;&gt;2),0,IF(GC69&gt;0,GC69,IF(ROUND(CE69*$J69,6)&lt;ROUND($M69,6),CE69,0)))</f>
        <v/>
      </c>
      <c r="GE69" s="68">
        <f>IF(OR($U69=0,$F69&lt;&gt;2),0,IF(GD69&gt;0,GD69,IF(ROUND(CF69*$J69,6)&lt;ROUND($M69,6),CF69,0)))</f>
        <v/>
      </c>
      <c r="GF69" s="68">
        <f>IF(OR($U69=0,$F69&lt;&gt;2),0,IF(GE69&gt;0,GE69,IF(ROUND(CG69*$J69,6)&lt;ROUND($M69,6),CG69,0)))</f>
        <v/>
      </c>
      <c r="GG69" s="68">
        <f>IF(OR($U69=0,$F69&lt;&gt;2),0,IF(GF69&gt;0,GF69,IF(ROUND(CH69*$J69,6)&lt;ROUND($M69,6),CH69,0)))</f>
        <v/>
      </c>
      <c r="GH69" s="68">
        <f>IF(OR($U69=0,$F69&lt;&gt;2),0,IF(GG69&gt;0,GG69,IF(ROUND(CI69*$J69,6)&lt;ROUND($M69,6),CI69,0)))</f>
        <v/>
      </c>
      <c r="GI69" s="68">
        <f>IF(OR($U69=0,$F69&lt;&gt;2),0,IF(GH69&gt;0,GH69,IF(ROUND(CJ69*$J69,6)&lt;ROUND($M69,6),CJ69,0)))</f>
        <v/>
      </c>
      <c r="GJ69" s="68">
        <f>IF(OR($U69=0,$F69&lt;&gt;2),0,IF(GI69&gt;0,GI69,IF(ROUND(CK69*$J69,6)&lt;ROUND($M69,6),CK69,0)))</f>
        <v/>
      </c>
      <c r="GK69" s="68">
        <f>IF(OR($U69=0,$F69&lt;&gt;2),0,IF(GJ69&gt;0,GJ69,IF(ROUND(CL69*$J69,6)&lt;ROUND($M69,6),CL69,0)))</f>
        <v/>
      </c>
      <c r="GL69" s="68">
        <f>IF(OR($U69=0,$F69&lt;&gt;2),0,IF(GK69&gt;0,GK69,IF(ROUND(CM69*$J69,6)&lt;ROUND($M69,6),CM69,0)))</f>
        <v/>
      </c>
      <c r="GM69" s="68">
        <f>IF(OR($U69=0,$F69&lt;&gt;2),0,IF(GL69&gt;0,GL69,IF(ROUND(CN69*$J69,6)&lt;ROUND($M69,6),CN69,0)))</f>
        <v/>
      </c>
      <c r="GN69" s="68">
        <f>IF(OR($U69=0,$F69&lt;&gt;2),0,IF(GM69&gt;0,GM69,IF(ROUND(CO69*$J69,6)&lt;ROUND($M69,6),CO69,0)))</f>
        <v/>
      </c>
      <c r="GO69" s="68">
        <f>IF(OR($U69=0,$F69&lt;&gt;2),0,IF(GN69&gt;0,GN69,IF(ROUND(CP69*$J69,6)&lt;ROUND($M69,6),CP69,0)))</f>
        <v/>
      </c>
      <c r="GP69" s="68">
        <f>IF(OR($U69=0,$F69&lt;&gt;2),0,IF(GO69&gt;0,GO69,IF(ROUND(CQ69*$J69,6)&lt;ROUND($M69,6),CQ69,0)))</f>
        <v/>
      </c>
      <c r="GQ69" s="68">
        <f>IF(OR($U69=0,$F69&lt;&gt;2),0,IF(GP69&gt;0,GP69,IF(ROUND(CR69*$J69,6)&lt;ROUND($M69,6),CR69,0)))</f>
        <v/>
      </c>
      <c r="GR69" s="68">
        <f>IF(OR($U69=0,$F69&lt;&gt;2),0,IF(GQ69&gt;0,GQ69,IF(ROUND(CS69*$J69,6)&lt;ROUND($M69,6),CS69,0)))</f>
        <v/>
      </c>
      <c r="GS69" s="68">
        <f>IF(OR($U69=0,$F69&lt;&gt;2),0,IF(GR69&gt;0,GR69,IF(ROUND(CT69*$J69,6)&lt;ROUND($M69,6),CT69,0)))</f>
        <v/>
      </c>
      <c r="GT69" s="68">
        <f>IF(OR($U69=0,$F69&lt;&gt;2),0,IF(GS69&gt;0,GS69,IF(ROUND(CU69*$J69,6)&lt;ROUND($M69,6),CU69,0)))</f>
        <v/>
      </c>
      <c r="GU69" s="68">
        <f>IF(OR($U69=0,$F69&lt;&gt;2),0,IF(GT69&gt;0,GT69,IF(ROUND(CV69*$J69,6)&lt;ROUND($M69,6),CV69,0)))</f>
        <v/>
      </c>
      <c r="GV69" s="68">
        <f>IF(OR($U69=0,$F69&lt;&gt;2),0,IF(GU69&gt;0,GU69,IF(ROUND(CW69*$J69,6)&lt;ROUND($M69,6),CW69,0)))</f>
        <v/>
      </c>
      <c r="GW69" s="68">
        <f>IF(OR($U69=0,$F69&lt;&gt;2),0,IF(GV69&gt;0,GV69,IF(ROUND(CX69*$J69,6)&lt;ROUND($M69,6),CX69,0)))</f>
        <v/>
      </c>
      <c r="GX69" s="68">
        <f>IF(OR($U69=0,$F69&lt;&gt;2),0,IF(GW69&gt;0,GW69,IF(ROUND(CY69*$J69,6)&lt;ROUND($M69,6),CY69,0)))</f>
        <v/>
      </c>
      <c r="GY69" s="68">
        <f>IF(OR($U69=0,$F69&lt;&gt;2),0,IF(GX69&gt;0,GX69,IF(ROUND(CZ69*$J69,6)&lt;ROUND($M69,6),CZ69,0)))</f>
        <v/>
      </c>
      <c r="GZ69" s="68">
        <f>IF(OR($U69=0,$F69&lt;&gt;2),0,IF(GY69&gt;0,GY69,IF(ROUND(DA69*$J69,6)&lt;ROUND($M69,6),DA69,0)))</f>
        <v/>
      </c>
      <c r="HA69" s="68">
        <f>IF(OR($U69=0,$F69&lt;&gt;2),0,IF(GZ69&gt;0,GZ69,IF(ROUND(DB69*$J69,6)&lt;ROUND($M69,6),DB69,0)))</f>
        <v/>
      </c>
      <c r="HB69" s="68">
        <f>IF(OR($U69=0,$F69&lt;&gt;2),0,IF(HA69&gt;0,HA69,IF(ROUND(DC69*$J69,6)&lt;ROUND($M69,6),DC69,0)))</f>
        <v/>
      </c>
      <c r="HC69" s="68">
        <f>IF(OR($U69=0,$F69&lt;&gt;2),0,IF(HB69&gt;0,HB69,IF(ROUND(DD69*$J69,6)&lt;ROUND($M69,6),DD69,0)))</f>
        <v/>
      </c>
      <c r="HD69" s="68">
        <f>IF(OR($U69=0,$F69&lt;&gt;2),0,IF(HC69&gt;0,HC69,IF(ROUND(DE69*$J69,6)&lt;ROUND($M69,6),DE69,0)))</f>
        <v/>
      </c>
      <c r="HE69" s="68">
        <f>IF(OR($U69=0,$F69&lt;&gt;2),0,IF(HD69&gt;0,HD69,IF(ROUND(DF69*$J69,6)&lt;ROUND($M69,6),DF69,0)))</f>
        <v/>
      </c>
      <c r="HF69" s="68">
        <f>IF(OR($U69=0,$F69&lt;&gt;2),0,IF(HE69&gt;0,HE69,IF(ROUND(DG69*$J69,6)&lt;ROUND($M69,6),DG69,0)))</f>
        <v/>
      </c>
      <c r="HG69" s="68">
        <f>IF(OR($U69=0,$F69&lt;&gt;2),0,IF(HF69&gt;0,HF69,IF(ROUND(DH69*$J69,6)&lt;ROUND($M69,6),DH69,0)))</f>
        <v/>
      </c>
      <c r="HH69" s="68">
        <f>IF(OR($U69=0,$F69&lt;&gt;2),0,IF(HG69&gt;0,HG69,IF(ROUND(DI69*$J69,6)&lt;ROUND($M69,6),DI69,0)))</f>
        <v/>
      </c>
      <c r="HI69" s="68">
        <f>IF(OR($U69=0,$F69&lt;&gt;2),0,IF(HH69&gt;0,HH69,IF(ROUND(DJ69*$J69,6)&lt;ROUND($M69,6),DJ69,0)))</f>
        <v/>
      </c>
      <c r="HJ69" s="68">
        <f>IF(OR($U69=0,$F69&lt;&gt;2),0,IF(HI69&gt;0,HI69,IF(ROUND(DK69*$J69,6)&lt;ROUND($M69,6),DK69,0)))</f>
        <v/>
      </c>
      <c r="HK69" s="68">
        <f>IF(OR($U69=0,$F69&lt;&gt;2),0,IF(HJ69&gt;0,HJ69,IF(ROUND(DL69*$J69,6)&lt;ROUND($M69,6),DL69,0)))</f>
        <v/>
      </c>
      <c r="HL69" s="68">
        <f>IF(OR($U69=0,$F69&lt;&gt;2),0,IF(HK69&gt;0,HK69,IF(ROUND(DM69*$J69,6)&lt;ROUND($M69,6),DM69,0)))</f>
        <v/>
      </c>
      <c r="HM69" s="68">
        <f>IF(OR($U69=0,$F69&lt;&gt;2),0,IF(HL69&gt;0,HL69,IF(ROUND(DN69*$J69,6)&lt;ROUND($M69,6),DN69,0)))</f>
        <v/>
      </c>
      <c r="HN69" s="68">
        <f>IF(OR($U69=0,$F69&lt;&gt;2),0,IF(HM69&gt;0,HM69,IF(ROUND(DO69*$J69,6)&lt;ROUND($M69,6),DO69,0)))</f>
        <v/>
      </c>
      <c r="HO69" s="68">
        <f>IF(OR($U69=0,$F69&lt;&gt;2),0,IF(HN69&gt;0,HN69,IF(ROUND(DP69*$J69,6)&lt;ROUND($M69,6),DP69,0)))</f>
        <v/>
      </c>
      <c r="HP69" s="68">
        <f>IF(OR($U69=0,$F69&lt;&gt;2),0,IF(HO69&gt;0,HO69,IF(ROUND(DQ69*$J69,6)&lt;ROUND($M69,6),DQ69,0)))</f>
        <v/>
      </c>
      <c r="HQ69" s="68">
        <f>IF(OR($U69=0,$F69&lt;&gt;2),0,IF(HP69&gt;0,HP69,IF(ROUND(DR69*$J69,6)&lt;ROUND($M69,6),DR69,0)))</f>
        <v/>
      </c>
      <c r="HR69" s="68">
        <f>IF(OR($U69=0,$F69&lt;&gt;2),0,IF(HQ69&gt;0,HQ69,IF(ROUND(DS69*$J69,6)&lt;ROUND($M69,6),DS69,0)))</f>
        <v/>
      </c>
      <c r="HS69" s="68">
        <f>IF(OR($U69=0,$F69&lt;&gt;2),0,IF(HR69&gt;0,HR69,IF(ROUND(DT69*$J69,6)&lt;ROUND($M69,6),DT69,0)))</f>
        <v/>
      </c>
      <c r="HT69" s="68">
        <f>IF(OR($U69=0,$F69&lt;&gt;2),0,IF(HS69&gt;0,HS69,IF(ROUND(DU69*$J69,6)&lt;ROUND($M69,6),DU69,0)))</f>
        <v/>
      </c>
      <c r="HU69" s="68">
        <f>IF(OR($U69=0,$F69&lt;&gt;2),0,IF(HT69&gt;0,HT69,IF(ROUND(DV69*$J69,6)&lt;ROUND($M69,6),DV69,0)))</f>
        <v/>
      </c>
      <c r="HV69" s="68">
        <f>IF(OR($U69=0,$F69&lt;&gt;2),0,IF(HU69&gt;0,HU69,IF(ROUND(DW69*$J69,6)&lt;ROUND($M69,6),DW69,0)))</f>
        <v/>
      </c>
      <c r="HW69" s="68">
        <f>IF(OR($U69=0,$F69&lt;&gt;2),0,IF(HV69&gt;0,HV69,IF(ROUND(DX69*$J69,6)&lt;ROUND($M69,6),DX69,0)))</f>
        <v/>
      </c>
      <c r="HX69" s="68">
        <f>IF(OR($U69=0,$F69&lt;&gt;2),0,IF(HW69&gt;0,HW69,IF(ROUND(DY69*$J69,6)&lt;ROUND($M69,6),DY69,0)))</f>
        <v/>
      </c>
      <c r="HY69" s="68">
        <f>IF(OR($U69=0,$F69&lt;&gt;2),0,IF(HX69&gt;0,HX69,IF(ROUND(DZ69*$J69,6)&lt;ROUND($M69,6),DZ69,0)))</f>
        <v/>
      </c>
      <c r="HZ69" s="68">
        <f>IF(OR($U69=0,$F69&lt;&gt;2),0,IF(HY69&gt;0,HY69,IF(ROUND(EA69*$J69,6)&lt;ROUND($M69,6),EA69,0)))</f>
        <v/>
      </c>
      <c r="IA69" s="68">
        <f>IF(OR($U69=0,$F69&lt;&gt;2),0,IF(HZ69&gt;0,HZ69,IF(ROUND(EB69*$J69,6)&lt;ROUND($M69,6),EB69,0)))</f>
        <v/>
      </c>
      <c r="IB69" s="68">
        <f>IF(OR($U69=0,$F69&lt;&gt;2),0,IF(IA69&gt;0,IA69,IF(ROUND(EC69*$J69,6)&lt;ROUND($M69,6),EC69,0)))</f>
        <v/>
      </c>
      <c r="IC69" s="68">
        <f>IF(OR($U69=0,$F69&lt;&gt;2),0,IF(IB69&gt;0,IB69,IF(ROUND(ED69*$J69,6)&lt;ROUND($M69,6),ED69,0)))</f>
        <v/>
      </c>
      <c r="ID69" s="68">
        <f>IF(OR($U69=0,$F69&lt;&gt;2),0,IF(IC69&gt;0,IC69,IF(ROUND(EE69*$J69,6)&lt;ROUND($M69,6),EE69,0)))</f>
        <v/>
      </c>
      <c r="IE69" s="68">
        <f>IF(OR($U69=0,$F69&lt;&gt;2),0,IF(ID69&gt;0,ID69,IF(ROUND(EF69*$J69,6)&lt;ROUND($M69,6),EF69,0)))</f>
        <v/>
      </c>
      <c r="IF69" s="68">
        <f>IF(OR($U69=0,$F69&lt;&gt;2),0,IF(IE69&gt;0,IE69,IF(ROUND(EG69*$J69,6)&lt;ROUND($M69,6),EG69,0)))</f>
        <v/>
      </c>
      <c r="IG69" s="68">
        <f>IF(OR($U69=0,$F69&lt;&gt;2),0,IF(IF69&gt;0,IF69,IF(ROUND(EH69*$J69,6)&lt;ROUND($M69,6),EH69,0)))</f>
        <v/>
      </c>
      <c r="IH69" s="68">
        <f>IF(OR($U69=0,$F69&lt;&gt;2),0,IF(IG69&gt;0,IG69,IF(ROUND(EI69*$J69,6)&lt;ROUND($M69,6),EI69,0)))</f>
        <v/>
      </c>
      <c r="II69" s="68">
        <f>IF(OR($U69=0,$F69&lt;&gt;2),0,IF(IH69&gt;0,IH69,IF(ROUND(EJ69*$J69,6)&lt;ROUND($M69,6),EJ69,0)))</f>
        <v/>
      </c>
      <c r="IJ69" s="68">
        <f>IF(OR($U69=0,$F69&lt;&gt;2),0,IF(II69&gt;0,II69,IF(ROUND(EK69*$J69,6)&lt;ROUND($M69,6),EK69,0)))</f>
        <v/>
      </c>
      <c r="IK69" s="68">
        <f>IF(OR($U69=0,$F69&lt;&gt;2),0,IF(IJ69&gt;0,IJ69,IF(ROUND(EL69*$J69,6)&lt;ROUND($M69,6),EL69,0)))</f>
        <v/>
      </c>
      <c r="IL69" s="68">
        <f>IF(OR($U69=0,$F69&lt;&gt;2),0,IF(IK69&gt;0,IK69,IF(ROUND(EM69*$J69,6)&lt;ROUND($M69,6),EM69,0)))</f>
        <v/>
      </c>
      <c r="IM69" s="68">
        <f>IF(OR($U69=0,$F69&lt;&gt;2),0,IF(IL69&gt;0,IL69,IF(ROUND(EN69*$J69,6)&lt;ROUND($M69,6),EN69,0)))</f>
        <v/>
      </c>
      <c r="IN69" s="68">
        <f>IF(OR($U69=0,$F69&lt;&gt;2),0,IF(IM69&gt;0,IM69,IF(ROUND(EO69*$J69,6)&lt;ROUND($M69,6),EO69,0)))</f>
        <v/>
      </c>
    </row>
    <row r="70">
      <c r="A70" s="68" t="n">
        <v>65</v>
      </c>
      <c r="B70" s="68">
        <f>IF(OR(TRIM('固定資産台帳'!$B70)&lt;&gt;"",'固定資産台帳'!$E70&lt;&gt;"",'固定資産台帳'!$G70&lt;&gt;"",'固定資産台帳'!$H70&lt;&gt;""),1,0)</f>
        <v/>
      </c>
      <c r="C70" s="68">
        <f>IF(ISNUMBER('固定資産台帳'!$G70),MAX(ROUND('固定資産台帳'!$G70,0),0),0)</f>
        <v/>
      </c>
      <c r="D70" s="84">
        <f>IF(ISNUMBER('固定資産台帳'!$E70),INT('固定資産台帳'!$E70),0)</f>
        <v/>
      </c>
      <c r="E70" s="84">
        <f>IF(ISNUMBER('固定資産台帳'!$F70),INT('固定資産台帳'!$F70),$D70)</f>
        <v/>
      </c>
      <c r="F70" s="68">
        <f>IF('固定資産台帳'!$H70="定額法",1,IF(OR('固定資産台帳'!$H70="定率法",'固定資産台帳'!$H70="定率法（200%）",'固定資産台帳'!$H70="定率法（250%）"),2,IF('固定資産台帳'!$H70="一括償却（3年）",3,IF('固定資産台帳'!$H70="少額特例",4,0))))</f>
        <v/>
      </c>
      <c r="G70" s="68">
        <f>IF('固定資産台帳'!$H70="定率法（250%）",250,IF('固定資産台帳'!$H70="定率法（200%）",200,IF($D70&gt;=DATE(2012,4,1),200,250)))</f>
        <v/>
      </c>
      <c r="H70" s="68">
        <f>IF(ISNUMBER('固定資産台帳'!$I70),IF(AND('固定資産台帳'!$I70&gt;=2,'固定資産台帳'!$I70&lt;=100,'固定資産台帳'!$I70=INT('固定資産台帳'!$I70)),'固定資産台帳'!$I70,0),0)</f>
        <v/>
      </c>
      <c r="I70" s="68">
        <f>IF('固定資産台帳'!$C70="無形固定資産",0,1)</f>
        <v/>
      </c>
      <c r="J70" s="68">
        <f>IF(OR($H70=0,$F70=0,$F70&gt;2),0,IF($F70=1,INDEX('償却率表'!$B$6:$B$104,$H70-1),IF($G70=200,INDEX('償却率表'!$C$6:$C$104,$H70-1),INDEX('償却率表'!$F$6:$F$104,$H70-1))))</f>
        <v/>
      </c>
      <c r="K70" s="68">
        <f>IF(AND($F70=2,$H70&gt;0),IF($G70=200,INDEX('償却率表'!$D$6:$D$104,$H70-1),INDEX('償却率表'!$G$6:$G$104,$H70-1)),0)</f>
        <v/>
      </c>
      <c r="L70" s="68">
        <f>IF(AND($F70=2,$H70&gt;0),IF($G70=200,INDEX('償却率表'!$E$6:$E$104,$H70-1),INDEX('償却率表'!$H$6:$H$104,$H70-1)),0)</f>
        <v/>
      </c>
      <c r="M70" s="68">
        <f>$C70*$L70</f>
        <v/>
      </c>
      <c r="N70" s="68">
        <f>IF($B$1=1,1,IF('固定資産台帳'!$J70="",1,IF(ISNUMBER('固定資産台帳'!$J70),IF(AND('固定資産台帳'!$J70&gt;0,'固定資産台帳'!$J70&lt;=1),'固定資産台帳'!$J70,0),0)))</f>
        <v/>
      </c>
      <c r="O70" s="68">
        <f>IF($E70=0,0,YEAR($E70)-IF(MONTH($E70)&lt;$B$2,1,0))</f>
        <v/>
      </c>
      <c r="P70" s="68">
        <f>IF($E70=0,0,12-MOD(MONTH($E70)-$B$2,12))</f>
        <v/>
      </c>
      <c r="Q70" s="84">
        <f>IF(ISNUMBER('固定資産台帳'!$K70),INT('固定資産台帳'!$K70),0)</f>
        <v/>
      </c>
      <c r="R70" s="68">
        <f>IF(OR($Q70=0,$E70=0),999,YEAR($Q70)-IF(MONTH($Q70)&lt;$B$2,1,0)-$O70)</f>
        <v/>
      </c>
      <c r="S70" s="68">
        <f>IF($R70=999,0,MOD(MONTH($Q70)-$B$2,12)+1-IF($R70=0,12-$P70,0))</f>
        <v/>
      </c>
      <c r="T70" s="68">
        <f>IF($B70=0,0,IF($C70&lt;=0,1,IF($D70=0,2,IF($F70=0,3,IF(AND($F70&lt;=2,$H70=0),4,IF(AND($F70&lt;=2,$D70&lt;DATE(2007,4,1)),5,IF($E70&lt;$D70,6,IF(AND($Q70&gt;0,$Q70&lt;$E70),7,IF($N70=0,8,IF($B$3=0,9,0))))))))))</f>
        <v/>
      </c>
      <c r="U70" s="68">
        <f>IF(AND($B70=1,$T70=0),1,0)</f>
        <v/>
      </c>
      <c r="V70" s="68">
        <f>$B$3-$O70</f>
        <v/>
      </c>
      <c r="W70" s="68">
        <f>IF(AND($U70=1,$V70&gt;=0),1,0)</f>
        <v/>
      </c>
      <c r="X70" s="68">
        <f>IF($W70=0,0,IF($V70=0,$C70,INDEX($AS70:$EP70,MIN($V70,102))))</f>
        <v/>
      </c>
      <c r="Y70" s="68">
        <f>IF($W70=0,0,INDEX($AS70:$EP70,MIN($V70,101)+1))</f>
        <v/>
      </c>
      <c r="Z70" s="68">
        <f>$X70-$Y70</f>
        <v/>
      </c>
      <c r="AA70" s="68">
        <f>IF(AND($W70=1,$F70=2,$V70&gt;=1),INDEX($ER70:$IN70,MIN($V70,101)),0)</f>
        <v/>
      </c>
      <c r="AB70" s="68">
        <f>IF(OR($W70=0,$F70&gt;2,$Z70=0),0,IF($V70=0,IF($R70=0,$S70,$P70),IF($V70=$R70,$S70,12)))</f>
        <v/>
      </c>
      <c r="AC70" s="68">
        <f>IF($W70=0,0,INT(ROUND($Z70*$N70,6)+$B$4))</f>
        <v/>
      </c>
      <c r="AD70" s="68">
        <f>IF(AND($W70=1,$F70&lt;=2,$V70=$R70),1,0)</f>
        <v/>
      </c>
      <c r="AE70" s="68">
        <f>IF(AND($W70=1,$F70&lt;=2,$V70&gt;$R70),1,0)</f>
        <v/>
      </c>
      <c r="AF70" s="68">
        <f>IF(AND($W70=1,$AE70=0,OR($Z70&gt;0,$AD70=1)),1,0)</f>
        <v/>
      </c>
      <c r="AG70" s="68">
        <f>IF($AF70=1,SUM($AF$6:$AF70),0)</f>
        <v/>
      </c>
      <c r="AH70" s="68">
        <f>IF($T70=0,"",CHOOSE($T70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70" s="68">
        <f>IF(AND($F70=2,OR('固定資産台帳'!$C70="建物",'固定資産台帳'!$C70="無形固定資産",AND(OR('固定資産台帳'!$C70="建物附属設備",'固定資産台帳'!$C70="構築物"),$D70&gt;=DATE(2016,4,1)))),"この資産は定額法だけです（定率法は使えません）。","")&amp;IF(AND($F70=3,$C70&gt;=200000),"一括償却は20万円未満の資産だけです。","")&amp;IF(AND($F70=3,$B$1=0,$C70&lt;100000),"10万円未満は一括償却にせず、全額をその年の経費にします。","")&amp;IF(AND($F70=4,$C70&lt;100000),"10万円未満は少額特例ではなく、全額をその年の経費にします。","")&amp;IF(AND($F70=4,$D70&lt;DATE(2026,4,1),$C70&gt;=300000),"2026年3月31日までの取得で少額特例が使えるのは30万円未満です。","")&amp;IF(AND($F70=4,$D70&gt;=DATE(2026,4,1),$C70&gt;=400000),"少額特例は40万円未満の資産だけです。","")&amp;IF(AND($F70=4,OR($D70&lt;DATE(2006,4,1),$D70&gt;DATE(2029,3,31))),"少額特例は2006年4月1日〜2029年3月31日に取得した資産だけです。","")&amp;IF(AND($F70=2,$G70=250,$D70&gt;DATE(2012,12,31)),"250%定率法は2012年12月31日までの取得だけです。","")</f>
        <v/>
      </c>
      <c r="AJ70" s="68">
        <f>IF(AND($F70=2,'固定資産台帳'!$H70="定率法（200%）",$D70&lt;DATE(2012,4,1)),"2012年3月31日までの取得に200%を使うのは、経過措置の届出をした場合です。","")&amp;IF(AND($F70=2,'固定資産台帳'!$H70="定率法（250%）",$D70&gt;=DATE(2012,4,1),$D70&lt;=DATE(2012,12,31)),"2012年4〜12月の取得に250%を使うのは、経過措置を選んだ場合です。","")</f>
        <v/>
      </c>
      <c r="AK70" s="68">
        <f>IF($U70=0,"",IF($V70&lt;0,"表示している年より後に使い始める資産です。",IF($AE70=1,"売却・除却済みです。",IF($AD70=1,"この年に売却・除却。期末の帳簿価額 "&amp;TEXT($Y70,"#,##0")&amp;"円を帳簿から外します。",IF($F70=4,IF($V70=0,"少額特例：この年に全額を経費にします。","少額特例で経費にした資産です。"),IF($F70=3,IF($V70&gt;2,"一括償却は終わっています。","一括償却 "&amp;($V70+1)&amp;"年目（3年のうち）。"),IF($Z70=0,"償却済み（帳簿価額 "&amp;TEXT($Y70,"#,##0")&amp;"円）。",IF($AA70&gt;0,"改定償却率で計算（改定取得価額 "&amp;TEXT($AA70,"#,##0")&amp;"円）。",IF($V70=0,"この年に使い始め（"&amp;$AB70&amp;"か月分）。","")))))))))</f>
        <v/>
      </c>
      <c r="AL70" s="68">
        <f>IF(AND($U70=1,$F70=4,$V70=0),$C70,0)</f>
        <v/>
      </c>
      <c r="AM70" s="68">
        <f>IF($F70=2,INT(ROUND($M70,6)+$B$4),0)</f>
        <v/>
      </c>
      <c r="AN70" s="68">
        <f>IF($W70=0,0,IF($F70=2,IF($AA70&gt;0,$AA70,$X70),$C70))</f>
        <v/>
      </c>
      <c r="AO70" s="68">
        <f>IF($W70=0,"",IF($F70=3,"1/3",IF($F70=4,"―",IF($AA70&gt;0,$K70,$J70))))</f>
        <v/>
      </c>
      <c r="AP70" s="68" t="n"/>
      <c r="AQ70" s="68" t="n"/>
      <c r="AR70" s="68" t="n"/>
      <c r="AS70" s="68">
        <f>IF($U70=0,0,IF($F70=4,0,IF($F70=3,MAX($C70-INT(ROUND($C70/3,6)+$B$4),0),$C70-MIN(INT(ROUND($C70*$J70*IF($R70=0,$S70,$P70)/12,6)+$B$4),MAX($C70-$I70,0)))))</f>
        <v/>
      </c>
      <c r="AT70" s="68">
        <f>IF($U70=0,0,IF($F70=4,0,IF($F70=3,AS70-MIN(INT(ROUND($C70/3,6)+$B$4),AS70),IF(OR(1&gt;$R70,AS70&lt;=$I70),AS70,AS70-MIN(INT(ROUND(IF($F70=1,$C70*$J70,IF(ER70&gt;0,ER70*$K70,AS70*$J70))*IF(1=$R70,$S70,12)/12,6)+$B$4),AS70-$I70)))))</f>
        <v/>
      </c>
      <c r="AU70" s="68">
        <f>IF($U70=0,0,IF($F70=4,0,IF($F70=3,0,IF(OR(2&gt;$R70,AT70&lt;=$I70),AT70,AT70-MIN(INT(ROUND(IF($F70=1,$C70*$J70,IF(ES70&gt;0,ES70*$K70,AT70*$J70))*IF(2=$R70,$S70,12)/12,6)+$B$4),AT70-$I70)))))</f>
        <v/>
      </c>
      <c r="AV70" s="68">
        <f>IF($U70=0,0,IF($F70=4,0,IF($F70=3,0,IF(OR(3&gt;$R70,AU70&lt;=$I70),AU70,AU70-MIN(INT(ROUND(IF($F70=1,$C70*$J70,IF(ET70&gt;0,ET70*$K70,AU70*$J70))*IF(3=$R70,$S70,12)/12,6)+$B$4),AU70-$I70)))))</f>
        <v/>
      </c>
      <c r="AW70" s="68">
        <f>IF($U70=0,0,IF($F70=4,0,IF($F70=3,0,IF(OR(4&gt;$R70,AV70&lt;=$I70),AV70,AV70-MIN(INT(ROUND(IF($F70=1,$C70*$J70,IF(EU70&gt;0,EU70*$K70,AV70*$J70))*IF(4=$R70,$S70,12)/12,6)+$B$4),AV70-$I70)))))</f>
        <v/>
      </c>
      <c r="AX70" s="68">
        <f>IF($U70=0,0,IF($F70=4,0,IF($F70=3,0,IF(OR(5&gt;$R70,AW70&lt;=$I70),AW70,AW70-MIN(INT(ROUND(IF($F70=1,$C70*$J70,IF(EV70&gt;0,EV70*$K70,AW70*$J70))*IF(5=$R70,$S70,12)/12,6)+$B$4),AW70-$I70)))))</f>
        <v/>
      </c>
      <c r="AY70" s="68">
        <f>IF($U70=0,0,IF($F70=4,0,IF($F70=3,0,IF(OR(6&gt;$R70,AX70&lt;=$I70),AX70,AX70-MIN(INT(ROUND(IF($F70=1,$C70*$J70,IF(EW70&gt;0,EW70*$K70,AX70*$J70))*IF(6=$R70,$S70,12)/12,6)+$B$4),AX70-$I70)))))</f>
        <v/>
      </c>
      <c r="AZ70" s="68">
        <f>IF($U70=0,0,IF($F70=4,0,IF($F70=3,0,IF(OR(7&gt;$R70,AY70&lt;=$I70),AY70,AY70-MIN(INT(ROUND(IF($F70=1,$C70*$J70,IF(EX70&gt;0,EX70*$K70,AY70*$J70))*IF(7=$R70,$S70,12)/12,6)+$B$4),AY70-$I70)))))</f>
        <v/>
      </c>
      <c r="BA70" s="68">
        <f>IF($U70=0,0,IF($F70=4,0,IF($F70=3,0,IF(OR(8&gt;$R70,AZ70&lt;=$I70),AZ70,AZ70-MIN(INT(ROUND(IF($F70=1,$C70*$J70,IF(EY70&gt;0,EY70*$K70,AZ70*$J70))*IF(8=$R70,$S70,12)/12,6)+$B$4),AZ70-$I70)))))</f>
        <v/>
      </c>
      <c r="BB70" s="68">
        <f>IF($U70=0,0,IF($F70=4,0,IF($F70=3,0,IF(OR(9&gt;$R70,BA70&lt;=$I70),BA70,BA70-MIN(INT(ROUND(IF($F70=1,$C70*$J70,IF(EZ70&gt;0,EZ70*$K70,BA70*$J70))*IF(9=$R70,$S70,12)/12,6)+$B$4),BA70-$I70)))))</f>
        <v/>
      </c>
      <c r="BC70" s="68">
        <f>IF($U70=0,0,IF($F70=4,0,IF($F70=3,0,IF(OR(10&gt;$R70,BB70&lt;=$I70),BB70,BB70-MIN(INT(ROUND(IF($F70=1,$C70*$J70,IF(FA70&gt;0,FA70*$K70,BB70*$J70))*IF(10=$R70,$S70,12)/12,6)+$B$4),BB70-$I70)))))</f>
        <v/>
      </c>
      <c r="BD70" s="68">
        <f>IF($U70=0,0,IF($F70=4,0,IF($F70=3,0,IF(OR(11&gt;$R70,BC70&lt;=$I70),BC70,BC70-MIN(INT(ROUND(IF($F70=1,$C70*$J70,IF(FB70&gt;0,FB70*$K70,BC70*$J70))*IF(11=$R70,$S70,12)/12,6)+$B$4),BC70-$I70)))))</f>
        <v/>
      </c>
      <c r="BE70" s="68">
        <f>IF($U70=0,0,IF($F70=4,0,IF($F70=3,0,IF(OR(12&gt;$R70,BD70&lt;=$I70),BD70,BD70-MIN(INT(ROUND(IF($F70=1,$C70*$J70,IF(FC70&gt;0,FC70*$K70,BD70*$J70))*IF(12=$R70,$S70,12)/12,6)+$B$4),BD70-$I70)))))</f>
        <v/>
      </c>
      <c r="BF70" s="68">
        <f>IF($U70=0,0,IF($F70=4,0,IF($F70=3,0,IF(OR(13&gt;$R70,BE70&lt;=$I70),BE70,BE70-MIN(INT(ROUND(IF($F70=1,$C70*$J70,IF(FD70&gt;0,FD70*$K70,BE70*$J70))*IF(13=$R70,$S70,12)/12,6)+$B$4),BE70-$I70)))))</f>
        <v/>
      </c>
      <c r="BG70" s="68">
        <f>IF($U70=0,0,IF($F70=4,0,IF($F70=3,0,IF(OR(14&gt;$R70,BF70&lt;=$I70),BF70,BF70-MIN(INT(ROUND(IF($F70=1,$C70*$J70,IF(FE70&gt;0,FE70*$K70,BF70*$J70))*IF(14=$R70,$S70,12)/12,6)+$B$4),BF70-$I70)))))</f>
        <v/>
      </c>
      <c r="BH70" s="68">
        <f>IF($U70=0,0,IF($F70=4,0,IF($F70=3,0,IF(OR(15&gt;$R70,BG70&lt;=$I70),BG70,BG70-MIN(INT(ROUND(IF($F70=1,$C70*$J70,IF(FF70&gt;0,FF70*$K70,BG70*$J70))*IF(15=$R70,$S70,12)/12,6)+$B$4),BG70-$I70)))))</f>
        <v/>
      </c>
      <c r="BI70" s="68">
        <f>IF($U70=0,0,IF($F70=4,0,IF($F70=3,0,IF(OR(16&gt;$R70,BH70&lt;=$I70),BH70,BH70-MIN(INT(ROUND(IF($F70=1,$C70*$J70,IF(FG70&gt;0,FG70*$K70,BH70*$J70))*IF(16=$R70,$S70,12)/12,6)+$B$4),BH70-$I70)))))</f>
        <v/>
      </c>
      <c r="BJ70" s="68">
        <f>IF($U70=0,0,IF($F70=4,0,IF($F70=3,0,IF(OR(17&gt;$R70,BI70&lt;=$I70),BI70,BI70-MIN(INT(ROUND(IF($F70=1,$C70*$J70,IF(FH70&gt;0,FH70*$K70,BI70*$J70))*IF(17=$R70,$S70,12)/12,6)+$B$4),BI70-$I70)))))</f>
        <v/>
      </c>
      <c r="BK70" s="68">
        <f>IF($U70=0,0,IF($F70=4,0,IF($F70=3,0,IF(OR(18&gt;$R70,BJ70&lt;=$I70),BJ70,BJ70-MIN(INT(ROUND(IF($F70=1,$C70*$J70,IF(FI70&gt;0,FI70*$K70,BJ70*$J70))*IF(18=$R70,$S70,12)/12,6)+$B$4),BJ70-$I70)))))</f>
        <v/>
      </c>
      <c r="BL70" s="68">
        <f>IF($U70=0,0,IF($F70=4,0,IF($F70=3,0,IF(OR(19&gt;$R70,BK70&lt;=$I70),BK70,BK70-MIN(INT(ROUND(IF($F70=1,$C70*$J70,IF(FJ70&gt;0,FJ70*$K70,BK70*$J70))*IF(19=$R70,$S70,12)/12,6)+$B$4),BK70-$I70)))))</f>
        <v/>
      </c>
      <c r="BM70" s="68">
        <f>IF($U70=0,0,IF($F70=4,0,IF($F70=3,0,IF(OR(20&gt;$R70,BL70&lt;=$I70),BL70,BL70-MIN(INT(ROUND(IF($F70=1,$C70*$J70,IF(FK70&gt;0,FK70*$K70,BL70*$J70))*IF(20=$R70,$S70,12)/12,6)+$B$4),BL70-$I70)))))</f>
        <v/>
      </c>
      <c r="BN70" s="68">
        <f>IF($U70=0,0,IF($F70=4,0,IF($F70=3,0,IF(OR(21&gt;$R70,BM70&lt;=$I70),BM70,BM70-MIN(INT(ROUND(IF($F70=1,$C70*$J70,IF(FL70&gt;0,FL70*$K70,BM70*$J70))*IF(21=$R70,$S70,12)/12,6)+$B$4),BM70-$I70)))))</f>
        <v/>
      </c>
      <c r="BO70" s="68">
        <f>IF($U70=0,0,IF($F70=4,0,IF($F70=3,0,IF(OR(22&gt;$R70,BN70&lt;=$I70),BN70,BN70-MIN(INT(ROUND(IF($F70=1,$C70*$J70,IF(FM70&gt;0,FM70*$K70,BN70*$J70))*IF(22=$R70,$S70,12)/12,6)+$B$4),BN70-$I70)))))</f>
        <v/>
      </c>
      <c r="BP70" s="68">
        <f>IF($U70=0,0,IF($F70=4,0,IF($F70=3,0,IF(OR(23&gt;$R70,BO70&lt;=$I70),BO70,BO70-MIN(INT(ROUND(IF($F70=1,$C70*$J70,IF(FN70&gt;0,FN70*$K70,BO70*$J70))*IF(23=$R70,$S70,12)/12,6)+$B$4),BO70-$I70)))))</f>
        <v/>
      </c>
      <c r="BQ70" s="68">
        <f>IF($U70=0,0,IF($F70=4,0,IF($F70=3,0,IF(OR(24&gt;$R70,BP70&lt;=$I70),BP70,BP70-MIN(INT(ROUND(IF($F70=1,$C70*$J70,IF(FO70&gt;0,FO70*$K70,BP70*$J70))*IF(24=$R70,$S70,12)/12,6)+$B$4),BP70-$I70)))))</f>
        <v/>
      </c>
      <c r="BR70" s="68">
        <f>IF($U70=0,0,IF($F70=4,0,IF($F70=3,0,IF(OR(25&gt;$R70,BQ70&lt;=$I70),BQ70,BQ70-MIN(INT(ROUND(IF($F70=1,$C70*$J70,IF(FP70&gt;0,FP70*$K70,BQ70*$J70))*IF(25=$R70,$S70,12)/12,6)+$B$4),BQ70-$I70)))))</f>
        <v/>
      </c>
      <c r="BS70" s="68">
        <f>IF($U70=0,0,IF($F70=4,0,IF($F70=3,0,IF(OR(26&gt;$R70,BR70&lt;=$I70),BR70,BR70-MIN(INT(ROUND(IF($F70=1,$C70*$J70,IF(FQ70&gt;0,FQ70*$K70,BR70*$J70))*IF(26=$R70,$S70,12)/12,6)+$B$4),BR70-$I70)))))</f>
        <v/>
      </c>
      <c r="BT70" s="68">
        <f>IF($U70=0,0,IF($F70=4,0,IF($F70=3,0,IF(OR(27&gt;$R70,BS70&lt;=$I70),BS70,BS70-MIN(INT(ROUND(IF($F70=1,$C70*$J70,IF(FR70&gt;0,FR70*$K70,BS70*$J70))*IF(27=$R70,$S70,12)/12,6)+$B$4),BS70-$I70)))))</f>
        <v/>
      </c>
      <c r="BU70" s="68">
        <f>IF($U70=0,0,IF($F70=4,0,IF($F70=3,0,IF(OR(28&gt;$R70,BT70&lt;=$I70),BT70,BT70-MIN(INT(ROUND(IF($F70=1,$C70*$J70,IF(FS70&gt;0,FS70*$K70,BT70*$J70))*IF(28=$R70,$S70,12)/12,6)+$B$4),BT70-$I70)))))</f>
        <v/>
      </c>
      <c r="BV70" s="68">
        <f>IF($U70=0,0,IF($F70=4,0,IF($F70=3,0,IF(OR(29&gt;$R70,BU70&lt;=$I70),BU70,BU70-MIN(INT(ROUND(IF($F70=1,$C70*$J70,IF(FT70&gt;0,FT70*$K70,BU70*$J70))*IF(29=$R70,$S70,12)/12,6)+$B$4),BU70-$I70)))))</f>
        <v/>
      </c>
      <c r="BW70" s="68">
        <f>IF($U70=0,0,IF($F70=4,0,IF($F70=3,0,IF(OR(30&gt;$R70,BV70&lt;=$I70),BV70,BV70-MIN(INT(ROUND(IF($F70=1,$C70*$J70,IF(FU70&gt;0,FU70*$K70,BV70*$J70))*IF(30=$R70,$S70,12)/12,6)+$B$4),BV70-$I70)))))</f>
        <v/>
      </c>
      <c r="BX70" s="68">
        <f>IF($U70=0,0,IF($F70=4,0,IF($F70=3,0,IF(OR(31&gt;$R70,BW70&lt;=$I70),BW70,BW70-MIN(INT(ROUND(IF($F70=1,$C70*$J70,IF(FV70&gt;0,FV70*$K70,BW70*$J70))*IF(31=$R70,$S70,12)/12,6)+$B$4),BW70-$I70)))))</f>
        <v/>
      </c>
      <c r="BY70" s="68">
        <f>IF($U70=0,0,IF($F70=4,0,IF($F70=3,0,IF(OR(32&gt;$R70,BX70&lt;=$I70),BX70,BX70-MIN(INT(ROUND(IF($F70=1,$C70*$J70,IF(FW70&gt;0,FW70*$K70,BX70*$J70))*IF(32=$R70,$S70,12)/12,6)+$B$4),BX70-$I70)))))</f>
        <v/>
      </c>
      <c r="BZ70" s="68">
        <f>IF($U70=0,0,IF($F70=4,0,IF($F70=3,0,IF(OR(33&gt;$R70,BY70&lt;=$I70),BY70,BY70-MIN(INT(ROUND(IF($F70=1,$C70*$J70,IF(FX70&gt;0,FX70*$K70,BY70*$J70))*IF(33=$R70,$S70,12)/12,6)+$B$4),BY70-$I70)))))</f>
        <v/>
      </c>
      <c r="CA70" s="68">
        <f>IF($U70=0,0,IF($F70=4,0,IF($F70=3,0,IF(OR(34&gt;$R70,BZ70&lt;=$I70),BZ70,BZ70-MIN(INT(ROUND(IF($F70=1,$C70*$J70,IF(FY70&gt;0,FY70*$K70,BZ70*$J70))*IF(34=$R70,$S70,12)/12,6)+$B$4),BZ70-$I70)))))</f>
        <v/>
      </c>
      <c r="CB70" s="68">
        <f>IF($U70=0,0,IF($F70=4,0,IF($F70=3,0,IF(OR(35&gt;$R70,CA70&lt;=$I70),CA70,CA70-MIN(INT(ROUND(IF($F70=1,$C70*$J70,IF(FZ70&gt;0,FZ70*$K70,CA70*$J70))*IF(35=$R70,$S70,12)/12,6)+$B$4),CA70-$I70)))))</f>
        <v/>
      </c>
      <c r="CC70" s="68">
        <f>IF($U70=0,0,IF($F70=4,0,IF($F70=3,0,IF(OR(36&gt;$R70,CB70&lt;=$I70),CB70,CB70-MIN(INT(ROUND(IF($F70=1,$C70*$J70,IF(GA70&gt;0,GA70*$K70,CB70*$J70))*IF(36=$R70,$S70,12)/12,6)+$B$4),CB70-$I70)))))</f>
        <v/>
      </c>
      <c r="CD70" s="68">
        <f>IF($U70=0,0,IF($F70=4,0,IF($F70=3,0,IF(OR(37&gt;$R70,CC70&lt;=$I70),CC70,CC70-MIN(INT(ROUND(IF($F70=1,$C70*$J70,IF(GB70&gt;0,GB70*$K70,CC70*$J70))*IF(37=$R70,$S70,12)/12,6)+$B$4),CC70-$I70)))))</f>
        <v/>
      </c>
      <c r="CE70" s="68">
        <f>IF($U70=0,0,IF($F70=4,0,IF($F70=3,0,IF(OR(38&gt;$R70,CD70&lt;=$I70),CD70,CD70-MIN(INT(ROUND(IF($F70=1,$C70*$J70,IF(GC70&gt;0,GC70*$K70,CD70*$J70))*IF(38=$R70,$S70,12)/12,6)+$B$4),CD70-$I70)))))</f>
        <v/>
      </c>
      <c r="CF70" s="68">
        <f>IF($U70=0,0,IF($F70=4,0,IF($F70=3,0,IF(OR(39&gt;$R70,CE70&lt;=$I70),CE70,CE70-MIN(INT(ROUND(IF($F70=1,$C70*$J70,IF(GD70&gt;0,GD70*$K70,CE70*$J70))*IF(39=$R70,$S70,12)/12,6)+$B$4),CE70-$I70)))))</f>
        <v/>
      </c>
      <c r="CG70" s="68">
        <f>IF($U70=0,0,IF($F70=4,0,IF($F70=3,0,IF(OR(40&gt;$R70,CF70&lt;=$I70),CF70,CF70-MIN(INT(ROUND(IF($F70=1,$C70*$J70,IF(GE70&gt;0,GE70*$K70,CF70*$J70))*IF(40=$R70,$S70,12)/12,6)+$B$4),CF70-$I70)))))</f>
        <v/>
      </c>
      <c r="CH70" s="68">
        <f>IF($U70=0,0,IF($F70=4,0,IF($F70=3,0,IF(OR(41&gt;$R70,CG70&lt;=$I70),CG70,CG70-MIN(INT(ROUND(IF($F70=1,$C70*$J70,IF(GF70&gt;0,GF70*$K70,CG70*$J70))*IF(41=$R70,$S70,12)/12,6)+$B$4),CG70-$I70)))))</f>
        <v/>
      </c>
      <c r="CI70" s="68">
        <f>IF($U70=0,0,IF($F70=4,0,IF($F70=3,0,IF(OR(42&gt;$R70,CH70&lt;=$I70),CH70,CH70-MIN(INT(ROUND(IF($F70=1,$C70*$J70,IF(GG70&gt;0,GG70*$K70,CH70*$J70))*IF(42=$R70,$S70,12)/12,6)+$B$4),CH70-$I70)))))</f>
        <v/>
      </c>
      <c r="CJ70" s="68">
        <f>IF($U70=0,0,IF($F70=4,0,IF($F70=3,0,IF(OR(43&gt;$R70,CI70&lt;=$I70),CI70,CI70-MIN(INT(ROUND(IF($F70=1,$C70*$J70,IF(GH70&gt;0,GH70*$K70,CI70*$J70))*IF(43=$R70,$S70,12)/12,6)+$B$4),CI70-$I70)))))</f>
        <v/>
      </c>
      <c r="CK70" s="68">
        <f>IF($U70=0,0,IF($F70=4,0,IF($F70=3,0,IF(OR(44&gt;$R70,CJ70&lt;=$I70),CJ70,CJ70-MIN(INT(ROUND(IF($F70=1,$C70*$J70,IF(GI70&gt;0,GI70*$K70,CJ70*$J70))*IF(44=$R70,$S70,12)/12,6)+$B$4),CJ70-$I70)))))</f>
        <v/>
      </c>
      <c r="CL70" s="68">
        <f>IF($U70=0,0,IF($F70=4,0,IF($F70=3,0,IF(OR(45&gt;$R70,CK70&lt;=$I70),CK70,CK70-MIN(INT(ROUND(IF($F70=1,$C70*$J70,IF(GJ70&gt;0,GJ70*$K70,CK70*$J70))*IF(45=$R70,$S70,12)/12,6)+$B$4),CK70-$I70)))))</f>
        <v/>
      </c>
      <c r="CM70" s="68">
        <f>IF($U70=0,0,IF($F70=4,0,IF($F70=3,0,IF(OR(46&gt;$R70,CL70&lt;=$I70),CL70,CL70-MIN(INT(ROUND(IF($F70=1,$C70*$J70,IF(GK70&gt;0,GK70*$K70,CL70*$J70))*IF(46=$R70,$S70,12)/12,6)+$B$4),CL70-$I70)))))</f>
        <v/>
      </c>
      <c r="CN70" s="68">
        <f>IF($U70=0,0,IF($F70=4,0,IF($F70=3,0,IF(OR(47&gt;$R70,CM70&lt;=$I70),CM70,CM70-MIN(INT(ROUND(IF($F70=1,$C70*$J70,IF(GL70&gt;0,GL70*$K70,CM70*$J70))*IF(47=$R70,$S70,12)/12,6)+$B$4),CM70-$I70)))))</f>
        <v/>
      </c>
      <c r="CO70" s="68">
        <f>IF($U70=0,0,IF($F70=4,0,IF($F70=3,0,IF(OR(48&gt;$R70,CN70&lt;=$I70),CN70,CN70-MIN(INT(ROUND(IF($F70=1,$C70*$J70,IF(GM70&gt;0,GM70*$K70,CN70*$J70))*IF(48=$R70,$S70,12)/12,6)+$B$4),CN70-$I70)))))</f>
        <v/>
      </c>
      <c r="CP70" s="68">
        <f>IF($U70=0,0,IF($F70=4,0,IF($F70=3,0,IF(OR(49&gt;$R70,CO70&lt;=$I70),CO70,CO70-MIN(INT(ROUND(IF($F70=1,$C70*$J70,IF(GN70&gt;0,GN70*$K70,CO70*$J70))*IF(49=$R70,$S70,12)/12,6)+$B$4),CO70-$I70)))))</f>
        <v/>
      </c>
      <c r="CQ70" s="68">
        <f>IF($U70=0,0,IF($F70=4,0,IF($F70=3,0,IF(OR(50&gt;$R70,CP70&lt;=$I70),CP70,CP70-MIN(INT(ROUND(IF($F70=1,$C70*$J70,IF(GO70&gt;0,GO70*$K70,CP70*$J70))*IF(50=$R70,$S70,12)/12,6)+$B$4),CP70-$I70)))))</f>
        <v/>
      </c>
      <c r="CR70" s="68">
        <f>IF($U70=0,0,IF($F70=4,0,IF($F70=3,0,IF(OR(51&gt;$R70,CQ70&lt;=$I70),CQ70,CQ70-MIN(INT(ROUND(IF($F70=1,$C70*$J70,IF(GP70&gt;0,GP70*$K70,CQ70*$J70))*IF(51=$R70,$S70,12)/12,6)+$B$4),CQ70-$I70)))))</f>
        <v/>
      </c>
      <c r="CS70" s="68">
        <f>IF($U70=0,0,IF($F70=4,0,IF($F70=3,0,IF(OR(52&gt;$R70,CR70&lt;=$I70),CR70,CR70-MIN(INT(ROUND(IF($F70=1,$C70*$J70,IF(GQ70&gt;0,GQ70*$K70,CR70*$J70))*IF(52=$R70,$S70,12)/12,6)+$B$4),CR70-$I70)))))</f>
        <v/>
      </c>
      <c r="CT70" s="68">
        <f>IF($U70=0,0,IF($F70=4,0,IF($F70=3,0,IF(OR(53&gt;$R70,CS70&lt;=$I70),CS70,CS70-MIN(INT(ROUND(IF($F70=1,$C70*$J70,IF(GR70&gt;0,GR70*$K70,CS70*$J70))*IF(53=$R70,$S70,12)/12,6)+$B$4),CS70-$I70)))))</f>
        <v/>
      </c>
      <c r="CU70" s="68">
        <f>IF($U70=0,0,IF($F70=4,0,IF($F70=3,0,IF(OR(54&gt;$R70,CT70&lt;=$I70),CT70,CT70-MIN(INT(ROUND(IF($F70=1,$C70*$J70,IF(GS70&gt;0,GS70*$K70,CT70*$J70))*IF(54=$R70,$S70,12)/12,6)+$B$4),CT70-$I70)))))</f>
        <v/>
      </c>
      <c r="CV70" s="68">
        <f>IF($U70=0,0,IF($F70=4,0,IF($F70=3,0,IF(OR(55&gt;$R70,CU70&lt;=$I70),CU70,CU70-MIN(INT(ROUND(IF($F70=1,$C70*$J70,IF(GT70&gt;0,GT70*$K70,CU70*$J70))*IF(55=$R70,$S70,12)/12,6)+$B$4),CU70-$I70)))))</f>
        <v/>
      </c>
      <c r="CW70" s="68">
        <f>IF($U70=0,0,IF($F70=4,0,IF($F70=3,0,IF(OR(56&gt;$R70,CV70&lt;=$I70),CV70,CV70-MIN(INT(ROUND(IF($F70=1,$C70*$J70,IF(GU70&gt;0,GU70*$K70,CV70*$J70))*IF(56=$R70,$S70,12)/12,6)+$B$4),CV70-$I70)))))</f>
        <v/>
      </c>
      <c r="CX70" s="68">
        <f>IF($U70=0,0,IF($F70=4,0,IF($F70=3,0,IF(OR(57&gt;$R70,CW70&lt;=$I70),CW70,CW70-MIN(INT(ROUND(IF($F70=1,$C70*$J70,IF(GV70&gt;0,GV70*$K70,CW70*$J70))*IF(57=$R70,$S70,12)/12,6)+$B$4),CW70-$I70)))))</f>
        <v/>
      </c>
      <c r="CY70" s="68">
        <f>IF($U70=0,0,IF($F70=4,0,IF($F70=3,0,IF(OR(58&gt;$R70,CX70&lt;=$I70),CX70,CX70-MIN(INT(ROUND(IF($F70=1,$C70*$J70,IF(GW70&gt;0,GW70*$K70,CX70*$J70))*IF(58=$R70,$S70,12)/12,6)+$B$4),CX70-$I70)))))</f>
        <v/>
      </c>
      <c r="CZ70" s="68">
        <f>IF($U70=0,0,IF($F70=4,0,IF($F70=3,0,IF(OR(59&gt;$R70,CY70&lt;=$I70),CY70,CY70-MIN(INT(ROUND(IF($F70=1,$C70*$J70,IF(GX70&gt;0,GX70*$K70,CY70*$J70))*IF(59=$R70,$S70,12)/12,6)+$B$4),CY70-$I70)))))</f>
        <v/>
      </c>
      <c r="DA70" s="68">
        <f>IF($U70=0,0,IF($F70=4,0,IF($F70=3,0,IF(OR(60&gt;$R70,CZ70&lt;=$I70),CZ70,CZ70-MIN(INT(ROUND(IF($F70=1,$C70*$J70,IF(GY70&gt;0,GY70*$K70,CZ70*$J70))*IF(60=$R70,$S70,12)/12,6)+$B$4),CZ70-$I70)))))</f>
        <v/>
      </c>
      <c r="DB70" s="68">
        <f>IF($U70=0,0,IF($F70=4,0,IF($F70=3,0,IF(OR(61&gt;$R70,DA70&lt;=$I70),DA70,DA70-MIN(INT(ROUND(IF($F70=1,$C70*$J70,IF(GZ70&gt;0,GZ70*$K70,DA70*$J70))*IF(61=$R70,$S70,12)/12,6)+$B$4),DA70-$I70)))))</f>
        <v/>
      </c>
      <c r="DC70" s="68">
        <f>IF($U70=0,0,IF($F70=4,0,IF($F70=3,0,IF(OR(62&gt;$R70,DB70&lt;=$I70),DB70,DB70-MIN(INT(ROUND(IF($F70=1,$C70*$J70,IF(HA70&gt;0,HA70*$K70,DB70*$J70))*IF(62=$R70,$S70,12)/12,6)+$B$4),DB70-$I70)))))</f>
        <v/>
      </c>
      <c r="DD70" s="68">
        <f>IF($U70=0,0,IF($F70=4,0,IF($F70=3,0,IF(OR(63&gt;$R70,DC70&lt;=$I70),DC70,DC70-MIN(INT(ROUND(IF($F70=1,$C70*$J70,IF(HB70&gt;0,HB70*$K70,DC70*$J70))*IF(63=$R70,$S70,12)/12,6)+$B$4),DC70-$I70)))))</f>
        <v/>
      </c>
      <c r="DE70" s="68">
        <f>IF($U70=0,0,IF($F70=4,0,IF($F70=3,0,IF(OR(64&gt;$R70,DD70&lt;=$I70),DD70,DD70-MIN(INT(ROUND(IF($F70=1,$C70*$J70,IF(HC70&gt;0,HC70*$K70,DD70*$J70))*IF(64=$R70,$S70,12)/12,6)+$B$4),DD70-$I70)))))</f>
        <v/>
      </c>
      <c r="DF70" s="68">
        <f>IF($U70=0,0,IF($F70=4,0,IF($F70=3,0,IF(OR(65&gt;$R70,DE70&lt;=$I70),DE70,DE70-MIN(INT(ROUND(IF($F70=1,$C70*$J70,IF(HD70&gt;0,HD70*$K70,DE70*$J70))*IF(65=$R70,$S70,12)/12,6)+$B$4),DE70-$I70)))))</f>
        <v/>
      </c>
      <c r="DG70" s="68">
        <f>IF($U70=0,0,IF($F70=4,0,IF($F70=3,0,IF(OR(66&gt;$R70,DF70&lt;=$I70),DF70,DF70-MIN(INT(ROUND(IF($F70=1,$C70*$J70,IF(HE70&gt;0,HE70*$K70,DF70*$J70))*IF(66=$R70,$S70,12)/12,6)+$B$4),DF70-$I70)))))</f>
        <v/>
      </c>
      <c r="DH70" s="68">
        <f>IF($U70=0,0,IF($F70=4,0,IF($F70=3,0,IF(OR(67&gt;$R70,DG70&lt;=$I70),DG70,DG70-MIN(INT(ROUND(IF($F70=1,$C70*$J70,IF(HF70&gt;0,HF70*$K70,DG70*$J70))*IF(67=$R70,$S70,12)/12,6)+$B$4),DG70-$I70)))))</f>
        <v/>
      </c>
      <c r="DI70" s="68">
        <f>IF($U70=0,0,IF($F70=4,0,IF($F70=3,0,IF(OR(68&gt;$R70,DH70&lt;=$I70),DH70,DH70-MIN(INT(ROUND(IF($F70=1,$C70*$J70,IF(HG70&gt;0,HG70*$K70,DH70*$J70))*IF(68=$R70,$S70,12)/12,6)+$B$4),DH70-$I70)))))</f>
        <v/>
      </c>
      <c r="DJ70" s="68">
        <f>IF($U70=0,0,IF($F70=4,0,IF($F70=3,0,IF(OR(69&gt;$R70,DI70&lt;=$I70),DI70,DI70-MIN(INT(ROUND(IF($F70=1,$C70*$J70,IF(HH70&gt;0,HH70*$K70,DI70*$J70))*IF(69=$R70,$S70,12)/12,6)+$B$4),DI70-$I70)))))</f>
        <v/>
      </c>
      <c r="DK70" s="68">
        <f>IF($U70=0,0,IF($F70=4,0,IF($F70=3,0,IF(OR(70&gt;$R70,DJ70&lt;=$I70),DJ70,DJ70-MIN(INT(ROUND(IF($F70=1,$C70*$J70,IF(HI70&gt;0,HI70*$K70,DJ70*$J70))*IF(70=$R70,$S70,12)/12,6)+$B$4),DJ70-$I70)))))</f>
        <v/>
      </c>
      <c r="DL70" s="68">
        <f>IF($U70=0,0,IF($F70=4,0,IF($F70=3,0,IF(OR(71&gt;$R70,DK70&lt;=$I70),DK70,DK70-MIN(INT(ROUND(IF($F70=1,$C70*$J70,IF(HJ70&gt;0,HJ70*$K70,DK70*$J70))*IF(71=$R70,$S70,12)/12,6)+$B$4),DK70-$I70)))))</f>
        <v/>
      </c>
      <c r="DM70" s="68">
        <f>IF($U70=0,0,IF($F70=4,0,IF($F70=3,0,IF(OR(72&gt;$R70,DL70&lt;=$I70),DL70,DL70-MIN(INT(ROUND(IF($F70=1,$C70*$J70,IF(HK70&gt;0,HK70*$K70,DL70*$J70))*IF(72=$R70,$S70,12)/12,6)+$B$4),DL70-$I70)))))</f>
        <v/>
      </c>
      <c r="DN70" s="68">
        <f>IF($U70=0,0,IF($F70=4,0,IF($F70=3,0,IF(OR(73&gt;$R70,DM70&lt;=$I70),DM70,DM70-MIN(INT(ROUND(IF($F70=1,$C70*$J70,IF(HL70&gt;0,HL70*$K70,DM70*$J70))*IF(73=$R70,$S70,12)/12,6)+$B$4),DM70-$I70)))))</f>
        <v/>
      </c>
      <c r="DO70" s="68">
        <f>IF($U70=0,0,IF($F70=4,0,IF($F70=3,0,IF(OR(74&gt;$R70,DN70&lt;=$I70),DN70,DN70-MIN(INT(ROUND(IF($F70=1,$C70*$J70,IF(HM70&gt;0,HM70*$K70,DN70*$J70))*IF(74=$R70,$S70,12)/12,6)+$B$4),DN70-$I70)))))</f>
        <v/>
      </c>
      <c r="DP70" s="68">
        <f>IF($U70=0,0,IF($F70=4,0,IF($F70=3,0,IF(OR(75&gt;$R70,DO70&lt;=$I70),DO70,DO70-MIN(INT(ROUND(IF($F70=1,$C70*$J70,IF(HN70&gt;0,HN70*$K70,DO70*$J70))*IF(75=$R70,$S70,12)/12,6)+$B$4),DO70-$I70)))))</f>
        <v/>
      </c>
      <c r="DQ70" s="68">
        <f>IF($U70=0,0,IF($F70=4,0,IF($F70=3,0,IF(OR(76&gt;$R70,DP70&lt;=$I70),DP70,DP70-MIN(INT(ROUND(IF($F70=1,$C70*$J70,IF(HO70&gt;0,HO70*$K70,DP70*$J70))*IF(76=$R70,$S70,12)/12,6)+$B$4),DP70-$I70)))))</f>
        <v/>
      </c>
      <c r="DR70" s="68">
        <f>IF($U70=0,0,IF($F70=4,0,IF($F70=3,0,IF(OR(77&gt;$R70,DQ70&lt;=$I70),DQ70,DQ70-MIN(INT(ROUND(IF($F70=1,$C70*$J70,IF(HP70&gt;0,HP70*$K70,DQ70*$J70))*IF(77=$R70,$S70,12)/12,6)+$B$4),DQ70-$I70)))))</f>
        <v/>
      </c>
      <c r="DS70" s="68">
        <f>IF($U70=0,0,IF($F70=4,0,IF($F70=3,0,IF(OR(78&gt;$R70,DR70&lt;=$I70),DR70,DR70-MIN(INT(ROUND(IF($F70=1,$C70*$J70,IF(HQ70&gt;0,HQ70*$K70,DR70*$J70))*IF(78=$R70,$S70,12)/12,6)+$B$4),DR70-$I70)))))</f>
        <v/>
      </c>
      <c r="DT70" s="68">
        <f>IF($U70=0,0,IF($F70=4,0,IF($F70=3,0,IF(OR(79&gt;$R70,DS70&lt;=$I70),DS70,DS70-MIN(INT(ROUND(IF($F70=1,$C70*$J70,IF(HR70&gt;0,HR70*$K70,DS70*$J70))*IF(79=$R70,$S70,12)/12,6)+$B$4),DS70-$I70)))))</f>
        <v/>
      </c>
      <c r="DU70" s="68">
        <f>IF($U70=0,0,IF($F70=4,0,IF($F70=3,0,IF(OR(80&gt;$R70,DT70&lt;=$I70),DT70,DT70-MIN(INT(ROUND(IF($F70=1,$C70*$J70,IF(HS70&gt;0,HS70*$K70,DT70*$J70))*IF(80=$R70,$S70,12)/12,6)+$B$4),DT70-$I70)))))</f>
        <v/>
      </c>
      <c r="DV70" s="68">
        <f>IF($U70=0,0,IF($F70=4,0,IF($F70=3,0,IF(OR(81&gt;$R70,DU70&lt;=$I70),DU70,DU70-MIN(INT(ROUND(IF($F70=1,$C70*$J70,IF(HT70&gt;0,HT70*$K70,DU70*$J70))*IF(81=$R70,$S70,12)/12,6)+$B$4),DU70-$I70)))))</f>
        <v/>
      </c>
      <c r="DW70" s="68">
        <f>IF($U70=0,0,IF($F70=4,0,IF($F70=3,0,IF(OR(82&gt;$R70,DV70&lt;=$I70),DV70,DV70-MIN(INT(ROUND(IF($F70=1,$C70*$J70,IF(HU70&gt;0,HU70*$K70,DV70*$J70))*IF(82=$R70,$S70,12)/12,6)+$B$4),DV70-$I70)))))</f>
        <v/>
      </c>
      <c r="DX70" s="68">
        <f>IF($U70=0,0,IF($F70=4,0,IF($F70=3,0,IF(OR(83&gt;$R70,DW70&lt;=$I70),DW70,DW70-MIN(INT(ROUND(IF($F70=1,$C70*$J70,IF(HV70&gt;0,HV70*$K70,DW70*$J70))*IF(83=$R70,$S70,12)/12,6)+$B$4),DW70-$I70)))))</f>
        <v/>
      </c>
      <c r="DY70" s="68">
        <f>IF($U70=0,0,IF($F70=4,0,IF($F70=3,0,IF(OR(84&gt;$R70,DX70&lt;=$I70),DX70,DX70-MIN(INT(ROUND(IF($F70=1,$C70*$J70,IF(HW70&gt;0,HW70*$K70,DX70*$J70))*IF(84=$R70,$S70,12)/12,6)+$B$4),DX70-$I70)))))</f>
        <v/>
      </c>
      <c r="DZ70" s="68">
        <f>IF($U70=0,0,IF($F70=4,0,IF($F70=3,0,IF(OR(85&gt;$R70,DY70&lt;=$I70),DY70,DY70-MIN(INT(ROUND(IF($F70=1,$C70*$J70,IF(HX70&gt;0,HX70*$K70,DY70*$J70))*IF(85=$R70,$S70,12)/12,6)+$B$4),DY70-$I70)))))</f>
        <v/>
      </c>
      <c r="EA70" s="68">
        <f>IF($U70=0,0,IF($F70=4,0,IF($F70=3,0,IF(OR(86&gt;$R70,DZ70&lt;=$I70),DZ70,DZ70-MIN(INT(ROUND(IF($F70=1,$C70*$J70,IF(HY70&gt;0,HY70*$K70,DZ70*$J70))*IF(86=$R70,$S70,12)/12,6)+$B$4),DZ70-$I70)))))</f>
        <v/>
      </c>
      <c r="EB70" s="68">
        <f>IF($U70=0,0,IF($F70=4,0,IF($F70=3,0,IF(OR(87&gt;$R70,EA70&lt;=$I70),EA70,EA70-MIN(INT(ROUND(IF($F70=1,$C70*$J70,IF(HZ70&gt;0,HZ70*$K70,EA70*$J70))*IF(87=$R70,$S70,12)/12,6)+$B$4),EA70-$I70)))))</f>
        <v/>
      </c>
      <c r="EC70" s="68">
        <f>IF($U70=0,0,IF($F70=4,0,IF($F70=3,0,IF(OR(88&gt;$R70,EB70&lt;=$I70),EB70,EB70-MIN(INT(ROUND(IF($F70=1,$C70*$J70,IF(IA70&gt;0,IA70*$K70,EB70*$J70))*IF(88=$R70,$S70,12)/12,6)+$B$4),EB70-$I70)))))</f>
        <v/>
      </c>
      <c r="ED70" s="68">
        <f>IF($U70=0,0,IF($F70=4,0,IF($F70=3,0,IF(OR(89&gt;$R70,EC70&lt;=$I70),EC70,EC70-MIN(INT(ROUND(IF($F70=1,$C70*$J70,IF(IB70&gt;0,IB70*$K70,EC70*$J70))*IF(89=$R70,$S70,12)/12,6)+$B$4),EC70-$I70)))))</f>
        <v/>
      </c>
      <c r="EE70" s="68">
        <f>IF($U70=0,0,IF($F70=4,0,IF($F70=3,0,IF(OR(90&gt;$R70,ED70&lt;=$I70),ED70,ED70-MIN(INT(ROUND(IF($F70=1,$C70*$J70,IF(IC70&gt;0,IC70*$K70,ED70*$J70))*IF(90=$R70,$S70,12)/12,6)+$B$4),ED70-$I70)))))</f>
        <v/>
      </c>
      <c r="EF70" s="68">
        <f>IF($U70=0,0,IF($F70=4,0,IF($F70=3,0,IF(OR(91&gt;$R70,EE70&lt;=$I70),EE70,EE70-MIN(INT(ROUND(IF($F70=1,$C70*$J70,IF(ID70&gt;0,ID70*$K70,EE70*$J70))*IF(91=$R70,$S70,12)/12,6)+$B$4),EE70-$I70)))))</f>
        <v/>
      </c>
      <c r="EG70" s="68">
        <f>IF($U70=0,0,IF($F70=4,0,IF($F70=3,0,IF(OR(92&gt;$R70,EF70&lt;=$I70),EF70,EF70-MIN(INT(ROUND(IF($F70=1,$C70*$J70,IF(IE70&gt;0,IE70*$K70,EF70*$J70))*IF(92=$R70,$S70,12)/12,6)+$B$4),EF70-$I70)))))</f>
        <v/>
      </c>
      <c r="EH70" s="68">
        <f>IF($U70=0,0,IF($F70=4,0,IF($F70=3,0,IF(OR(93&gt;$R70,EG70&lt;=$I70),EG70,EG70-MIN(INT(ROUND(IF($F70=1,$C70*$J70,IF(IF70&gt;0,IF70*$K70,EG70*$J70))*IF(93=$R70,$S70,12)/12,6)+$B$4),EG70-$I70)))))</f>
        <v/>
      </c>
      <c r="EI70" s="68">
        <f>IF($U70=0,0,IF($F70=4,0,IF($F70=3,0,IF(OR(94&gt;$R70,EH70&lt;=$I70),EH70,EH70-MIN(INT(ROUND(IF($F70=1,$C70*$J70,IF(IG70&gt;0,IG70*$K70,EH70*$J70))*IF(94=$R70,$S70,12)/12,6)+$B$4),EH70-$I70)))))</f>
        <v/>
      </c>
      <c r="EJ70" s="68">
        <f>IF($U70=0,0,IF($F70=4,0,IF($F70=3,0,IF(OR(95&gt;$R70,EI70&lt;=$I70),EI70,EI70-MIN(INT(ROUND(IF($F70=1,$C70*$J70,IF(IH70&gt;0,IH70*$K70,EI70*$J70))*IF(95=$R70,$S70,12)/12,6)+$B$4),EI70-$I70)))))</f>
        <v/>
      </c>
      <c r="EK70" s="68">
        <f>IF($U70=0,0,IF($F70=4,0,IF($F70=3,0,IF(OR(96&gt;$R70,EJ70&lt;=$I70),EJ70,EJ70-MIN(INT(ROUND(IF($F70=1,$C70*$J70,IF(II70&gt;0,II70*$K70,EJ70*$J70))*IF(96=$R70,$S70,12)/12,6)+$B$4),EJ70-$I70)))))</f>
        <v/>
      </c>
      <c r="EL70" s="68">
        <f>IF($U70=0,0,IF($F70=4,0,IF($F70=3,0,IF(OR(97&gt;$R70,EK70&lt;=$I70),EK70,EK70-MIN(INT(ROUND(IF($F70=1,$C70*$J70,IF(IJ70&gt;0,IJ70*$K70,EK70*$J70))*IF(97=$R70,$S70,12)/12,6)+$B$4),EK70-$I70)))))</f>
        <v/>
      </c>
      <c r="EM70" s="68">
        <f>IF($U70=0,0,IF($F70=4,0,IF($F70=3,0,IF(OR(98&gt;$R70,EL70&lt;=$I70),EL70,EL70-MIN(INT(ROUND(IF($F70=1,$C70*$J70,IF(IK70&gt;0,IK70*$K70,EL70*$J70))*IF(98=$R70,$S70,12)/12,6)+$B$4),EL70-$I70)))))</f>
        <v/>
      </c>
      <c r="EN70" s="68">
        <f>IF($U70=0,0,IF($F70=4,0,IF($F70=3,0,IF(OR(99&gt;$R70,EM70&lt;=$I70),EM70,EM70-MIN(INT(ROUND(IF($F70=1,$C70*$J70,IF(IL70&gt;0,IL70*$K70,EM70*$J70))*IF(99=$R70,$S70,12)/12,6)+$B$4),EM70-$I70)))))</f>
        <v/>
      </c>
      <c r="EO70" s="68">
        <f>IF($U70=0,0,IF($F70=4,0,IF($F70=3,0,IF(OR(100&gt;$R70,EN70&lt;=$I70),EN70,EN70-MIN(INT(ROUND(IF($F70=1,$C70*$J70,IF(IM70&gt;0,IM70*$K70,EN70*$J70))*IF(100=$R70,$S70,12)/12,6)+$B$4),EN70-$I70)))))</f>
        <v/>
      </c>
      <c r="EP70" s="68">
        <f>IF($U70=0,0,IF($F70=4,0,IF($F70=3,0,IF(OR(101&gt;$R70,EO70&lt;=$I70),EO70,EO70-MIN(INT(ROUND(IF($F70=1,$C70*$J70,IF(IN70&gt;0,IN70*$K70,EO70*$J70))*IF(101=$R70,$S70,12)/12,6)+$B$4),EO70-$I70)))))</f>
        <v/>
      </c>
      <c r="EQ70" s="68" t="n"/>
      <c r="ER70" s="68">
        <f>IF(OR($U70=0,$F70&lt;&gt;2),0,IF(ROUND(AS70*$J70,6)&lt;ROUND($M70,6),AS70,0))</f>
        <v/>
      </c>
      <c r="ES70" s="68">
        <f>IF(OR($U70=0,$F70&lt;&gt;2),0,IF(ER70&gt;0,ER70,IF(ROUND(AT70*$J70,6)&lt;ROUND($M70,6),AT70,0)))</f>
        <v/>
      </c>
      <c r="ET70" s="68">
        <f>IF(OR($U70=0,$F70&lt;&gt;2),0,IF(ES70&gt;0,ES70,IF(ROUND(AU70*$J70,6)&lt;ROUND($M70,6),AU70,0)))</f>
        <v/>
      </c>
      <c r="EU70" s="68">
        <f>IF(OR($U70=0,$F70&lt;&gt;2),0,IF(ET70&gt;0,ET70,IF(ROUND(AV70*$J70,6)&lt;ROUND($M70,6),AV70,0)))</f>
        <v/>
      </c>
      <c r="EV70" s="68">
        <f>IF(OR($U70=0,$F70&lt;&gt;2),0,IF(EU70&gt;0,EU70,IF(ROUND(AW70*$J70,6)&lt;ROUND($M70,6),AW70,0)))</f>
        <v/>
      </c>
      <c r="EW70" s="68">
        <f>IF(OR($U70=0,$F70&lt;&gt;2),0,IF(EV70&gt;0,EV70,IF(ROUND(AX70*$J70,6)&lt;ROUND($M70,6),AX70,0)))</f>
        <v/>
      </c>
      <c r="EX70" s="68">
        <f>IF(OR($U70=0,$F70&lt;&gt;2),0,IF(EW70&gt;0,EW70,IF(ROUND(AY70*$J70,6)&lt;ROUND($M70,6),AY70,0)))</f>
        <v/>
      </c>
      <c r="EY70" s="68">
        <f>IF(OR($U70=0,$F70&lt;&gt;2),0,IF(EX70&gt;0,EX70,IF(ROUND(AZ70*$J70,6)&lt;ROUND($M70,6),AZ70,0)))</f>
        <v/>
      </c>
      <c r="EZ70" s="68">
        <f>IF(OR($U70=0,$F70&lt;&gt;2),0,IF(EY70&gt;0,EY70,IF(ROUND(BA70*$J70,6)&lt;ROUND($M70,6),BA70,0)))</f>
        <v/>
      </c>
      <c r="FA70" s="68">
        <f>IF(OR($U70=0,$F70&lt;&gt;2),0,IF(EZ70&gt;0,EZ70,IF(ROUND(BB70*$J70,6)&lt;ROUND($M70,6),BB70,0)))</f>
        <v/>
      </c>
      <c r="FB70" s="68">
        <f>IF(OR($U70=0,$F70&lt;&gt;2),0,IF(FA70&gt;0,FA70,IF(ROUND(BC70*$J70,6)&lt;ROUND($M70,6),BC70,0)))</f>
        <v/>
      </c>
      <c r="FC70" s="68">
        <f>IF(OR($U70=0,$F70&lt;&gt;2),0,IF(FB70&gt;0,FB70,IF(ROUND(BD70*$J70,6)&lt;ROUND($M70,6),BD70,0)))</f>
        <v/>
      </c>
      <c r="FD70" s="68">
        <f>IF(OR($U70=0,$F70&lt;&gt;2),0,IF(FC70&gt;0,FC70,IF(ROUND(BE70*$J70,6)&lt;ROUND($M70,6),BE70,0)))</f>
        <v/>
      </c>
      <c r="FE70" s="68">
        <f>IF(OR($U70=0,$F70&lt;&gt;2),0,IF(FD70&gt;0,FD70,IF(ROUND(BF70*$J70,6)&lt;ROUND($M70,6),BF70,0)))</f>
        <v/>
      </c>
      <c r="FF70" s="68">
        <f>IF(OR($U70=0,$F70&lt;&gt;2),0,IF(FE70&gt;0,FE70,IF(ROUND(BG70*$J70,6)&lt;ROUND($M70,6),BG70,0)))</f>
        <v/>
      </c>
      <c r="FG70" s="68">
        <f>IF(OR($U70=0,$F70&lt;&gt;2),0,IF(FF70&gt;0,FF70,IF(ROUND(BH70*$J70,6)&lt;ROUND($M70,6),BH70,0)))</f>
        <v/>
      </c>
      <c r="FH70" s="68">
        <f>IF(OR($U70=0,$F70&lt;&gt;2),0,IF(FG70&gt;0,FG70,IF(ROUND(BI70*$J70,6)&lt;ROUND($M70,6),BI70,0)))</f>
        <v/>
      </c>
      <c r="FI70" s="68">
        <f>IF(OR($U70=0,$F70&lt;&gt;2),0,IF(FH70&gt;0,FH70,IF(ROUND(BJ70*$J70,6)&lt;ROUND($M70,6),BJ70,0)))</f>
        <v/>
      </c>
      <c r="FJ70" s="68">
        <f>IF(OR($U70=0,$F70&lt;&gt;2),0,IF(FI70&gt;0,FI70,IF(ROUND(BK70*$J70,6)&lt;ROUND($M70,6),BK70,0)))</f>
        <v/>
      </c>
      <c r="FK70" s="68">
        <f>IF(OR($U70=0,$F70&lt;&gt;2),0,IF(FJ70&gt;0,FJ70,IF(ROUND(BL70*$J70,6)&lt;ROUND($M70,6),BL70,0)))</f>
        <v/>
      </c>
      <c r="FL70" s="68">
        <f>IF(OR($U70=0,$F70&lt;&gt;2),0,IF(FK70&gt;0,FK70,IF(ROUND(BM70*$J70,6)&lt;ROUND($M70,6),BM70,0)))</f>
        <v/>
      </c>
      <c r="FM70" s="68">
        <f>IF(OR($U70=0,$F70&lt;&gt;2),0,IF(FL70&gt;0,FL70,IF(ROUND(BN70*$J70,6)&lt;ROUND($M70,6),BN70,0)))</f>
        <v/>
      </c>
      <c r="FN70" s="68">
        <f>IF(OR($U70=0,$F70&lt;&gt;2),0,IF(FM70&gt;0,FM70,IF(ROUND(BO70*$J70,6)&lt;ROUND($M70,6),BO70,0)))</f>
        <v/>
      </c>
      <c r="FO70" s="68">
        <f>IF(OR($U70=0,$F70&lt;&gt;2),0,IF(FN70&gt;0,FN70,IF(ROUND(BP70*$J70,6)&lt;ROUND($M70,6),BP70,0)))</f>
        <v/>
      </c>
      <c r="FP70" s="68">
        <f>IF(OR($U70=0,$F70&lt;&gt;2),0,IF(FO70&gt;0,FO70,IF(ROUND(BQ70*$J70,6)&lt;ROUND($M70,6),BQ70,0)))</f>
        <v/>
      </c>
      <c r="FQ70" s="68">
        <f>IF(OR($U70=0,$F70&lt;&gt;2),0,IF(FP70&gt;0,FP70,IF(ROUND(BR70*$J70,6)&lt;ROUND($M70,6),BR70,0)))</f>
        <v/>
      </c>
      <c r="FR70" s="68">
        <f>IF(OR($U70=0,$F70&lt;&gt;2),0,IF(FQ70&gt;0,FQ70,IF(ROUND(BS70*$J70,6)&lt;ROUND($M70,6),BS70,0)))</f>
        <v/>
      </c>
      <c r="FS70" s="68">
        <f>IF(OR($U70=0,$F70&lt;&gt;2),0,IF(FR70&gt;0,FR70,IF(ROUND(BT70*$J70,6)&lt;ROUND($M70,6),BT70,0)))</f>
        <v/>
      </c>
      <c r="FT70" s="68">
        <f>IF(OR($U70=0,$F70&lt;&gt;2),0,IF(FS70&gt;0,FS70,IF(ROUND(BU70*$J70,6)&lt;ROUND($M70,6),BU70,0)))</f>
        <v/>
      </c>
      <c r="FU70" s="68">
        <f>IF(OR($U70=0,$F70&lt;&gt;2),0,IF(FT70&gt;0,FT70,IF(ROUND(BV70*$J70,6)&lt;ROUND($M70,6),BV70,0)))</f>
        <v/>
      </c>
      <c r="FV70" s="68">
        <f>IF(OR($U70=0,$F70&lt;&gt;2),0,IF(FU70&gt;0,FU70,IF(ROUND(BW70*$J70,6)&lt;ROUND($M70,6),BW70,0)))</f>
        <v/>
      </c>
      <c r="FW70" s="68">
        <f>IF(OR($U70=0,$F70&lt;&gt;2),0,IF(FV70&gt;0,FV70,IF(ROUND(BX70*$J70,6)&lt;ROUND($M70,6),BX70,0)))</f>
        <v/>
      </c>
      <c r="FX70" s="68">
        <f>IF(OR($U70=0,$F70&lt;&gt;2),0,IF(FW70&gt;0,FW70,IF(ROUND(BY70*$J70,6)&lt;ROUND($M70,6),BY70,0)))</f>
        <v/>
      </c>
      <c r="FY70" s="68">
        <f>IF(OR($U70=0,$F70&lt;&gt;2),0,IF(FX70&gt;0,FX70,IF(ROUND(BZ70*$J70,6)&lt;ROUND($M70,6),BZ70,0)))</f>
        <v/>
      </c>
      <c r="FZ70" s="68">
        <f>IF(OR($U70=0,$F70&lt;&gt;2),0,IF(FY70&gt;0,FY70,IF(ROUND(CA70*$J70,6)&lt;ROUND($M70,6),CA70,0)))</f>
        <v/>
      </c>
      <c r="GA70" s="68">
        <f>IF(OR($U70=0,$F70&lt;&gt;2),0,IF(FZ70&gt;0,FZ70,IF(ROUND(CB70*$J70,6)&lt;ROUND($M70,6),CB70,0)))</f>
        <v/>
      </c>
      <c r="GB70" s="68">
        <f>IF(OR($U70=0,$F70&lt;&gt;2),0,IF(GA70&gt;0,GA70,IF(ROUND(CC70*$J70,6)&lt;ROUND($M70,6),CC70,0)))</f>
        <v/>
      </c>
      <c r="GC70" s="68">
        <f>IF(OR($U70=0,$F70&lt;&gt;2),0,IF(GB70&gt;0,GB70,IF(ROUND(CD70*$J70,6)&lt;ROUND($M70,6),CD70,0)))</f>
        <v/>
      </c>
      <c r="GD70" s="68">
        <f>IF(OR($U70=0,$F70&lt;&gt;2),0,IF(GC70&gt;0,GC70,IF(ROUND(CE70*$J70,6)&lt;ROUND($M70,6),CE70,0)))</f>
        <v/>
      </c>
      <c r="GE70" s="68">
        <f>IF(OR($U70=0,$F70&lt;&gt;2),0,IF(GD70&gt;0,GD70,IF(ROUND(CF70*$J70,6)&lt;ROUND($M70,6),CF70,0)))</f>
        <v/>
      </c>
      <c r="GF70" s="68">
        <f>IF(OR($U70=0,$F70&lt;&gt;2),0,IF(GE70&gt;0,GE70,IF(ROUND(CG70*$J70,6)&lt;ROUND($M70,6),CG70,0)))</f>
        <v/>
      </c>
      <c r="GG70" s="68">
        <f>IF(OR($U70=0,$F70&lt;&gt;2),0,IF(GF70&gt;0,GF70,IF(ROUND(CH70*$J70,6)&lt;ROUND($M70,6),CH70,0)))</f>
        <v/>
      </c>
      <c r="GH70" s="68">
        <f>IF(OR($U70=0,$F70&lt;&gt;2),0,IF(GG70&gt;0,GG70,IF(ROUND(CI70*$J70,6)&lt;ROUND($M70,6),CI70,0)))</f>
        <v/>
      </c>
      <c r="GI70" s="68">
        <f>IF(OR($U70=0,$F70&lt;&gt;2),0,IF(GH70&gt;0,GH70,IF(ROUND(CJ70*$J70,6)&lt;ROUND($M70,6),CJ70,0)))</f>
        <v/>
      </c>
      <c r="GJ70" s="68">
        <f>IF(OR($U70=0,$F70&lt;&gt;2),0,IF(GI70&gt;0,GI70,IF(ROUND(CK70*$J70,6)&lt;ROUND($M70,6),CK70,0)))</f>
        <v/>
      </c>
      <c r="GK70" s="68">
        <f>IF(OR($U70=0,$F70&lt;&gt;2),0,IF(GJ70&gt;0,GJ70,IF(ROUND(CL70*$J70,6)&lt;ROUND($M70,6),CL70,0)))</f>
        <v/>
      </c>
      <c r="GL70" s="68">
        <f>IF(OR($U70=0,$F70&lt;&gt;2),0,IF(GK70&gt;0,GK70,IF(ROUND(CM70*$J70,6)&lt;ROUND($M70,6),CM70,0)))</f>
        <v/>
      </c>
      <c r="GM70" s="68">
        <f>IF(OR($U70=0,$F70&lt;&gt;2),0,IF(GL70&gt;0,GL70,IF(ROUND(CN70*$J70,6)&lt;ROUND($M70,6),CN70,0)))</f>
        <v/>
      </c>
      <c r="GN70" s="68">
        <f>IF(OR($U70=0,$F70&lt;&gt;2),0,IF(GM70&gt;0,GM70,IF(ROUND(CO70*$J70,6)&lt;ROUND($M70,6),CO70,0)))</f>
        <v/>
      </c>
      <c r="GO70" s="68">
        <f>IF(OR($U70=0,$F70&lt;&gt;2),0,IF(GN70&gt;0,GN70,IF(ROUND(CP70*$J70,6)&lt;ROUND($M70,6),CP70,0)))</f>
        <v/>
      </c>
      <c r="GP70" s="68">
        <f>IF(OR($U70=0,$F70&lt;&gt;2),0,IF(GO70&gt;0,GO70,IF(ROUND(CQ70*$J70,6)&lt;ROUND($M70,6),CQ70,0)))</f>
        <v/>
      </c>
      <c r="GQ70" s="68">
        <f>IF(OR($U70=0,$F70&lt;&gt;2),0,IF(GP70&gt;0,GP70,IF(ROUND(CR70*$J70,6)&lt;ROUND($M70,6),CR70,0)))</f>
        <v/>
      </c>
      <c r="GR70" s="68">
        <f>IF(OR($U70=0,$F70&lt;&gt;2),0,IF(GQ70&gt;0,GQ70,IF(ROUND(CS70*$J70,6)&lt;ROUND($M70,6),CS70,0)))</f>
        <v/>
      </c>
      <c r="GS70" s="68">
        <f>IF(OR($U70=0,$F70&lt;&gt;2),0,IF(GR70&gt;0,GR70,IF(ROUND(CT70*$J70,6)&lt;ROUND($M70,6),CT70,0)))</f>
        <v/>
      </c>
      <c r="GT70" s="68">
        <f>IF(OR($U70=0,$F70&lt;&gt;2),0,IF(GS70&gt;0,GS70,IF(ROUND(CU70*$J70,6)&lt;ROUND($M70,6),CU70,0)))</f>
        <v/>
      </c>
      <c r="GU70" s="68">
        <f>IF(OR($U70=0,$F70&lt;&gt;2),0,IF(GT70&gt;0,GT70,IF(ROUND(CV70*$J70,6)&lt;ROUND($M70,6),CV70,0)))</f>
        <v/>
      </c>
      <c r="GV70" s="68">
        <f>IF(OR($U70=0,$F70&lt;&gt;2),0,IF(GU70&gt;0,GU70,IF(ROUND(CW70*$J70,6)&lt;ROUND($M70,6),CW70,0)))</f>
        <v/>
      </c>
      <c r="GW70" s="68">
        <f>IF(OR($U70=0,$F70&lt;&gt;2),0,IF(GV70&gt;0,GV70,IF(ROUND(CX70*$J70,6)&lt;ROUND($M70,6),CX70,0)))</f>
        <v/>
      </c>
      <c r="GX70" s="68">
        <f>IF(OR($U70=0,$F70&lt;&gt;2),0,IF(GW70&gt;0,GW70,IF(ROUND(CY70*$J70,6)&lt;ROUND($M70,6),CY70,0)))</f>
        <v/>
      </c>
      <c r="GY70" s="68">
        <f>IF(OR($U70=0,$F70&lt;&gt;2),0,IF(GX70&gt;0,GX70,IF(ROUND(CZ70*$J70,6)&lt;ROUND($M70,6),CZ70,0)))</f>
        <v/>
      </c>
      <c r="GZ70" s="68">
        <f>IF(OR($U70=0,$F70&lt;&gt;2),0,IF(GY70&gt;0,GY70,IF(ROUND(DA70*$J70,6)&lt;ROUND($M70,6),DA70,0)))</f>
        <v/>
      </c>
      <c r="HA70" s="68">
        <f>IF(OR($U70=0,$F70&lt;&gt;2),0,IF(GZ70&gt;0,GZ70,IF(ROUND(DB70*$J70,6)&lt;ROUND($M70,6),DB70,0)))</f>
        <v/>
      </c>
      <c r="HB70" s="68">
        <f>IF(OR($U70=0,$F70&lt;&gt;2),0,IF(HA70&gt;0,HA70,IF(ROUND(DC70*$J70,6)&lt;ROUND($M70,6),DC70,0)))</f>
        <v/>
      </c>
      <c r="HC70" s="68">
        <f>IF(OR($U70=0,$F70&lt;&gt;2),0,IF(HB70&gt;0,HB70,IF(ROUND(DD70*$J70,6)&lt;ROUND($M70,6),DD70,0)))</f>
        <v/>
      </c>
      <c r="HD70" s="68">
        <f>IF(OR($U70=0,$F70&lt;&gt;2),0,IF(HC70&gt;0,HC70,IF(ROUND(DE70*$J70,6)&lt;ROUND($M70,6),DE70,0)))</f>
        <v/>
      </c>
      <c r="HE70" s="68">
        <f>IF(OR($U70=0,$F70&lt;&gt;2),0,IF(HD70&gt;0,HD70,IF(ROUND(DF70*$J70,6)&lt;ROUND($M70,6),DF70,0)))</f>
        <v/>
      </c>
      <c r="HF70" s="68">
        <f>IF(OR($U70=0,$F70&lt;&gt;2),0,IF(HE70&gt;0,HE70,IF(ROUND(DG70*$J70,6)&lt;ROUND($M70,6),DG70,0)))</f>
        <v/>
      </c>
      <c r="HG70" s="68">
        <f>IF(OR($U70=0,$F70&lt;&gt;2),0,IF(HF70&gt;0,HF70,IF(ROUND(DH70*$J70,6)&lt;ROUND($M70,6),DH70,0)))</f>
        <v/>
      </c>
      <c r="HH70" s="68">
        <f>IF(OR($U70=0,$F70&lt;&gt;2),0,IF(HG70&gt;0,HG70,IF(ROUND(DI70*$J70,6)&lt;ROUND($M70,6),DI70,0)))</f>
        <v/>
      </c>
      <c r="HI70" s="68">
        <f>IF(OR($U70=0,$F70&lt;&gt;2),0,IF(HH70&gt;0,HH70,IF(ROUND(DJ70*$J70,6)&lt;ROUND($M70,6),DJ70,0)))</f>
        <v/>
      </c>
      <c r="HJ70" s="68">
        <f>IF(OR($U70=0,$F70&lt;&gt;2),0,IF(HI70&gt;0,HI70,IF(ROUND(DK70*$J70,6)&lt;ROUND($M70,6),DK70,0)))</f>
        <v/>
      </c>
      <c r="HK70" s="68">
        <f>IF(OR($U70=0,$F70&lt;&gt;2),0,IF(HJ70&gt;0,HJ70,IF(ROUND(DL70*$J70,6)&lt;ROUND($M70,6),DL70,0)))</f>
        <v/>
      </c>
      <c r="HL70" s="68">
        <f>IF(OR($U70=0,$F70&lt;&gt;2),0,IF(HK70&gt;0,HK70,IF(ROUND(DM70*$J70,6)&lt;ROUND($M70,6),DM70,0)))</f>
        <v/>
      </c>
      <c r="HM70" s="68">
        <f>IF(OR($U70=0,$F70&lt;&gt;2),0,IF(HL70&gt;0,HL70,IF(ROUND(DN70*$J70,6)&lt;ROUND($M70,6),DN70,0)))</f>
        <v/>
      </c>
      <c r="HN70" s="68">
        <f>IF(OR($U70=0,$F70&lt;&gt;2),0,IF(HM70&gt;0,HM70,IF(ROUND(DO70*$J70,6)&lt;ROUND($M70,6),DO70,0)))</f>
        <v/>
      </c>
      <c r="HO70" s="68">
        <f>IF(OR($U70=0,$F70&lt;&gt;2),0,IF(HN70&gt;0,HN70,IF(ROUND(DP70*$J70,6)&lt;ROUND($M70,6),DP70,0)))</f>
        <v/>
      </c>
      <c r="HP70" s="68">
        <f>IF(OR($U70=0,$F70&lt;&gt;2),0,IF(HO70&gt;0,HO70,IF(ROUND(DQ70*$J70,6)&lt;ROUND($M70,6),DQ70,0)))</f>
        <v/>
      </c>
      <c r="HQ70" s="68">
        <f>IF(OR($U70=0,$F70&lt;&gt;2),0,IF(HP70&gt;0,HP70,IF(ROUND(DR70*$J70,6)&lt;ROUND($M70,6),DR70,0)))</f>
        <v/>
      </c>
      <c r="HR70" s="68">
        <f>IF(OR($U70=0,$F70&lt;&gt;2),0,IF(HQ70&gt;0,HQ70,IF(ROUND(DS70*$J70,6)&lt;ROUND($M70,6),DS70,0)))</f>
        <v/>
      </c>
      <c r="HS70" s="68">
        <f>IF(OR($U70=0,$F70&lt;&gt;2),0,IF(HR70&gt;0,HR70,IF(ROUND(DT70*$J70,6)&lt;ROUND($M70,6),DT70,0)))</f>
        <v/>
      </c>
      <c r="HT70" s="68">
        <f>IF(OR($U70=0,$F70&lt;&gt;2),0,IF(HS70&gt;0,HS70,IF(ROUND(DU70*$J70,6)&lt;ROUND($M70,6),DU70,0)))</f>
        <v/>
      </c>
      <c r="HU70" s="68">
        <f>IF(OR($U70=0,$F70&lt;&gt;2),0,IF(HT70&gt;0,HT70,IF(ROUND(DV70*$J70,6)&lt;ROUND($M70,6),DV70,0)))</f>
        <v/>
      </c>
      <c r="HV70" s="68">
        <f>IF(OR($U70=0,$F70&lt;&gt;2),0,IF(HU70&gt;0,HU70,IF(ROUND(DW70*$J70,6)&lt;ROUND($M70,6),DW70,0)))</f>
        <v/>
      </c>
      <c r="HW70" s="68">
        <f>IF(OR($U70=0,$F70&lt;&gt;2),0,IF(HV70&gt;0,HV70,IF(ROUND(DX70*$J70,6)&lt;ROUND($M70,6),DX70,0)))</f>
        <v/>
      </c>
      <c r="HX70" s="68">
        <f>IF(OR($U70=0,$F70&lt;&gt;2),0,IF(HW70&gt;0,HW70,IF(ROUND(DY70*$J70,6)&lt;ROUND($M70,6),DY70,0)))</f>
        <v/>
      </c>
      <c r="HY70" s="68">
        <f>IF(OR($U70=0,$F70&lt;&gt;2),0,IF(HX70&gt;0,HX70,IF(ROUND(DZ70*$J70,6)&lt;ROUND($M70,6),DZ70,0)))</f>
        <v/>
      </c>
      <c r="HZ70" s="68">
        <f>IF(OR($U70=0,$F70&lt;&gt;2),0,IF(HY70&gt;0,HY70,IF(ROUND(EA70*$J70,6)&lt;ROUND($M70,6),EA70,0)))</f>
        <v/>
      </c>
      <c r="IA70" s="68">
        <f>IF(OR($U70=0,$F70&lt;&gt;2),0,IF(HZ70&gt;0,HZ70,IF(ROUND(EB70*$J70,6)&lt;ROUND($M70,6),EB70,0)))</f>
        <v/>
      </c>
      <c r="IB70" s="68">
        <f>IF(OR($U70=0,$F70&lt;&gt;2),0,IF(IA70&gt;0,IA70,IF(ROUND(EC70*$J70,6)&lt;ROUND($M70,6),EC70,0)))</f>
        <v/>
      </c>
      <c r="IC70" s="68">
        <f>IF(OR($U70=0,$F70&lt;&gt;2),0,IF(IB70&gt;0,IB70,IF(ROUND(ED70*$J70,6)&lt;ROUND($M70,6),ED70,0)))</f>
        <v/>
      </c>
      <c r="ID70" s="68">
        <f>IF(OR($U70=0,$F70&lt;&gt;2),0,IF(IC70&gt;0,IC70,IF(ROUND(EE70*$J70,6)&lt;ROUND($M70,6),EE70,0)))</f>
        <v/>
      </c>
      <c r="IE70" s="68">
        <f>IF(OR($U70=0,$F70&lt;&gt;2),0,IF(ID70&gt;0,ID70,IF(ROUND(EF70*$J70,6)&lt;ROUND($M70,6),EF70,0)))</f>
        <v/>
      </c>
      <c r="IF70" s="68">
        <f>IF(OR($U70=0,$F70&lt;&gt;2),0,IF(IE70&gt;0,IE70,IF(ROUND(EG70*$J70,6)&lt;ROUND($M70,6),EG70,0)))</f>
        <v/>
      </c>
      <c r="IG70" s="68">
        <f>IF(OR($U70=0,$F70&lt;&gt;2),0,IF(IF70&gt;0,IF70,IF(ROUND(EH70*$J70,6)&lt;ROUND($M70,6),EH70,0)))</f>
        <v/>
      </c>
      <c r="IH70" s="68">
        <f>IF(OR($U70=0,$F70&lt;&gt;2),0,IF(IG70&gt;0,IG70,IF(ROUND(EI70*$J70,6)&lt;ROUND($M70,6),EI70,0)))</f>
        <v/>
      </c>
      <c r="II70" s="68">
        <f>IF(OR($U70=0,$F70&lt;&gt;2),0,IF(IH70&gt;0,IH70,IF(ROUND(EJ70*$J70,6)&lt;ROUND($M70,6),EJ70,0)))</f>
        <v/>
      </c>
      <c r="IJ70" s="68">
        <f>IF(OR($U70=0,$F70&lt;&gt;2),0,IF(II70&gt;0,II70,IF(ROUND(EK70*$J70,6)&lt;ROUND($M70,6),EK70,0)))</f>
        <v/>
      </c>
      <c r="IK70" s="68">
        <f>IF(OR($U70=0,$F70&lt;&gt;2),0,IF(IJ70&gt;0,IJ70,IF(ROUND(EL70*$J70,6)&lt;ROUND($M70,6),EL70,0)))</f>
        <v/>
      </c>
      <c r="IL70" s="68">
        <f>IF(OR($U70=0,$F70&lt;&gt;2),0,IF(IK70&gt;0,IK70,IF(ROUND(EM70*$J70,6)&lt;ROUND($M70,6),EM70,0)))</f>
        <v/>
      </c>
      <c r="IM70" s="68">
        <f>IF(OR($U70=0,$F70&lt;&gt;2),0,IF(IL70&gt;0,IL70,IF(ROUND(EN70*$J70,6)&lt;ROUND($M70,6),EN70,0)))</f>
        <v/>
      </c>
      <c r="IN70" s="68">
        <f>IF(OR($U70=0,$F70&lt;&gt;2),0,IF(IM70&gt;0,IM70,IF(ROUND(EO70*$J70,6)&lt;ROUND($M70,6),EO70,0)))</f>
        <v/>
      </c>
    </row>
    <row r="71">
      <c r="A71" s="68" t="n">
        <v>66</v>
      </c>
      <c r="B71" s="68">
        <f>IF(OR(TRIM('固定資産台帳'!$B71)&lt;&gt;"",'固定資産台帳'!$E71&lt;&gt;"",'固定資産台帳'!$G71&lt;&gt;"",'固定資産台帳'!$H71&lt;&gt;""),1,0)</f>
        <v/>
      </c>
      <c r="C71" s="68">
        <f>IF(ISNUMBER('固定資産台帳'!$G71),MAX(ROUND('固定資産台帳'!$G71,0),0),0)</f>
        <v/>
      </c>
      <c r="D71" s="84">
        <f>IF(ISNUMBER('固定資産台帳'!$E71),INT('固定資産台帳'!$E71),0)</f>
        <v/>
      </c>
      <c r="E71" s="84">
        <f>IF(ISNUMBER('固定資産台帳'!$F71),INT('固定資産台帳'!$F71),$D71)</f>
        <v/>
      </c>
      <c r="F71" s="68">
        <f>IF('固定資産台帳'!$H71="定額法",1,IF(OR('固定資産台帳'!$H71="定率法",'固定資産台帳'!$H71="定率法（200%）",'固定資産台帳'!$H71="定率法（250%）"),2,IF('固定資産台帳'!$H71="一括償却（3年）",3,IF('固定資産台帳'!$H71="少額特例",4,0))))</f>
        <v/>
      </c>
      <c r="G71" s="68">
        <f>IF('固定資産台帳'!$H71="定率法（250%）",250,IF('固定資産台帳'!$H71="定率法（200%）",200,IF($D71&gt;=DATE(2012,4,1),200,250)))</f>
        <v/>
      </c>
      <c r="H71" s="68">
        <f>IF(ISNUMBER('固定資産台帳'!$I71),IF(AND('固定資産台帳'!$I71&gt;=2,'固定資産台帳'!$I71&lt;=100,'固定資産台帳'!$I71=INT('固定資産台帳'!$I71)),'固定資産台帳'!$I71,0),0)</f>
        <v/>
      </c>
      <c r="I71" s="68">
        <f>IF('固定資産台帳'!$C71="無形固定資産",0,1)</f>
        <v/>
      </c>
      <c r="J71" s="68">
        <f>IF(OR($H71=0,$F71=0,$F71&gt;2),0,IF($F71=1,INDEX('償却率表'!$B$6:$B$104,$H71-1),IF($G71=200,INDEX('償却率表'!$C$6:$C$104,$H71-1),INDEX('償却率表'!$F$6:$F$104,$H71-1))))</f>
        <v/>
      </c>
      <c r="K71" s="68">
        <f>IF(AND($F71=2,$H71&gt;0),IF($G71=200,INDEX('償却率表'!$D$6:$D$104,$H71-1),INDEX('償却率表'!$G$6:$G$104,$H71-1)),0)</f>
        <v/>
      </c>
      <c r="L71" s="68">
        <f>IF(AND($F71=2,$H71&gt;0),IF($G71=200,INDEX('償却率表'!$E$6:$E$104,$H71-1),INDEX('償却率表'!$H$6:$H$104,$H71-1)),0)</f>
        <v/>
      </c>
      <c r="M71" s="68">
        <f>$C71*$L71</f>
        <v/>
      </c>
      <c r="N71" s="68">
        <f>IF($B$1=1,1,IF('固定資産台帳'!$J71="",1,IF(ISNUMBER('固定資産台帳'!$J71),IF(AND('固定資産台帳'!$J71&gt;0,'固定資産台帳'!$J71&lt;=1),'固定資産台帳'!$J71,0),0)))</f>
        <v/>
      </c>
      <c r="O71" s="68">
        <f>IF($E71=0,0,YEAR($E71)-IF(MONTH($E71)&lt;$B$2,1,0))</f>
        <v/>
      </c>
      <c r="P71" s="68">
        <f>IF($E71=0,0,12-MOD(MONTH($E71)-$B$2,12))</f>
        <v/>
      </c>
      <c r="Q71" s="84">
        <f>IF(ISNUMBER('固定資産台帳'!$K71),INT('固定資産台帳'!$K71),0)</f>
        <v/>
      </c>
      <c r="R71" s="68">
        <f>IF(OR($Q71=0,$E71=0),999,YEAR($Q71)-IF(MONTH($Q71)&lt;$B$2,1,0)-$O71)</f>
        <v/>
      </c>
      <c r="S71" s="68">
        <f>IF($R71=999,0,MOD(MONTH($Q71)-$B$2,12)+1-IF($R71=0,12-$P71,0))</f>
        <v/>
      </c>
      <c r="T71" s="68">
        <f>IF($B71=0,0,IF($C71&lt;=0,1,IF($D71=0,2,IF($F71=0,3,IF(AND($F71&lt;=2,$H71=0),4,IF(AND($F71&lt;=2,$D71&lt;DATE(2007,4,1)),5,IF($E71&lt;$D71,6,IF(AND($Q71&gt;0,$Q71&lt;$E71),7,IF($N71=0,8,IF($B$3=0,9,0))))))))))</f>
        <v/>
      </c>
      <c r="U71" s="68">
        <f>IF(AND($B71=1,$T71=0),1,0)</f>
        <v/>
      </c>
      <c r="V71" s="68">
        <f>$B$3-$O71</f>
        <v/>
      </c>
      <c r="W71" s="68">
        <f>IF(AND($U71=1,$V71&gt;=0),1,0)</f>
        <v/>
      </c>
      <c r="X71" s="68">
        <f>IF($W71=0,0,IF($V71=0,$C71,INDEX($AS71:$EP71,MIN($V71,102))))</f>
        <v/>
      </c>
      <c r="Y71" s="68">
        <f>IF($W71=0,0,INDEX($AS71:$EP71,MIN($V71,101)+1))</f>
        <v/>
      </c>
      <c r="Z71" s="68">
        <f>$X71-$Y71</f>
        <v/>
      </c>
      <c r="AA71" s="68">
        <f>IF(AND($W71=1,$F71=2,$V71&gt;=1),INDEX($ER71:$IN71,MIN($V71,101)),0)</f>
        <v/>
      </c>
      <c r="AB71" s="68">
        <f>IF(OR($W71=0,$F71&gt;2,$Z71=0),0,IF($V71=0,IF($R71=0,$S71,$P71),IF($V71=$R71,$S71,12)))</f>
        <v/>
      </c>
      <c r="AC71" s="68">
        <f>IF($W71=0,0,INT(ROUND($Z71*$N71,6)+$B$4))</f>
        <v/>
      </c>
      <c r="AD71" s="68">
        <f>IF(AND($W71=1,$F71&lt;=2,$V71=$R71),1,0)</f>
        <v/>
      </c>
      <c r="AE71" s="68">
        <f>IF(AND($W71=1,$F71&lt;=2,$V71&gt;$R71),1,0)</f>
        <v/>
      </c>
      <c r="AF71" s="68">
        <f>IF(AND($W71=1,$AE71=0,OR($Z71&gt;0,$AD71=1)),1,0)</f>
        <v/>
      </c>
      <c r="AG71" s="68">
        <f>IF($AF71=1,SUM($AF$6:$AF71),0)</f>
        <v/>
      </c>
      <c r="AH71" s="68">
        <f>IF($T71=0,"",CHOOSE($T71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71" s="68">
        <f>IF(AND($F71=2,OR('固定資産台帳'!$C71="建物",'固定資産台帳'!$C71="無形固定資産",AND(OR('固定資産台帳'!$C71="建物附属設備",'固定資産台帳'!$C71="構築物"),$D71&gt;=DATE(2016,4,1)))),"この資産は定額法だけです（定率法は使えません）。","")&amp;IF(AND($F71=3,$C71&gt;=200000),"一括償却は20万円未満の資産だけです。","")&amp;IF(AND($F71=3,$B$1=0,$C71&lt;100000),"10万円未満は一括償却にせず、全額をその年の経費にします。","")&amp;IF(AND($F71=4,$C71&lt;100000),"10万円未満は少額特例ではなく、全額をその年の経費にします。","")&amp;IF(AND($F71=4,$D71&lt;DATE(2026,4,1),$C71&gt;=300000),"2026年3月31日までの取得で少額特例が使えるのは30万円未満です。","")&amp;IF(AND($F71=4,$D71&gt;=DATE(2026,4,1),$C71&gt;=400000),"少額特例は40万円未満の資産だけです。","")&amp;IF(AND($F71=4,OR($D71&lt;DATE(2006,4,1),$D71&gt;DATE(2029,3,31))),"少額特例は2006年4月1日〜2029年3月31日に取得した資産だけです。","")&amp;IF(AND($F71=2,$G71=250,$D71&gt;DATE(2012,12,31)),"250%定率法は2012年12月31日までの取得だけです。","")</f>
        <v/>
      </c>
      <c r="AJ71" s="68">
        <f>IF(AND($F71=2,'固定資産台帳'!$H71="定率法（200%）",$D71&lt;DATE(2012,4,1)),"2012年3月31日までの取得に200%を使うのは、経過措置の届出をした場合です。","")&amp;IF(AND($F71=2,'固定資産台帳'!$H71="定率法（250%）",$D71&gt;=DATE(2012,4,1),$D71&lt;=DATE(2012,12,31)),"2012年4〜12月の取得に250%を使うのは、経過措置を選んだ場合です。","")</f>
        <v/>
      </c>
      <c r="AK71" s="68">
        <f>IF($U71=0,"",IF($V71&lt;0,"表示している年より後に使い始める資産です。",IF($AE71=1,"売却・除却済みです。",IF($AD71=1,"この年に売却・除却。期末の帳簿価額 "&amp;TEXT($Y71,"#,##0")&amp;"円を帳簿から外します。",IF($F71=4,IF($V71=0,"少額特例：この年に全額を経費にします。","少額特例で経費にした資産です。"),IF($F71=3,IF($V71&gt;2,"一括償却は終わっています。","一括償却 "&amp;($V71+1)&amp;"年目（3年のうち）。"),IF($Z71=0,"償却済み（帳簿価額 "&amp;TEXT($Y71,"#,##0")&amp;"円）。",IF($AA71&gt;0,"改定償却率で計算（改定取得価額 "&amp;TEXT($AA71,"#,##0")&amp;"円）。",IF($V71=0,"この年に使い始め（"&amp;$AB71&amp;"か月分）。","")))))))))</f>
        <v/>
      </c>
      <c r="AL71" s="68">
        <f>IF(AND($U71=1,$F71=4,$V71=0),$C71,0)</f>
        <v/>
      </c>
      <c r="AM71" s="68">
        <f>IF($F71=2,INT(ROUND($M71,6)+$B$4),0)</f>
        <v/>
      </c>
      <c r="AN71" s="68">
        <f>IF($W71=0,0,IF($F71=2,IF($AA71&gt;0,$AA71,$X71),$C71))</f>
        <v/>
      </c>
      <c r="AO71" s="68">
        <f>IF($W71=0,"",IF($F71=3,"1/3",IF($F71=4,"―",IF($AA71&gt;0,$K71,$J71))))</f>
        <v/>
      </c>
      <c r="AP71" s="68" t="n"/>
      <c r="AQ71" s="68" t="n"/>
      <c r="AR71" s="68" t="n"/>
      <c r="AS71" s="68">
        <f>IF($U71=0,0,IF($F71=4,0,IF($F71=3,MAX($C71-INT(ROUND($C71/3,6)+$B$4),0),$C71-MIN(INT(ROUND($C71*$J71*IF($R71=0,$S71,$P71)/12,6)+$B$4),MAX($C71-$I71,0)))))</f>
        <v/>
      </c>
      <c r="AT71" s="68">
        <f>IF($U71=0,0,IF($F71=4,0,IF($F71=3,AS71-MIN(INT(ROUND($C71/3,6)+$B$4),AS71),IF(OR(1&gt;$R71,AS71&lt;=$I71),AS71,AS71-MIN(INT(ROUND(IF($F71=1,$C71*$J71,IF(ER71&gt;0,ER71*$K71,AS71*$J71))*IF(1=$R71,$S71,12)/12,6)+$B$4),AS71-$I71)))))</f>
        <v/>
      </c>
      <c r="AU71" s="68">
        <f>IF($U71=0,0,IF($F71=4,0,IF($F71=3,0,IF(OR(2&gt;$R71,AT71&lt;=$I71),AT71,AT71-MIN(INT(ROUND(IF($F71=1,$C71*$J71,IF(ES71&gt;0,ES71*$K71,AT71*$J71))*IF(2=$R71,$S71,12)/12,6)+$B$4),AT71-$I71)))))</f>
        <v/>
      </c>
      <c r="AV71" s="68">
        <f>IF($U71=0,0,IF($F71=4,0,IF($F71=3,0,IF(OR(3&gt;$R71,AU71&lt;=$I71),AU71,AU71-MIN(INT(ROUND(IF($F71=1,$C71*$J71,IF(ET71&gt;0,ET71*$K71,AU71*$J71))*IF(3=$R71,$S71,12)/12,6)+$B$4),AU71-$I71)))))</f>
        <v/>
      </c>
      <c r="AW71" s="68">
        <f>IF($U71=0,0,IF($F71=4,0,IF($F71=3,0,IF(OR(4&gt;$R71,AV71&lt;=$I71),AV71,AV71-MIN(INT(ROUND(IF($F71=1,$C71*$J71,IF(EU71&gt;0,EU71*$K71,AV71*$J71))*IF(4=$R71,$S71,12)/12,6)+$B$4),AV71-$I71)))))</f>
        <v/>
      </c>
      <c r="AX71" s="68">
        <f>IF($U71=0,0,IF($F71=4,0,IF($F71=3,0,IF(OR(5&gt;$R71,AW71&lt;=$I71),AW71,AW71-MIN(INT(ROUND(IF($F71=1,$C71*$J71,IF(EV71&gt;0,EV71*$K71,AW71*$J71))*IF(5=$R71,$S71,12)/12,6)+$B$4),AW71-$I71)))))</f>
        <v/>
      </c>
      <c r="AY71" s="68">
        <f>IF($U71=0,0,IF($F71=4,0,IF($F71=3,0,IF(OR(6&gt;$R71,AX71&lt;=$I71),AX71,AX71-MIN(INT(ROUND(IF($F71=1,$C71*$J71,IF(EW71&gt;0,EW71*$K71,AX71*$J71))*IF(6=$R71,$S71,12)/12,6)+$B$4),AX71-$I71)))))</f>
        <v/>
      </c>
      <c r="AZ71" s="68">
        <f>IF($U71=0,0,IF($F71=4,0,IF($F71=3,0,IF(OR(7&gt;$R71,AY71&lt;=$I71),AY71,AY71-MIN(INT(ROUND(IF($F71=1,$C71*$J71,IF(EX71&gt;0,EX71*$K71,AY71*$J71))*IF(7=$R71,$S71,12)/12,6)+$B$4),AY71-$I71)))))</f>
        <v/>
      </c>
      <c r="BA71" s="68">
        <f>IF($U71=0,0,IF($F71=4,0,IF($F71=3,0,IF(OR(8&gt;$R71,AZ71&lt;=$I71),AZ71,AZ71-MIN(INT(ROUND(IF($F71=1,$C71*$J71,IF(EY71&gt;0,EY71*$K71,AZ71*$J71))*IF(8=$R71,$S71,12)/12,6)+$B$4),AZ71-$I71)))))</f>
        <v/>
      </c>
      <c r="BB71" s="68">
        <f>IF($U71=0,0,IF($F71=4,0,IF($F71=3,0,IF(OR(9&gt;$R71,BA71&lt;=$I71),BA71,BA71-MIN(INT(ROUND(IF($F71=1,$C71*$J71,IF(EZ71&gt;0,EZ71*$K71,BA71*$J71))*IF(9=$R71,$S71,12)/12,6)+$B$4),BA71-$I71)))))</f>
        <v/>
      </c>
      <c r="BC71" s="68">
        <f>IF($U71=0,0,IF($F71=4,0,IF($F71=3,0,IF(OR(10&gt;$R71,BB71&lt;=$I71),BB71,BB71-MIN(INT(ROUND(IF($F71=1,$C71*$J71,IF(FA71&gt;0,FA71*$K71,BB71*$J71))*IF(10=$R71,$S71,12)/12,6)+$B$4),BB71-$I71)))))</f>
        <v/>
      </c>
      <c r="BD71" s="68">
        <f>IF($U71=0,0,IF($F71=4,0,IF($F71=3,0,IF(OR(11&gt;$R71,BC71&lt;=$I71),BC71,BC71-MIN(INT(ROUND(IF($F71=1,$C71*$J71,IF(FB71&gt;0,FB71*$K71,BC71*$J71))*IF(11=$R71,$S71,12)/12,6)+$B$4),BC71-$I71)))))</f>
        <v/>
      </c>
      <c r="BE71" s="68">
        <f>IF($U71=0,0,IF($F71=4,0,IF($F71=3,0,IF(OR(12&gt;$R71,BD71&lt;=$I71),BD71,BD71-MIN(INT(ROUND(IF($F71=1,$C71*$J71,IF(FC71&gt;0,FC71*$K71,BD71*$J71))*IF(12=$R71,$S71,12)/12,6)+$B$4),BD71-$I71)))))</f>
        <v/>
      </c>
      <c r="BF71" s="68">
        <f>IF($U71=0,0,IF($F71=4,0,IF($F71=3,0,IF(OR(13&gt;$R71,BE71&lt;=$I71),BE71,BE71-MIN(INT(ROUND(IF($F71=1,$C71*$J71,IF(FD71&gt;0,FD71*$K71,BE71*$J71))*IF(13=$R71,$S71,12)/12,6)+$B$4),BE71-$I71)))))</f>
        <v/>
      </c>
      <c r="BG71" s="68">
        <f>IF($U71=0,0,IF($F71=4,0,IF($F71=3,0,IF(OR(14&gt;$R71,BF71&lt;=$I71),BF71,BF71-MIN(INT(ROUND(IF($F71=1,$C71*$J71,IF(FE71&gt;0,FE71*$K71,BF71*$J71))*IF(14=$R71,$S71,12)/12,6)+$B$4),BF71-$I71)))))</f>
        <v/>
      </c>
      <c r="BH71" s="68">
        <f>IF($U71=0,0,IF($F71=4,0,IF($F71=3,0,IF(OR(15&gt;$R71,BG71&lt;=$I71),BG71,BG71-MIN(INT(ROUND(IF($F71=1,$C71*$J71,IF(FF71&gt;0,FF71*$K71,BG71*$J71))*IF(15=$R71,$S71,12)/12,6)+$B$4),BG71-$I71)))))</f>
        <v/>
      </c>
      <c r="BI71" s="68">
        <f>IF($U71=0,0,IF($F71=4,0,IF($F71=3,0,IF(OR(16&gt;$R71,BH71&lt;=$I71),BH71,BH71-MIN(INT(ROUND(IF($F71=1,$C71*$J71,IF(FG71&gt;0,FG71*$K71,BH71*$J71))*IF(16=$R71,$S71,12)/12,6)+$B$4),BH71-$I71)))))</f>
        <v/>
      </c>
      <c r="BJ71" s="68">
        <f>IF($U71=0,0,IF($F71=4,0,IF($F71=3,0,IF(OR(17&gt;$R71,BI71&lt;=$I71),BI71,BI71-MIN(INT(ROUND(IF($F71=1,$C71*$J71,IF(FH71&gt;0,FH71*$K71,BI71*$J71))*IF(17=$R71,$S71,12)/12,6)+$B$4),BI71-$I71)))))</f>
        <v/>
      </c>
      <c r="BK71" s="68">
        <f>IF($U71=0,0,IF($F71=4,0,IF($F71=3,0,IF(OR(18&gt;$R71,BJ71&lt;=$I71),BJ71,BJ71-MIN(INT(ROUND(IF($F71=1,$C71*$J71,IF(FI71&gt;0,FI71*$K71,BJ71*$J71))*IF(18=$R71,$S71,12)/12,6)+$B$4),BJ71-$I71)))))</f>
        <v/>
      </c>
      <c r="BL71" s="68">
        <f>IF($U71=0,0,IF($F71=4,0,IF($F71=3,0,IF(OR(19&gt;$R71,BK71&lt;=$I71),BK71,BK71-MIN(INT(ROUND(IF($F71=1,$C71*$J71,IF(FJ71&gt;0,FJ71*$K71,BK71*$J71))*IF(19=$R71,$S71,12)/12,6)+$B$4),BK71-$I71)))))</f>
        <v/>
      </c>
      <c r="BM71" s="68">
        <f>IF($U71=0,0,IF($F71=4,0,IF($F71=3,0,IF(OR(20&gt;$R71,BL71&lt;=$I71),BL71,BL71-MIN(INT(ROUND(IF($F71=1,$C71*$J71,IF(FK71&gt;0,FK71*$K71,BL71*$J71))*IF(20=$R71,$S71,12)/12,6)+$B$4),BL71-$I71)))))</f>
        <v/>
      </c>
      <c r="BN71" s="68">
        <f>IF($U71=0,0,IF($F71=4,0,IF($F71=3,0,IF(OR(21&gt;$R71,BM71&lt;=$I71),BM71,BM71-MIN(INT(ROUND(IF($F71=1,$C71*$J71,IF(FL71&gt;0,FL71*$K71,BM71*$J71))*IF(21=$R71,$S71,12)/12,6)+$B$4),BM71-$I71)))))</f>
        <v/>
      </c>
      <c r="BO71" s="68">
        <f>IF($U71=0,0,IF($F71=4,0,IF($F71=3,0,IF(OR(22&gt;$R71,BN71&lt;=$I71),BN71,BN71-MIN(INT(ROUND(IF($F71=1,$C71*$J71,IF(FM71&gt;0,FM71*$K71,BN71*$J71))*IF(22=$R71,$S71,12)/12,6)+$B$4),BN71-$I71)))))</f>
        <v/>
      </c>
      <c r="BP71" s="68">
        <f>IF($U71=0,0,IF($F71=4,0,IF($F71=3,0,IF(OR(23&gt;$R71,BO71&lt;=$I71),BO71,BO71-MIN(INT(ROUND(IF($F71=1,$C71*$J71,IF(FN71&gt;0,FN71*$K71,BO71*$J71))*IF(23=$R71,$S71,12)/12,6)+$B$4),BO71-$I71)))))</f>
        <v/>
      </c>
      <c r="BQ71" s="68">
        <f>IF($U71=0,0,IF($F71=4,0,IF($F71=3,0,IF(OR(24&gt;$R71,BP71&lt;=$I71),BP71,BP71-MIN(INT(ROUND(IF($F71=1,$C71*$J71,IF(FO71&gt;0,FO71*$K71,BP71*$J71))*IF(24=$R71,$S71,12)/12,6)+$B$4),BP71-$I71)))))</f>
        <v/>
      </c>
      <c r="BR71" s="68">
        <f>IF($U71=0,0,IF($F71=4,0,IF($F71=3,0,IF(OR(25&gt;$R71,BQ71&lt;=$I71),BQ71,BQ71-MIN(INT(ROUND(IF($F71=1,$C71*$J71,IF(FP71&gt;0,FP71*$K71,BQ71*$J71))*IF(25=$R71,$S71,12)/12,6)+$B$4),BQ71-$I71)))))</f>
        <v/>
      </c>
      <c r="BS71" s="68">
        <f>IF($U71=0,0,IF($F71=4,0,IF($F71=3,0,IF(OR(26&gt;$R71,BR71&lt;=$I71),BR71,BR71-MIN(INT(ROUND(IF($F71=1,$C71*$J71,IF(FQ71&gt;0,FQ71*$K71,BR71*$J71))*IF(26=$R71,$S71,12)/12,6)+$B$4),BR71-$I71)))))</f>
        <v/>
      </c>
      <c r="BT71" s="68">
        <f>IF($U71=0,0,IF($F71=4,0,IF($F71=3,0,IF(OR(27&gt;$R71,BS71&lt;=$I71),BS71,BS71-MIN(INT(ROUND(IF($F71=1,$C71*$J71,IF(FR71&gt;0,FR71*$K71,BS71*$J71))*IF(27=$R71,$S71,12)/12,6)+$B$4),BS71-$I71)))))</f>
        <v/>
      </c>
      <c r="BU71" s="68">
        <f>IF($U71=0,0,IF($F71=4,0,IF($F71=3,0,IF(OR(28&gt;$R71,BT71&lt;=$I71),BT71,BT71-MIN(INT(ROUND(IF($F71=1,$C71*$J71,IF(FS71&gt;0,FS71*$K71,BT71*$J71))*IF(28=$R71,$S71,12)/12,6)+$B$4),BT71-$I71)))))</f>
        <v/>
      </c>
      <c r="BV71" s="68">
        <f>IF($U71=0,0,IF($F71=4,0,IF($F71=3,0,IF(OR(29&gt;$R71,BU71&lt;=$I71),BU71,BU71-MIN(INT(ROUND(IF($F71=1,$C71*$J71,IF(FT71&gt;0,FT71*$K71,BU71*$J71))*IF(29=$R71,$S71,12)/12,6)+$B$4),BU71-$I71)))))</f>
        <v/>
      </c>
      <c r="BW71" s="68">
        <f>IF($U71=0,0,IF($F71=4,0,IF($F71=3,0,IF(OR(30&gt;$R71,BV71&lt;=$I71),BV71,BV71-MIN(INT(ROUND(IF($F71=1,$C71*$J71,IF(FU71&gt;0,FU71*$K71,BV71*$J71))*IF(30=$R71,$S71,12)/12,6)+$B$4),BV71-$I71)))))</f>
        <v/>
      </c>
      <c r="BX71" s="68">
        <f>IF($U71=0,0,IF($F71=4,0,IF($F71=3,0,IF(OR(31&gt;$R71,BW71&lt;=$I71),BW71,BW71-MIN(INT(ROUND(IF($F71=1,$C71*$J71,IF(FV71&gt;0,FV71*$K71,BW71*$J71))*IF(31=$R71,$S71,12)/12,6)+$B$4),BW71-$I71)))))</f>
        <v/>
      </c>
      <c r="BY71" s="68">
        <f>IF($U71=0,0,IF($F71=4,0,IF($F71=3,0,IF(OR(32&gt;$R71,BX71&lt;=$I71),BX71,BX71-MIN(INT(ROUND(IF($F71=1,$C71*$J71,IF(FW71&gt;0,FW71*$K71,BX71*$J71))*IF(32=$R71,$S71,12)/12,6)+$B$4),BX71-$I71)))))</f>
        <v/>
      </c>
      <c r="BZ71" s="68">
        <f>IF($U71=0,0,IF($F71=4,0,IF($F71=3,0,IF(OR(33&gt;$R71,BY71&lt;=$I71),BY71,BY71-MIN(INT(ROUND(IF($F71=1,$C71*$J71,IF(FX71&gt;0,FX71*$K71,BY71*$J71))*IF(33=$R71,$S71,12)/12,6)+$B$4),BY71-$I71)))))</f>
        <v/>
      </c>
      <c r="CA71" s="68">
        <f>IF($U71=0,0,IF($F71=4,0,IF($F71=3,0,IF(OR(34&gt;$R71,BZ71&lt;=$I71),BZ71,BZ71-MIN(INT(ROUND(IF($F71=1,$C71*$J71,IF(FY71&gt;0,FY71*$K71,BZ71*$J71))*IF(34=$R71,$S71,12)/12,6)+$B$4),BZ71-$I71)))))</f>
        <v/>
      </c>
      <c r="CB71" s="68">
        <f>IF($U71=0,0,IF($F71=4,0,IF($F71=3,0,IF(OR(35&gt;$R71,CA71&lt;=$I71),CA71,CA71-MIN(INT(ROUND(IF($F71=1,$C71*$J71,IF(FZ71&gt;0,FZ71*$K71,CA71*$J71))*IF(35=$R71,$S71,12)/12,6)+$B$4),CA71-$I71)))))</f>
        <v/>
      </c>
      <c r="CC71" s="68">
        <f>IF($U71=0,0,IF($F71=4,0,IF($F71=3,0,IF(OR(36&gt;$R71,CB71&lt;=$I71),CB71,CB71-MIN(INT(ROUND(IF($F71=1,$C71*$J71,IF(GA71&gt;0,GA71*$K71,CB71*$J71))*IF(36=$R71,$S71,12)/12,6)+$B$4),CB71-$I71)))))</f>
        <v/>
      </c>
      <c r="CD71" s="68">
        <f>IF($U71=0,0,IF($F71=4,0,IF($F71=3,0,IF(OR(37&gt;$R71,CC71&lt;=$I71),CC71,CC71-MIN(INT(ROUND(IF($F71=1,$C71*$J71,IF(GB71&gt;0,GB71*$K71,CC71*$J71))*IF(37=$R71,$S71,12)/12,6)+$B$4),CC71-$I71)))))</f>
        <v/>
      </c>
      <c r="CE71" s="68">
        <f>IF($U71=0,0,IF($F71=4,0,IF($F71=3,0,IF(OR(38&gt;$R71,CD71&lt;=$I71),CD71,CD71-MIN(INT(ROUND(IF($F71=1,$C71*$J71,IF(GC71&gt;0,GC71*$K71,CD71*$J71))*IF(38=$R71,$S71,12)/12,6)+$B$4),CD71-$I71)))))</f>
        <v/>
      </c>
      <c r="CF71" s="68">
        <f>IF($U71=0,0,IF($F71=4,0,IF($F71=3,0,IF(OR(39&gt;$R71,CE71&lt;=$I71),CE71,CE71-MIN(INT(ROUND(IF($F71=1,$C71*$J71,IF(GD71&gt;0,GD71*$K71,CE71*$J71))*IF(39=$R71,$S71,12)/12,6)+$B$4),CE71-$I71)))))</f>
        <v/>
      </c>
      <c r="CG71" s="68">
        <f>IF($U71=0,0,IF($F71=4,0,IF($F71=3,0,IF(OR(40&gt;$R71,CF71&lt;=$I71),CF71,CF71-MIN(INT(ROUND(IF($F71=1,$C71*$J71,IF(GE71&gt;0,GE71*$K71,CF71*$J71))*IF(40=$R71,$S71,12)/12,6)+$B$4),CF71-$I71)))))</f>
        <v/>
      </c>
      <c r="CH71" s="68">
        <f>IF($U71=0,0,IF($F71=4,0,IF($F71=3,0,IF(OR(41&gt;$R71,CG71&lt;=$I71),CG71,CG71-MIN(INT(ROUND(IF($F71=1,$C71*$J71,IF(GF71&gt;0,GF71*$K71,CG71*$J71))*IF(41=$R71,$S71,12)/12,6)+$B$4),CG71-$I71)))))</f>
        <v/>
      </c>
      <c r="CI71" s="68">
        <f>IF($U71=0,0,IF($F71=4,0,IF($F71=3,0,IF(OR(42&gt;$R71,CH71&lt;=$I71),CH71,CH71-MIN(INT(ROUND(IF($F71=1,$C71*$J71,IF(GG71&gt;0,GG71*$K71,CH71*$J71))*IF(42=$R71,$S71,12)/12,6)+$B$4),CH71-$I71)))))</f>
        <v/>
      </c>
      <c r="CJ71" s="68">
        <f>IF($U71=0,0,IF($F71=4,0,IF($F71=3,0,IF(OR(43&gt;$R71,CI71&lt;=$I71),CI71,CI71-MIN(INT(ROUND(IF($F71=1,$C71*$J71,IF(GH71&gt;0,GH71*$K71,CI71*$J71))*IF(43=$R71,$S71,12)/12,6)+$B$4),CI71-$I71)))))</f>
        <v/>
      </c>
      <c r="CK71" s="68">
        <f>IF($U71=0,0,IF($F71=4,0,IF($F71=3,0,IF(OR(44&gt;$R71,CJ71&lt;=$I71),CJ71,CJ71-MIN(INT(ROUND(IF($F71=1,$C71*$J71,IF(GI71&gt;0,GI71*$K71,CJ71*$J71))*IF(44=$R71,$S71,12)/12,6)+$B$4),CJ71-$I71)))))</f>
        <v/>
      </c>
      <c r="CL71" s="68">
        <f>IF($U71=0,0,IF($F71=4,0,IF($F71=3,0,IF(OR(45&gt;$R71,CK71&lt;=$I71),CK71,CK71-MIN(INT(ROUND(IF($F71=1,$C71*$J71,IF(GJ71&gt;0,GJ71*$K71,CK71*$J71))*IF(45=$R71,$S71,12)/12,6)+$B$4),CK71-$I71)))))</f>
        <v/>
      </c>
      <c r="CM71" s="68">
        <f>IF($U71=0,0,IF($F71=4,0,IF($F71=3,0,IF(OR(46&gt;$R71,CL71&lt;=$I71),CL71,CL71-MIN(INT(ROUND(IF($F71=1,$C71*$J71,IF(GK71&gt;0,GK71*$K71,CL71*$J71))*IF(46=$R71,$S71,12)/12,6)+$B$4),CL71-$I71)))))</f>
        <v/>
      </c>
      <c r="CN71" s="68">
        <f>IF($U71=0,0,IF($F71=4,0,IF($F71=3,0,IF(OR(47&gt;$R71,CM71&lt;=$I71),CM71,CM71-MIN(INT(ROUND(IF($F71=1,$C71*$J71,IF(GL71&gt;0,GL71*$K71,CM71*$J71))*IF(47=$R71,$S71,12)/12,6)+$B$4),CM71-$I71)))))</f>
        <v/>
      </c>
      <c r="CO71" s="68">
        <f>IF($U71=0,0,IF($F71=4,0,IF($F71=3,0,IF(OR(48&gt;$R71,CN71&lt;=$I71),CN71,CN71-MIN(INT(ROUND(IF($F71=1,$C71*$J71,IF(GM71&gt;0,GM71*$K71,CN71*$J71))*IF(48=$R71,$S71,12)/12,6)+$B$4),CN71-$I71)))))</f>
        <v/>
      </c>
      <c r="CP71" s="68">
        <f>IF($U71=0,0,IF($F71=4,0,IF($F71=3,0,IF(OR(49&gt;$R71,CO71&lt;=$I71),CO71,CO71-MIN(INT(ROUND(IF($F71=1,$C71*$J71,IF(GN71&gt;0,GN71*$K71,CO71*$J71))*IF(49=$R71,$S71,12)/12,6)+$B$4),CO71-$I71)))))</f>
        <v/>
      </c>
      <c r="CQ71" s="68">
        <f>IF($U71=0,0,IF($F71=4,0,IF($F71=3,0,IF(OR(50&gt;$R71,CP71&lt;=$I71),CP71,CP71-MIN(INT(ROUND(IF($F71=1,$C71*$J71,IF(GO71&gt;0,GO71*$K71,CP71*$J71))*IF(50=$R71,$S71,12)/12,6)+$B$4),CP71-$I71)))))</f>
        <v/>
      </c>
      <c r="CR71" s="68">
        <f>IF($U71=0,0,IF($F71=4,0,IF($F71=3,0,IF(OR(51&gt;$R71,CQ71&lt;=$I71),CQ71,CQ71-MIN(INT(ROUND(IF($F71=1,$C71*$J71,IF(GP71&gt;0,GP71*$K71,CQ71*$J71))*IF(51=$R71,$S71,12)/12,6)+$B$4),CQ71-$I71)))))</f>
        <v/>
      </c>
      <c r="CS71" s="68">
        <f>IF($U71=0,0,IF($F71=4,0,IF($F71=3,0,IF(OR(52&gt;$R71,CR71&lt;=$I71),CR71,CR71-MIN(INT(ROUND(IF($F71=1,$C71*$J71,IF(GQ71&gt;0,GQ71*$K71,CR71*$J71))*IF(52=$R71,$S71,12)/12,6)+$B$4),CR71-$I71)))))</f>
        <v/>
      </c>
      <c r="CT71" s="68">
        <f>IF($U71=0,0,IF($F71=4,0,IF($F71=3,0,IF(OR(53&gt;$R71,CS71&lt;=$I71),CS71,CS71-MIN(INT(ROUND(IF($F71=1,$C71*$J71,IF(GR71&gt;0,GR71*$K71,CS71*$J71))*IF(53=$R71,$S71,12)/12,6)+$B$4),CS71-$I71)))))</f>
        <v/>
      </c>
      <c r="CU71" s="68">
        <f>IF($U71=0,0,IF($F71=4,0,IF($F71=3,0,IF(OR(54&gt;$R71,CT71&lt;=$I71),CT71,CT71-MIN(INT(ROUND(IF($F71=1,$C71*$J71,IF(GS71&gt;0,GS71*$K71,CT71*$J71))*IF(54=$R71,$S71,12)/12,6)+$B$4),CT71-$I71)))))</f>
        <v/>
      </c>
      <c r="CV71" s="68">
        <f>IF($U71=0,0,IF($F71=4,0,IF($F71=3,0,IF(OR(55&gt;$R71,CU71&lt;=$I71),CU71,CU71-MIN(INT(ROUND(IF($F71=1,$C71*$J71,IF(GT71&gt;0,GT71*$K71,CU71*$J71))*IF(55=$R71,$S71,12)/12,6)+$B$4),CU71-$I71)))))</f>
        <v/>
      </c>
      <c r="CW71" s="68">
        <f>IF($U71=0,0,IF($F71=4,0,IF($F71=3,0,IF(OR(56&gt;$R71,CV71&lt;=$I71),CV71,CV71-MIN(INT(ROUND(IF($F71=1,$C71*$J71,IF(GU71&gt;0,GU71*$K71,CV71*$J71))*IF(56=$R71,$S71,12)/12,6)+$B$4),CV71-$I71)))))</f>
        <v/>
      </c>
      <c r="CX71" s="68">
        <f>IF($U71=0,0,IF($F71=4,0,IF($F71=3,0,IF(OR(57&gt;$R71,CW71&lt;=$I71),CW71,CW71-MIN(INT(ROUND(IF($F71=1,$C71*$J71,IF(GV71&gt;0,GV71*$K71,CW71*$J71))*IF(57=$R71,$S71,12)/12,6)+$B$4),CW71-$I71)))))</f>
        <v/>
      </c>
      <c r="CY71" s="68">
        <f>IF($U71=0,0,IF($F71=4,0,IF($F71=3,0,IF(OR(58&gt;$R71,CX71&lt;=$I71),CX71,CX71-MIN(INT(ROUND(IF($F71=1,$C71*$J71,IF(GW71&gt;0,GW71*$K71,CX71*$J71))*IF(58=$R71,$S71,12)/12,6)+$B$4),CX71-$I71)))))</f>
        <v/>
      </c>
      <c r="CZ71" s="68">
        <f>IF($U71=0,0,IF($F71=4,0,IF($F71=3,0,IF(OR(59&gt;$R71,CY71&lt;=$I71),CY71,CY71-MIN(INT(ROUND(IF($F71=1,$C71*$J71,IF(GX71&gt;0,GX71*$K71,CY71*$J71))*IF(59=$R71,$S71,12)/12,6)+$B$4),CY71-$I71)))))</f>
        <v/>
      </c>
      <c r="DA71" s="68">
        <f>IF($U71=0,0,IF($F71=4,0,IF($F71=3,0,IF(OR(60&gt;$R71,CZ71&lt;=$I71),CZ71,CZ71-MIN(INT(ROUND(IF($F71=1,$C71*$J71,IF(GY71&gt;0,GY71*$K71,CZ71*$J71))*IF(60=$R71,$S71,12)/12,6)+$B$4),CZ71-$I71)))))</f>
        <v/>
      </c>
      <c r="DB71" s="68">
        <f>IF($U71=0,0,IF($F71=4,0,IF($F71=3,0,IF(OR(61&gt;$R71,DA71&lt;=$I71),DA71,DA71-MIN(INT(ROUND(IF($F71=1,$C71*$J71,IF(GZ71&gt;0,GZ71*$K71,DA71*$J71))*IF(61=$R71,$S71,12)/12,6)+$B$4),DA71-$I71)))))</f>
        <v/>
      </c>
      <c r="DC71" s="68">
        <f>IF($U71=0,0,IF($F71=4,0,IF($F71=3,0,IF(OR(62&gt;$R71,DB71&lt;=$I71),DB71,DB71-MIN(INT(ROUND(IF($F71=1,$C71*$J71,IF(HA71&gt;0,HA71*$K71,DB71*$J71))*IF(62=$R71,$S71,12)/12,6)+$B$4),DB71-$I71)))))</f>
        <v/>
      </c>
      <c r="DD71" s="68">
        <f>IF($U71=0,0,IF($F71=4,0,IF($F71=3,0,IF(OR(63&gt;$R71,DC71&lt;=$I71),DC71,DC71-MIN(INT(ROUND(IF($F71=1,$C71*$J71,IF(HB71&gt;0,HB71*$K71,DC71*$J71))*IF(63=$R71,$S71,12)/12,6)+$B$4),DC71-$I71)))))</f>
        <v/>
      </c>
      <c r="DE71" s="68">
        <f>IF($U71=0,0,IF($F71=4,0,IF($F71=3,0,IF(OR(64&gt;$R71,DD71&lt;=$I71),DD71,DD71-MIN(INT(ROUND(IF($F71=1,$C71*$J71,IF(HC71&gt;0,HC71*$K71,DD71*$J71))*IF(64=$R71,$S71,12)/12,6)+$B$4),DD71-$I71)))))</f>
        <v/>
      </c>
      <c r="DF71" s="68">
        <f>IF($U71=0,0,IF($F71=4,0,IF($F71=3,0,IF(OR(65&gt;$R71,DE71&lt;=$I71),DE71,DE71-MIN(INT(ROUND(IF($F71=1,$C71*$J71,IF(HD71&gt;0,HD71*$K71,DE71*$J71))*IF(65=$R71,$S71,12)/12,6)+$B$4),DE71-$I71)))))</f>
        <v/>
      </c>
      <c r="DG71" s="68">
        <f>IF($U71=0,0,IF($F71=4,0,IF($F71=3,0,IF(OR(66&gt;$R71,DF71&lt;=$I71),DF71,DF71-MIN(INT(ROUND(IF($F71=1,$C71*$J71,IF(HE71&gt;0,HE71*$K71,DF71*$J71))*IF(66=$R71,$S71,12)/12,6)+$B$4),DF71-$I71)))))</f>
        <v/>
      </c>
      <c r="DH71" s="68">
        <f>IF($U71=0,0,IF($F71=4,0,IF($F71=3,0,IF(OR(67&gt;$R71,DG71&lt;=$I71),DG71,DG71-MIN(INT(ROUND(IF($F71=1,$C71*$J71,IF(HF71&gt;0,HF71*$K71,DG71*$J71))*IF(67=$R71,$S71,12)/12,6)+$B$4),DG71-$I71)))))</f>
        <v/>
      </c>
      <c r="DI71" s="68">
        <f>IF($U71=0,0,IF($F71=4,0,IF($F71=3,0,IF(OR(68&gt;$R71,DH71&lt;=$I71),DH71,DH71-MIN(INT(ROUND(IF($F71=1,$C71*$J71,IF(HG71&gt;0,HG71*$K71,DH71*$J71))*IF(68=$R71,$S71,12)/12,6)+$B$4),DH71-$I71)))))</f>
        <v/>
      </c>
      <c r="DJ71" s="68">
        <f>IF($U71=0,0,IF($F71=4,0,IF($F71=3,0,IF(OR(69&gt;$R71,DI71&lt;=$I71),DI71,DI71-MIN(INT(ROUND(IF($F71=1,$C71*$J71,IF(HH71&gt;0,HH71*$K71,DI71*$J71))*IF(69=$R71,$S71,12)/12,6)+$B$4),DI71-$I71)))))</f>
        <v/>
      </c>
      <c r="DK71" s="68">
        <f>IF($U71=0,0,IF($F71=4,0,IF($F71=3,0,IF(OR(70&gt;$R71,DJ71&lt;=$I71),DJ71,DJ71-MIN(INT(ROUND(IF($F71=1,$C71*$J71,IF(HI71&gt;0,HI71*$K71,DJ71*$J71))*IF(70=$R71,$S71,12)/12,6)+$B$4),DJ71-$I71)))))</f>
        <v/>
      </c>
      <c r="DL71" s="68">
        <f>IF($U71=0,0,IF($F71=4,0,IF($F71=3,0,IF(OR(71&gt;$R71,DK71&lt;=$I71),DK71,DK71-MIN(INT(ROUND(IF($F71=1,$C71*$J71,IF(HJ71&gt;0,HJ71*$K71,DK71*$J71))*IF(71=$R71,$S71,12)/12,6)+$B$4),DK71-$I71)))))</f>
        <v/>
      </c>
      <c r="DM71" s="68">
        <f>IF($U71=0,0,IF($F71=4,0,IF($F71=3,0,IF(OR(72&gt;$R71,DL71&lt;=$I71),DL71,DL71-MIN(INT(ROUND(IF($F71=1,$C71*$J71,IF(HK71&gt;0,HK71*$K71,DL71*$J71))*IF(72=$R71,$S71,12)/12,6)+$B$4),DL71-$I71)))))</f>
        <v/>
      </c>
      <c r="DN71" s="68">
        <f>IF($U71=0,0,IF($F71=4,0,IF($F71=3,0,IF(OR(73&gt;$R71,DM71&lt;=$I71),DM71,DM71-MIN(INT(ROUND(IF($F71=1,$C71*$J71,IF(HL71&gt;0,HL71*$K71,DM71*$J71))*IF(73=$R71,$S71,12)/12,6)+$B$4),DM71-$I71)))))</f>
        <v/>
      </c>
      <c r="DO71" s="68">
        <f>IF($U71=0,0,IF($F71=4,0,IF($F71=3,0,IF(OR(74&gt;$R71,DN71&lt;=$I71),DN71,DN71-MIN(INT(ROUND(IF($F71=1,$C71*$J71,IF(HM71&gt;0,HM71*$K71,DN71*$J71))*IF(74=$R71,$S71,12)/12,6)+$B$4),DN71-$I71)))))</f>
        <v/>
      </c>
      <c r="DP71" s="68">
        <f>IF($U71=0,0,IF($F71=4,0,IF($F71=3,0,IF(OR(75&gt;$R71,DO71&lt;=$I71),DO71,DO71-MIN(INT(ROUND(IF($F71=1,$C71*$J71,IF(HN71&gt;0,HN71*$K71,DO71*$J71))*IF(75=$R71,$S71,12)/12,6)+$B$4),DO71-$I71)))))</f>
        <v/>
      </c>
      <c r="DQ71" s="68">
        <f>IF($U71=0,0,IF($F71=4,0,IF($F71=3,0,IF(OR(76&gt;$R71,DP71&lt;=$I71),DP71,DP71-MIN(INT(ROUND(IF($F71=1,$C71*$J71,IF(HO71&gt;0,HO71*$K71,DP71*$J71))*IF(76=$R71,$S71,12)/12,6)+$B$4),DP71-$I71)))))</f>
        <v/>
      </c>
      <c r="DR71" s="68">
        <f>IF($U71=0,0,IF($F71=4,0,IF($F71=3,0,IF(OR(77&gt;$R71,DQ71&lt;=$I71),DQ71,DQ71-MIN(INT(ROUND(IF($F71=1,$C71*$J71,IF(HP71&gt;0,HP71*$K71,DQ71*$J71))*IF(77=$R71,$S71,12)/12,6)+$B$4),DQ71-$I71)))))</f>
        <v/>
      </c>
      <c r="DS71" s="68">
        <f>IF($U71=0,0,IF($F71=4,0,IF($F71=3,0,IF(OR(78&gt;$R71,DR71&lt;=$I71),DR71,DR71-MIN(INT(ROUND(IF($F71=1,$C71*$J71,IF(HQ71&gt;0,HQ71*$K71,DR71*$J71))*IF(78=$R71,$S71,12)/12,6)+$B$4),DR71-$I71)))))</f>
        <v/>
      </c>
      <c r="DT71" s="68">
        <f>IF($U71=0,0,IF($F71=4,0,IF($F71=3,0,IF(OR(79&gt;$R71,DS71&lt;=$I71),DS71,DS71-MIN(INT(ROUND(IF($F71=1,$C71*$J71,IF(HR71&gt;0,HR71*$K71,DS71*$J71))*IF(79=$R71,$S71,12)/12,6)+$B$4),DS71-$I71)))))</f>
        <v/>
      </c>
      <c r="DU71" s="68">
        <f>IF($U71=0,0,IF($F71=4,0,IF($F71=3,0,IF(OR(80&gt;$R71,DT71&lt;=$I71),DT71,DT71-MIN(INT(ROUND(IF($F71=1,$C71*$J71,IF(HS71&gt;0,HS71*$K71,DT71*$J71))*IF(80=$R71,$S71,12)/12,6)+$B$4),DT71-$I71)))))</f>
        <v/>
      </c>
      <c r="DV71" s="68">
        <f>IF($U71=0,0,IF($F71=4,0,IF($F71=3,0,IF(OR(81&gt;$R71,DU71&lt;=$I71),DU71,DU71-MIN(INT(ROUND(IF($F71=1,$C71*$J71,IF(HT71&gt;0,HT71*$K71,DU71*$J71))*IF(81=$R71,$S71,12)/12,6)+$B$4),DU71-$I71)))))</f>
        <v/>
      </c>
      <c r="DW71" s="68">
        <f>IF($U71=0,0,IF($F71=4,0,IF($F71=3,0,IF(OR(82&gt;$R71,DV71&lt;=$I71),DV71,DV71-MIN(INT(ROUND(IF($F71=1,$C71*$J71,IF(HU71&gt;0,HU71*$K71,DV71*$J71))*IF(82=$R71,$S71,12)/12,6)+$B$4),DV71-$I71)))))</f>
        <v/>
      </c>
      <c r="DX71" s="68">
        <f>IF($U71=0,0,IF($F71=4,0,IF($F71=3,0,IF(OR(83&gt;$R71,DW71&lt;=$I71),DW71,DW71-MIN(INT(ROUND(IF($F71=1,$C71*$J71,IF(HV71&gt;0,HV71*$K71,DW71*$J71))*IF(83=$R71,$S71,12)/12,6)+$B$4),DW71-$I71)))))</f>
        <v/>
      </c>
      <c r="DY71" s="68">
        <f>IF($U71=0,0,IF($F71=4,0,IF($F71=3,0,IF(OR(84&gt;$R71,DX71&lt;=$I71),DX71,DX71-MIN(INT(ROUND(IF($F71=1,$C71*$J71,IF(HW71&gt;0,HW71*$K71,DX71*$J71))*IF(84=$R71,$S71,12)/12,6)+$B$4),DX71-$I71)))))</f>
        <v/>
      </c>
      <c r="DZ71" s="68">
        <f>IF($U71=0,0,IF($F71=4,0,IF($F71=3,0,IF(OR(85&gt;$R71,DY71&lt;=$I71),DY71,DY71-MIN(INT(ROUND(IF($F71=1,$C71*$J71,IF(HX71&gt;0,HX71*$K71,DY71*$J71))*IF(85=$R71,$S71,12)/12,6)+$B$4),DY71-$I71)))))</f>
        <v/>
      </c>
      <c r="EA71" s="68">
        <f>IF($U71=0,0,IF($F71=4,0,IF($F71=3,0,IF(OR(86&gt;$R71,DZ71&lt;=$I71),DZ71,DZ71-MIN(INT(ROUND(IF($F71=1,$C71*$J71,IF(HY71&gt;0,HY71*$K71,DZ71*$J71))*IF(86=$R71,$S71,12)/12,6)+$B$4),DZ71-$I71)))))</f>
        <v/>
      </c>
      <c r="EB71" s="68">
        <f>IF($U71=0,0,IF($F71=4,0,IF($F71=3,0,IF(OR(87&gt;$R71,EA71&lt;=$I71),EA71,EA71-MIN(INT(ROUND(IF($F71=1,$C71*$J71,IF(HZ71&gt;0,HZ71*$K71,EA71*$J71))*IF(87=$R71,$S71,12)/12,6)+$B$4),EA71-$I71)))))</f>
        <v/>
      </c>
      <c r="EC71" s="68">
        <f>IF($U71=0,0,IF($F71=4,0,IF($F71=3,0,IF(OR(88&gt;$R71,EB71&lt;=$I71),EB71,EB71-MIN(INT(ROUND(IF($F71=1,$C71*$J71,IF(IA71&gt;0,IA71*$K71,EB71*$J71))*IF(88=$R71,$S71,12)/12,6)+$B$4),EB71-$I71)))))</f>
        <v/>
      </c>
      <c r="ED71" s="68">
        <f>IF($U71=0,0,IF($F71=4,0,IF($F71=3,0,IF(OR(89&gt;$R71,EC71&lt;=$I71),EC71,EC71-MIN(INT(ROUND(IF($F71=1,$C71*$J71,IF(IB71&gt;0,IB71*$K71,EC71*$J71))*IF(89=$R71,$S71,12)/12,6)+$B$4),EC71-$I71)))))</f>
        <v/>
      </c>
      <c r="EE71" s="68">
        <f>IF($U71=0,0,IF($F71=4,0,IF($F71=3,0,IF(OR(90&gt;$R71,ED71&lt;=$I71),ED71,ED71-MIN(INT(ROUND(IF($F71=1,$C71*$J71,IF(IC71&gt;0,IC71*$K71,ED71*$J71))*IF(90=$R71,$S71,12)/12,6)+$B$4),ED71-$I71)))))</f>
        <v/>
      </c>
      <c r="EF71" s="68">
        <f>IF($U71=0,0,IF($F71=4,0,IF($F71=3,0,IF(OR(91&gt;$R71,EE71&lt;=$I71),EE71,EE71-MIN(INT(ROUND(IF($F71=1,$C71*$J71,IF(ID71&gt;0,ID71*$K71,EE71*$J71))*IF(91=$R71,$S71,12)/12,6)+$B$4),EE71-$I71)))))</f>
        <v/>
      </c>
      <c r="EG71" s="68">
        <f>IF($U71=0,0,IF($F71=4,0,IF($F71=3,0,IF(OR(92&gt;$R71,EF71&lt;=$I71),EF71,EF71-MIN(INT(ROUND(IF($F71=1,$C71*$J71,IF(IE71&gt;0,IE71*$K71,EF71*$J71))*IF(92=$R71,$S71,12)/12,6)+$B$4),EF71-$I71)))))</f>
        <v/>
      </c>
      <c r="EH71" s="68">
        <f>IF($U71=0,0,IF($F71=4,0,IF($F71=3,0,IF(OR(93&gt;$R71,EG71&lt;=$I71),EG71,EG71-MIN(INT(ROUND(IF($F71=1,$C71*$J71,IF(IF71&gt;0,IF71*$K71,EG71*$J71))*IF(93=$R71,$S71,12)/12,6)+$B$4),EG71-$I71)))))</f>
        <v/>
      </c>
      <c r="EI71" s="68">
        <f>IF($U71=0,0,IF($F71=4,0,IF($F71=3,0,IF(OR(94&gt;$R71,EH71&lt;=$I71),EH71,EH71-MIN(INT(ROUND(IF($F71=1,$C71*$J71,IF(IG71&gt;0,IG71*$K71,EH71*$J71))*IF(94=$R71,$S71,12)/12,6)+$B$4),EH71-$I71)))))</f>
        <v/>
      </c>
      <c r="EJ71" s="68">
        <f>IF($U71=0,0,IF($F71=4,0,IF($F71=3,0,IF(OR(95&gt;$R71,EI71&lt;=$I71),EI71,EI71-MIN(INT(ROUND(IF($F71=1,$C71*$J71,IF(IH71&gt;0,IH71*$K71,EI71*$J71))*IF(95=$R71,$S71,12)/12,6)+$B$4),EI71-$I71)))))</f>
        <v/>
      </c>
      <c r="EK71" s="68">
        <f>IF($U71=0,0,IF($F71=4,0,IF($F71=3,0,IF(OR(96&gt;$R71,EJ71&lt;=$I71),EJ71,EJ71-MIN(INT(ROUND(IF($F71=1,$C71*$J71,IF(II71&gt;0,II71*$K71,EJ71*$J71))*IF(96=$R71,$S71,12)/12,6)+$B$4),EJ71-$I71)))))</f>
        <v/>
      </c>
      <c r="EL71" s="68">
        <f>IF($U71=0,0,IF($F71=4,0,IF($F71=3,0,IF(OR(97&gt;$R71,EK71&lt;=$I71),EK71,EK71-MIN(INT(ROUND(IF($F71=1,$C71*$J71,IF(IJ71&gt;0,IJ71*$K71,EK71*$J71))*IF(97=$R71,$S71,12)/12,6)+$B$4),EK71-$I71)))))</f>
        <v/>
      </c>
      <c r="EM71" s="68">
        <f>IF($U71=0,0,IF($F71=4,0,IF($F71=3,0,IF(OR(98&gt;$R71,EL71&lt;=$I71),EL71,EL71-MIN(INT(ROUND(IF($F71=1,$C71*$J71,IF(IK71&gt;0,IK71*$K71,EL71*$J71))*IF(98=$R71,$S71,12)/12,6)+$B$4),EL71-$I71)))))</f>
        <v/>
      </c>
      <c r="EN71" s="68">
        <f>IF($U71=0,0,IF($F71=4,0,IF($F71=3,0,IF(OR(99&gt;$R71,EM71&lt;=$I71),EM71,EM71-MIN(INT(ROUND(IF($F71=1,$C71*$J71,IF(IL71&gt;0,IL71*$K71,EM71*$J71))*IF(99=$R71,$S71,12)/12,6)+$B$4),EM71-$I71)))))</f>
        <v/>
      </c>
      <c r="EO71" s="68">
        <f>IF($U71=0,0,IF($F71=4,0,IF($F71=3,0,IF(OR(100&gt;$R71,EN71&lt;=$I71),EN71,EN71-MIN(INT(ROUND(IF($F71=1,$C71*$J71,IF(IM71&gt;0,IM71*$K71,EN71*$J71))*IF(100=$R71,$S71,12)/12,6)+$B$4),EN71-$I71)))))</f>
        <v/>
      </c>
      <c r="EP71" s="68">
        <f>IF($U71=0,0,IF($F71=4,0,IF($F71=3,0,IF(OR(101&gt;$R71,EO71&lt;=$I71),EO71,EO71-MIN(INT(ROUND(IF($F71=1,$C71*$J71,IF(IN71&gt;0,IN71*$K71,EO71*$J71))*IF(101=$R71,$S71,12)/12,6)+$B$4),EO71-$I71)))))</f>
        <v/>
      </c>
      <c r="EQ71" s="68" t="n"/>
      <c r="ER71" s="68">
        <f>IF(OR($U71=0,$F71&lt;&gt;2),0,IF(ROUND(AS71*$J71,6)&lt;ROUND($M71,6),AS71,0))</f>
        <v/>
      </c>
      <c r="ES71" s="68">
        <f>IF(OR($U71=0,$F71&lt;&gt;2),0,IF(ER71&gt;0,ER71,IF(ROUND(AT71*$J71,6)&lt;ROUND($M71,6),AT71,0)))</f>
        <v/>
      </c>
      <c r="ET71" s="68">
        <f>IF(OR($U71=0,$F71&lt;&gt;2),0,IF(ES71&gt;0,ES71,IF(ROUND(AU71*$J71,6)&lt;ROUND($M71,6),AU71,0)))</f>
        <v/>
      </c>
      <c r="EU71" s="68">
        <f>IF(OR($U71=0,$F71&lt;&gt;2),0,IF(ET71&gt;0,ET71,IF(ROUND(AV71*$J71,6)&lt;ROUND($M71,6),AV71,0)))</f>
        <v/>
      </c>
      <c r="EV71" s="68">
        <f>IF(OR($U71=0,$F71&lt;&gt;2),0,IF(EU71&gt;0,EU71,IF(ROUND(AW71*$J71,6)&lt;ROUND($M71,6),AW71,0)))</f>
        <v/>
      </c>
      <c r="EW71" s="68">
        <f>IF(OR($U71=0,$F71&lt;&gt;2),0,IF(EV71&gt;0,EV71,IF(ROUND(AX71*$J71,6)&lt;ROUND($M71,6),AX71,0)))</f>
        <v/>
      </c>
      <c r="EX71" s="68">
        <f>IF(OR($U71=0,$F71&lt;&gt;2),0,IF(EW71&gt;0,EW71,IF(ROUND(AY71*$J71,6)&lt;ROUND($M71,6),AY71,0)))</f>
        <v/>
      </c>
      <c r="EY71" s="68">
        <f>IF(OR($U71=0,$F71&lt;&gt;2),0,IF(EX71&gt;0,EX71,IF(ROUND(AZ71*$J71,6)&lt;ROUND($M71,6),AZ71,0)))</f>
        <v/>
      </c>
      <c r="EZ71" s="68">
        <f>IF(OR($U71=0,$F71&lt;&gt;2),0,IF(EY71&gt;0,EY71,IF(ROUND(BA71*$J71,6)&lt;ROUND($M71,6),BA71,0)))</f>
        <v/>
      </c>
      <c r="FA71" s="68">
        <f>IF(OR($U71=0,$F71&lt;&gt;2),0,IF(EZ71&gt;0,EZ71,IF(ROUND(BB71*$J71,6)&lt;ROUND($M71,6),BB71,0)))</f>
        <v/>
      </c>
      <c r="FB71" s="68">
        <f>IF(OR($U71=0,$F71&lt;&gt;2),0,IF(FA71&gt;0,FA71,IF(ROUND(BC71*$J71,6)&lt;ROUND($M71,6),BC71,0)))</f>
        <v/>
      </c>
      <c r="FC71" s="68">
        <f>IF(OR($U71=0,$F71&lt;&gt;2),0,IF(FB71&gt;0,FB71,IF(ROUND(BD71*$J71,6)&lt;ROUND($M71,6),BD71,0)))</f>
        <v/>
      </c>
      <c r="FD71" s="68">
        <f>IF(OR($U71=0,$F71&lt;&gt;2),0,IF(FC71&gt;0,FC71,IF(ROUND(BE71*$J71,6)&lt;ROUND($M71,6),BE71,0)))</f>
        <v/>
      </c>
      <c r="FE71" s="68">
        <f>IF(OR($U71=0,$F71&lt;&gt;2),0,IF(FD71&gt;0,FD71,IF(ROUND(BF71*$J71,6)&lt;ROUND($M71,6),BF71,0)))</f>
        <v/>
      </c>
      <c r="FF71" s="68">
        <f>IF(OR($U71=0,$F71&lt;&gt;2),0,IF(FE71&gt;0,FE71,IF(ROUND(BG71*$J71,6)&lt;ROUND($M71,6),BG71,0)))</f>
        <v/>
      </c>
      <c r="FG71" s="68">
        <f>IF(OR($U71=0,$F71&lt;&gt;2),0,IF(FF71&gt;0,FF71,IF(ROUND(BH71*$J71,6)&lt;ROUND($M71,6),BH71,0)))</f>
        <v/>
      </c>
      <c r="FH71" s="68">
        <f>IF(OR($U71=0,$F71&lt;&gt;2),0,IF(FG71&gt;0,FG71,IF(ROUND(BI71*$J71,6)&lt;ROUND($M71,6),BI71,0)))</f>
        <v/>
      </c>
      <c r="FI71" s="68">
        <f>IF(OR($U71=0,$F71&lt;&gt;2),0,IF(FH71&gt;0,FH71,IF(ROUND(BJ71*$J71,6)&lt;ROUND($M71,6),BJ71,0)))</f>
        <v/>
      </c>
      <c r="FJ71" s="68">
        <f>IF(OR($U71=0,$F71&lt;&gt;2),0,IF(FI71&gt;0,FI71,IF(ROUND(BK71*$J71,6)&lt;ROUND($M71,6),BK71,0)))</f>
        <v/>
      </c>
      <c r="FK71" s="68">
        <f>IF(OR($U71=0,$F71&lt;&gt;2),0,IF(FJ71&gt;0,FJ71,IF(ROUND(BL71*$J71,6)&lt;ROUND($M71,6),BL71,0)))</f>
        <v/>
      </c>
      <c r="FL71" s="68">
        <f>IF(OR($U71=0,$F71&lt;&gt;2),0,IF(FK71&gt;0,FK71,IF(ROUND(BM71*$J71,6)&lt;ROUND($M71,6),BM71,0)))</f>
        <v/>
      </c>
      <c r="FM71" s="68">
        <f>IF(OR($U71=0,$F71&lt;&gt;2),0,IF(FL71&gt;0,FL71,IF(ROUND(BN71*$J71,6)&lt;ROUND($M71,6),BN71,0)))</f>
        <v/>
      </c>
      <c r="FN71" s="68">
        <f>IF(OR($U71=0,$F71&lt;&gt;2),0,IF(FM71&gt;0,FM71,IF(ROUND(BO71*$J71,6)&lt;ROUND($M71,6),BO71,0)))</f>
        <v/>
      </c>
      <c r="FO71" s="68">
        <f>IF(OR($U71=0,$F71&lt;&gt;2),0,IF(FN71&gt;0,FN71,IF(ROUND(BP71*$J71,6)&lt;ROUND($M71,6),BP71,0)))</f>
        <v/>
      </c>
      <c r="FP71" s="68">
        <f>IF(OR($U71=0,$F71&lt;&gt;2),0,IF(FO71&gt;0,FO71,IF(ROUND(BQ71*$J71,6)&lt;ROUND($M71,6),BQ71,0)))</f>
        <v/>
      </c>
      <c r="FQ71" s="68">
        <f>IF(OR($U71=0,$F71&lt;&gt;2),0,IF(FP71&gt;0,FP71,IF(ROUND(BR71*$J71,6)&lt;ROUND($M71,6),BR71,0)))</f>
        <v/>
      </c>
      <c r="FR71" s="68">
        <f>IF(OR($U71=0,$F71&lt;&gt;2),0,IF(FQ71&gt;0,FQ71,IF(ROUND(BS71*$J71,6)&lt;ROUND($M71,6),BS71,0)))</f>
        <v/>
      </c>
      <c r="FS71" s="68">
        <f>IF(OR($U71=0,$F71&lt;&gt;2),0,IF(FR71&gt;0,FR71,IF(ROUND(BT71*$J71,6)&lt;ROUND($M71,6),BT71,0)))</f>
        <v/>
      </c>
      <c r="FT71" s="68">
        <f>IF(OR($U71=0,$F71&lt;&gt;2),0,IF(FS71&gt;0,FS71,IF(ROUND(BU71*$J71,6)&lt;ROUND($M71,6),BU71,0)))</f>
        <v/>
      </c>
      <c r="FU71" s="68">
        <f>IF(OR($U71=0,$F71&lt;&gt;2),0,IF(FT71&gt;0,FT71,IF(ROUND(BV71*$J71,6)&lt;ROUND($M71,6),BV71,0)))</f>
        <v/>
      </c>
      <c r="FV71" s="68">
        <f>IF(OR($U71=0,$F71&lt;&gt;2),0,IF(FU71&gt;0,FU71,IF(ROUND(BW71*$J71,6)&lt;ROUND($M71,6),BW71,0)))</f>
        <v/>
      </c>
      <c r="FW71" s="68">
        <f>IF(OR($U71=0,$F71&lt;&gt;2),0,IF(FV71&gt;0,FV71,IF(ROUND(BX71*$J71,6)&lt;ROUND($M71,6),BX71,0)))</f>
        <v/>
      </c>
      <c r="FX71" s="68">
        <f>IF(OR($U71=0,$F71&lt;&gt;2),0,IF(FW71&gt;0,FW71,IF(ROUND(BY71*$J71,6)&lt;ROUND($M71,6),BY71,0)))</f>
        <v/>
      </c>
      <c r="FY71" s="68">
        <f>IF(OR($U71=0,$F71&lt;&gt;2),0,IF(FX71&gt;0,FX71,IF(ROUND(BZ71*$J71,6)&lt;ROUND($M71,6),BZ71,0)))</f>
        <v/>
      </c>
      <c r="FZ71" s="68">
        <f>IF(OR($U71=0,$F71&lt;&gt;2),0,IF(FY71&gt;0,FY71,IF(ROUND(CA71*$J71,6)&lt;ROUND($M71,6),CA71,0)))</f>
        <v/>
      </c>
      <c r="GA71" s="68">
        <f>IF(OR($U71=0,$F71&lt;&gt;2),0,IF(FZ71&gt;0,FZ71,IF(ROUND(CB71*$J71,6)&lt;ROUND($M71,6),CB71,0)))</f>
        <v/>
      </c>
      <c r="GB71" s="68">
        <f>IF(OR($U71=0,$F71&lt;&gt;2),0,IF(GA71&gt;0,GA71,IF(ROUND(CC71*$J71,6)&lt;ROUND($M71,6),CC71,0)))</f>
        <v/>
      </c>
      <c r="GC71" s="68">
        <f>IF(OR($U71=0,$F71&lt;&gt;2),0,IF(GB71&gt;0,GB71,IF(ROUND(CD71*$J71,6)&lt;ROUND($M71,6),CD71,0)))</f>
        <v/>
      </c>
      <c r="GD71" s="68">
        <f>IF(OR($U71=0,$F71&lt;&gt;2),0,IF(GC71&gt;0,GC71,IF(ROUND(CE71*$J71,6)&lt;ROUND($M71,6),CE71,0)))</f>
        <v/>
      </c>
      <c r="GE71" s="68">
        <f>IF(OR($U71=0,$F71&lt;&gt;2),0,IF(GD71&gt;0,GD71,IF(ROUND(CF71*$J71,6)&lt;ROUND($M71,6),CF71,0)))</f>
        <v/>
      </c>
      <c r="GF71" s="68">
        <f>IF(OR($U71=0,$F71&lt;&gt;2),0,IF(GE71&gt;0,GE71,IF(ROUND(CG71*$J71,6)&lt;ROUND($M71,6),CG71,0)))</f>
        <v/>
      </c>
      <c r="GG71" s="68">
        <f>IF(OR($U71=0,$F71&lt;&gt;2),0,IF(GF71&gt;0,GF71,IF(ROUND(CH71*$J71,6)&lt;ROUND($M71,6),CH71,0)))</f>
        <v/>
      </c>
      <c r="GH71" s="68">
        <f>IF(OR($U71=0,$F71&lt;&gt;2),0,IF(GG71&gt;0,GG71,IF(ROUND(CI71*$J71,6)&lt;ROUND($M71,6),CI71,0)))</f>
        <v/>
      </c>
      <c r="GI71" s="68">
        <f>IF(OR($U71=0,$F71&lt;&gt;2),0,IF(GH71&gt;0,GH71,IF(ROUND(CJ71*$J71,6)&lt;ROUND($M71,6),CJ71,0)))</f>
        <v/>
      </c>
      <c r="GJ71" s="68">
        <f>IF(OR($U71=0,$F71&lt;&gt;2),0,IF(GI71&gt;0,GI71,IF(ROUND(CK71*$J71,6)&lt;ROUND($M71,6),CK71,0)))</f>
        <v/>
      </c>
      <c r="GK71" s="68">
        <f>IF(OR($U71=0,$F71&lt;&gt;2),0,IF(GJ71&gt;0,GJ71,IF(ROUND(CL71*$J71,6)&lt;ROUND($M71,6),CL71,0)))</f>
        <v/>
      </c>
      <c r="GL71" s="68">
        <f>IF(OR($U71=0,$F71&lt;&gt;2),0,IF(GK71&gt;0,GK71,IF(ROUND(CM71*$J71,6)&lt;ROUND($M71,6),CM71,0)))</f>
        <v/>
      </c>
      <c r="GM71" s="68">
        <f>IF(OR($U71=0,$F71&lt;&gt;2),0,IF(GL71&gt;0,GL71,IF(ROUND(CN71*$J71,6)&lt;ROUND($M71,6),CN71,0)))</f>
        <v/>
      </c>
      <c r="GN71" s="68">
        <f>IF(OR($U71=0,$F71&lt;&gt;2),0,IF(GM71&gt;0,GM71,IF(ROUND(CO71*$J71,6)&lt;ROUND($M71,6),CO71,0)))</f>
        <v/>
      </c>
      <c r="GO71" s="68">
        <f>IF(OR($U71=0,$F71&lt;&gt;2),0,IF(GN71&gt;0,GN71,IF(ROUND(CP71*$J71,6)&lt;ROUND($M71,6),CP71,0)))</f>
        <v/>
      </c>
      <c r="GP71" s="68">
        <f>IF(OR($U71=0,$F71&lt;&gt;2),0,IF(GO71&gt;0,GO71,IF(ROUND(CQ71*$J71,6)&lt;ROUND($M71,6),CQ71,0)))</f>
        <v/>
      </c>
      <c r="GQ71" s="68">
        <f>IF(OR($U71=0,$F71&lt;&gt;2),0,IF(GP71&gt;0,GP71,IF(ROUND(CR71*$J71,6)&lt;ROUND($M71,6),CR71,0)))</f>
        <v/>
      </c>
      <c r="GR71" s="68">
        <f>IF(OR($U71=0,$F71&lt;&gt;2),0,IF(GQ71&gt;0,GQ71,IF(ROUND(CS71*$J71,6)&lt;ROUND($M71,6),CS71,0)))</f>
        <v/>
      </c>
      <c r="GS71" s="68">
        <f>IF(OR($U71=0,$F71&lt;&gt;2),0,IF(GR71&gt;0,GR71,IF(ROUND(CT71*$J71,6)&lt;ROUND($M71,6),CT71,0)))</f>
        <v/>
      </c>
      <c r="GT71" s="68">
        <f>IF(OR($U71=0,$F71&lt;&gt;2),0,IF(GS71&gt;0,GS71,IF(ROUND(CU71*$J71,6)&lt;ROUND($M71,6),CU71,0)))</f>
        <v/>
      </c>
      <c r="GU71" s="68">
        <f>IF(OR($U71=0,$F71&lt;&gt;2),0,IF(GT71&gt;0,GT71,IF(ROUND(CV71*$J71,6)&lt;ROUND($M71,6),CV71,0)))</f>
        <v/>
      </c>
      <c r="GV71" s="68">
        <f>IF(OR($U71=0,$F71&lt;&gt;2),0,IF(GU71&gt;0,GU71,IF(ROUND(CW71*$J71,6)&lt;ROUND($M71,6),CW71,0)))</f>
        <v/>
      </c>
      <c r="GW71" s="68">
        <f>IF(OR($U71=0,$F71&lt;&gt;2),0,IF(GV71&gt;0,GV71,IF(ROUND(CX71*$J71,6)&lt;ROUND($M71,6),CX71,0)))</f>
        <v/>
      </c>
      <c r="GX71" s="68">
        <f>IF(OR($U71=0,$F71&lt;&gt;2),0,IF(GW71&gt;0,GW71,IF(ROUND(CY71*$J71,6)&lt;ROUND($M71,6),CY71,0)))</f>
        <v/>
      </c>
      <c r="GY71" s="68">
        <f>IF(OR($U71=0,$F71&lt;&gt;2),0,IF(GX71&gt;0,GX71,IF(ROUND(CZ71*$J71,6)&lt;ROUND($M71,6),CZ71,0)))</f>
        <v/>
      </c>
      <c r="GZ71" s="68">
        <f>IF(OR($U71=0,$F71&lt;&gt;2),0,IF(GY71&gt;0,GY71,IF(ROUND(DA71*$J71,6)&lt;ROUND($M71,6),DA71,0)))</f>
        <v/>
      </c>
      <c r="HA71" s="68">
        <f>IF(OR($U71=0,$F71&lt;&gt;2),0,IF(GZ71&gt;0,GZ71,IF(ROUND(DB71*$J71,6)&lt;ROUND($M71,6),DB71,0)))</f>
        <v/>
      </c>
      <c r="HB71" s="68">
        <f>IF(OR($U71=0,$F71&lt;&gt;2),0,IF(HA71&gt;0,HA71,IF(ROUND(DC71*$J71,6)&lt;ROUND($M71,6),DC71,0)))</f>
        <v/>
      </c>
      <c r="HC71" s="68">
        <f>IF(OR($U71=0,$F71&lt;&gt;2),0,IF(HB71&gt;0,HB71,IF(ROUND(DD71*$J71,6)&lt;ROUND($M71,6),DD71,0)))</f>
        <v/>
      </c>
      <c r="HD71" s="68">
        <f>IF(OR($U71=0,$F71&lt;&gt;2),0,IF(HC71&gt;0,HC71,IF(ROUND(DE71*$J71,6)&lt;ROUND($M71,6),DE71,0)))</f>
        <v/>
      </c>
      <c r="HE71" s="68">
        <f>IF(OR($U71=0,$F71&lt;&gt;2),0,IF(HD71&gt;0,HD71,IF(ROUND(DF71*$J71,6)&lt;ROUND($M71,6),DF71,0)))</f>
        <v/>
      </c>
      <c r="HF71" s="68">
        <f>IF(OR($U71=0,$F71&lt;&gt;2),0,IF(HE71&gt;0,HE71,IF(ROUND(DG71*$J71,6)&lt;ROUND($M71,6),DG71,0)))</f>
        <v/>
      </c>
      <c r="HG71" s="68">
        <f>IF(OR($U71=0,$F71&lt;&gt;2),0,IF(HF71&gt;0,HF71,IF(ROUND(DH71*$J71,6)&lt;ROUND($M71,6),DH71,0)))</f>
        <v/>
      </c>
      <c r="HH71" s="68">
        <f>IF(OR($U71=0,$F71&lt;&gt;2),0,IF(HG71&gt;0,HG71,IF(ROUND(DI71*$J71,6)&lt;ROUND($M71,6),DI71,0)))</f>
        <v/>
      </c>
      <c r="HI71" s="68">
        <f>IF(OR($U71=0,$F71&lt;&gt;2),0,IF(HH71&gt;0,HH71,IF(ROUND(DJ71*$J71,6)&lt;ROUND($M71,6),DJ71,0)))</f>
        <v/>
      </c>
      <c r="HJ71" s="68">
        <f>IF(OR($U71=0,$F71&lt;&gt;2),0,IF(HI71&gt;0,HI71,IF(ROUND(DK71*$J71,6)&lt;ROUND($M71,6),DK71,0)))</f>
        <v/>
      </c>
      <c r="HK71" s="68">
        <f>IF(OR($U71=0,$F71&lt;&gt;2),0,IF(HJ71&gt;0,HJ71,IF(ROUND(DL71*$J71,6)&lt;ROUND($M71,6),DL71,0)))</f>
        <v/>
      </c>
      <c r="HL71" s="68">
        <f>IF(OR($U71=0,$F71&lt;&gt;2),0,IF(HK71&gt;0,HK71,IF(ROUND(DM71*$J71,6)&lt;ROUND($M71,6),DM71,0)))</f>
        <v/>
      </c>
      <c r="HM71" s="68">
        <f>IF(OR($U71=0,$F71&lt;&gt;2),0,IF(HL71&gt;0,HL71,IF(ROUND(DN71*$J71,6)&lt;ROUND($M71,6),DN71,0)))</f>
        <v/>
      </c>
      <c r="HN71" s="68">
        <f>IF(OR($U71=0,$F71&lt;&gt;2),0,IF(HM71&gt;0,HM71,IF(ROUND(DO71*$J71,6)&lt;ROUND($M71,6),DO71,0)))</f>
        <v/>
      </c>
      <c r="HO71" s="68">
        <f>IF(OR($U71=0,$F71&lt;&gt;2),0,IF(HN71&gt;0,HN71,IF(ROUND(DP71*$J71,6)&lt;ROUND($M71,6),DP71,0)))</f>
        <v/>
      </c>
      <c r="HP71" s="68">
        <f>IF(OR($U71=0,$F71&lt;&gt;2),0,IF(HO71&gt;0,HO71,IF(ROUND(DQ71*$J71,6)&lt;ROUND($M71,6),DQ71,0)))</f>
        <v/>
      </c>
      <c r="HQ71" s="68">
        <f>IF(OR($U71=0,$F71&lt;&gt;2),0,IF(HP71&gt;0,HP71,IF(ROUND(DR71*$J71,6)&lt;ROUND($M71,6),DR71,0)))</f>
        <v/>
      </c>
      <c r="HR71" s="68">
        <f>IF(OR($U71=0,$F71&lt;&gt;2),0,IF(HQ71&gt;0,HQ71,IF(ROUND(DS71*$J71,6)&lt;ROUND($M71,6),DS71,0)))</f>
        <v/>
      </c>
      <c r="HS71" s="68">
        <f>IF(OR($U71=0,$F71&lt;&gt;2),0,IF(HR71&gt;0,HR71,IF(ROUND(DT71*$J71,6)&lt;ROUND($M71,6),DT71,0)))</f>
        <v/>
      </c>
      <c r="HT71" s="68">
        <f>IF(OR($U71=0,$F71&lt;&gt;2),0,IF(HS71&gt;0,HS71,IF(ROUND(DU71*$J71,6)&lt;ROUND($M71,6),DU71,0)))</f>
        <v/>
      </c>
      <c r="HU71" s="68">
        <f>IF(OR($U71=0,$F71&lt;&gt;2),0,IF(HT71&gt;0,HT71,IF(ROUND(DV71*$J71,6)&lt;ROUND($M71,6),DV71,0)))</f>
        <v/>
      </c>
      <c r="HV71" s="68">
        <f>IF(OR($U71=0,$F71&lt;&gt;2),0,IF(HU71&gt;0,HU71,IF(ROUND(DW71*$J71,6)&lt;ROUND($M71,6),DW71,0)))</f>
        <v/>
      </c>
      <c r="HW71" s="68">
        <f>IF(OR($U71=0,$F71&lt;&gt;2),0,IF(HV71&gt;0,HV71,IF(ROUND(DX71*$J71,6)&lt;ROUND($M71,6),DX71,0)))</f>
        <v/>
      </c>
      <c r="HX71" s="68">
        <f>IF(OR($U71=0,$F71&lt;&gt;2),0,IF(HW71&gt;0,HW71,IF(ROUND(DY71*$J71,6)&lt;ROUND($M71,6),DY71,0)))</f>
        <v/>
      </c>
      <c r="HY71" s="68">
        <f>IF(OR($U71=0,$F71&lt;&gt;2),0,IF(HX71&gt;0,HX71,IF(ROUND(DZ71*$J71,6)&lt;ROUND($M71,6),DZ71,0)))</f>
        <v/>
      </c>
      <c r="HZ71" s="68">
        <f>IF(OR($U71=0,$F71&lt;&gt;2),0,IF(HY71&gt;0,HY71,IF(ROUND(EA71*$J71,6)&lt;ROUND($M71,6),EA71,0)))</f>
        <v/>
      </c>
      <c r="IA71" s="68">
        <f>IF(OR($U71=0,$F71&lt;&gt;2),0,IF(HZ71&gt;0,HZ71,IF(ROUND(EB71*$J71,6)&lt;ROUND($M71,6),EB71,0)))</f>
        <v/>
      </c>
      <c r="IB71" s="68">
        <f>IF(OR($U71=0,$F71&lt;&gt;2),0,IF(IA71&gt;0,IA71,IF(ROUND(EC71*$J71,6)&lt;ROUND($M71,6),EC71,0)))</f>
        <v/>
      </c>
      <c r="IC71" s="68">
        <f>IF(OR($U71=0,$F71&lt;&gt;2),0,IF(IB71&gt;0,IB71,IF(ROUND(ED71*$J71,6)&lt;ROUND($M71,6),ED71,0)))</f>
        <v/>
      </c>
      <c r="ID71" s="68">
        <f>IF(OR($U71=0,$F71&lt;&gt;2),0,IF(IC71&gt;0,IC71,IF(ROUND(EE71*$J71,6)&lt;ROUND($M71,6),EE71,0)))</f>
        <v/>
      </c>
      <c r="IE71" s="68">
        <f>IF(OR($U71=0,$F71&lt;&gt;2),0,IF(ID71&gt;0,ID71,IF(ROUND(EF71*$J71,6)&lt;ROUND($M71,6),EF71,0)))</f>
        <v/>
      </c>
      <c r="IF71" s="68">
        <f>IF(OR($U71=0,$F71&lt;&gt;2),0,IF(IE71&gt;0,IE71,IF(ROUND(EG71*$J71,6)&lt;ROUND($M71,6),EG71,0)))</f>
        <v/>
      </c>
      <c r="IG71" s="68">
        <f>IF(OR($U71=0,$F71&lt;&gt;2),0,IF(IF71&gt;0,IF71,IF(ROUND(EH71*$J71,6)&lt;ROUND($M71,6),EH71,0)))</f>
        <v/>
      </c>
      <c r="IH71" s="68">
        <f>IF(OR($U71=0,$F71&lt;&gt;2),0,IF(IG71&gt;0,IG71,IF(ROUND(EI71*$J71,6)&lt;ROUND($M71,6),EI71,0)))</f>
        <v/>
      </c>
      <c r="II71" s="68">
        <f>IF(OR($U71=0,$F71&lt;&gt;2),0,IF(IH71&gt;0,IH71,IF(ROUND(EJ71*$J71,6)&lt;ROUND($M71,6),EJ71,0)))</f>
        <v/>
      </c>
      <c r="IJ71" s="68">
        <f>IF(OR($U71=0,$F71&lt;&gt;2),0,IF(II71&gt;0,II71,IF(ROUND(EK71*$J71,6)&lt;ROUND($M71,6),EK71,0)))</f>
        <v/>
      </c>
      <c r="IK71" s="68">
        <f>IF(OR($U71=0,$F71&lt;&gt;2),0,IF(IJ71&gt;0,IJ71,IF(ROUND(EL71*$J71,6)&lt;ROUND($M71,6),EL71,0)))</f>
        <v/>
      </c>
      <c r="IL71" s="68">
        <f>IF(OR($U71=0,$F71&lt;&gt;2),0,IF(IK71&gt;0,IK71,IF(ROUND(EM71*$J71,6)&lt;ROUND($M71,6),EM71,0)))</f>
        <v/>
      </c>
      <c r="IM71" s="68">
        <f>IF(OR($U71=0,$F71&lt;&gt;2),0,IF(IL71&gt;0,IL71,IF(ROUND(EN71*$J71,6)&lt;ROUND($M71,6),EN71,0)))</f>
        <v/>
      </c>
      <c r="IN71" s="68">
        <f>IF(OR($U71=0,$F71&lt;&gt;2),0,IF(IM71&gt;0,IM71,IF(ROUND(EO71*$J71,6)&lt;ROUND($M71,6),EO71,0)))</f>
        <v/>
      </c>
    </row>
    <row r="72">
      <c r="A72" s="68" t="n">
        <v>67</v>
      </c>
      <c r="B72" s="68">
        <f>IF(OR(TRIM('固定資産台帳'!$B72)&lt;&gt;"",'固定資産台帳'!$E72&lt;&gt;"",'固定資産台帳'!$G72&lt;&gt;"",'固定資産台帳'!$H72&lt;&gt;""),1,0)</f>
        <v/>
      </c>
      <c r="C72" s="68">
        <f>IF(ISNUMBER('固定資産台帳'!$G72),MAX(ROUND('固定資産台帳'!$G72,0),0),0)</f>
        <v/>
      </c>
      <c r="D72" s="84">
        <f>IF(ISNUMBER('固定資産台帳'!$E72),INT('固定資産台帳'!$E72),0)</f>
        <v/>
      </c>
      <c r="E72" s="84">
        <f>IF(ISNUMBER('固定資産台帳'!$F72),INT('固定資産台帳'!$F72),$D72)</f>
        <v/>
      </c>
      <c r="F72" s="68">
        <f>IF('固定資産台帳'!$H72="定額法",1,IF(OR('固定資産台帳'!$H72="定率法",'固定資産台帳'!$H72="定率法（200%）",'固定資産台帳'!$H72="定率法（250%）"),2,IF('固定資産台帳'!$H72="一括償却（3年）",3,IF('固定資産台帳'!$H72="少額特例",4,0))))</f>
        <v/>
      </c>
      <c r="G72" s="68">
        <f>IF('固定資産台帳'!$H72="定率法（250%）",250,IF('固定資産台帳'!$H72="定率法（200%）",200,IF($D72&gt;=DATE(2012,4,1),200,250)))</f>
        <v/>
      </c>
      <c r="H72" s="68">
        <f>IF(ISNUMBER('固定資産台帳'!$I72),IF(AND('固定資産台帳'!$I72&gt;=2,'固定資産台帳'!$I72&lt;=100,'固定資産台帳'!$I72=INT('固定資産台帳'!$I72)),'固定資産台帳'!$I72,0),0)</f>
        <v/>
      </c>
      <c r="I72" s="68">
        <f>IF('固定資産台帳'!$C72="無形固定資産",0,1)</f>
        <v/>
      </c>
      <c r="J72" s="68">
        <f>IF(OR($H72=0,$F72=0,$F72&gt;2),0,IF($F72=1,INDEX('償却率表'!$B$6:$B$104,$H72-1),IF($G72=200,INDEX('償却率表'!$C$6:$C$104,$H72-1),INDEX('償却率表'!$F$6:$F$104,$H72-1))))</f>
        <v/>
      </c>
      <c r="K72" s="68">
        <f>IF(AND($F72=2,$H72&gt;0),IF($G72=200,INDEX('償却率表'!$D$6:$D$104,$H72-1),INDEX('償却率表'!$G$6:$G$104,$H72-1)),0)</f>
        <v/>
      </c>
      <c r="L72" s="68">
        <f>IF(AND($F72=2,$H72&gt;0),IF($G72=200,INDEX('償却率表'!$E$6:$E$104,$H72-1),INDEX('償却率表'!$H$6:$H$104,$H72-1)),0)</f>
        <v/>
      </c>
      <c r="M72" s="68">
        <f>$C72*$L72</f>
        <v/>
      </c>
      <c r="N72" s="68">
        <f>IF($B$1=1,1,IF('固定資産台帳'!$J72="",1,IF(ISNUMBER('固定資産台帳'!$J72),IF(AND('固定資産台帳'!$J72&gt;0,'固定資産台帳'!$J72&lt;=1),'固定資産台帳'!$J72,0),0)))</f>
        <v/>
      </c>
      <c r="O72" s="68">
        <f>IF($E72=0,0,YEAR($E72)-IF(MONTH($E72)&lt;$B$2,1,0))</f>
        <v/>
      </c>
      <c r="P72" s="68">
        <f>IF($E72=0,0,12-MOD(MONTH($E72)-$B$2,12))</f>
        <v/>
      </c>
      <c r="Q72" s="84">
        <f>IF(ISNUMBER('固定資産台帳'!$K72),INT('固定資産台帳'!$K72),0)</f>
        <v/>
      </c>
      <c r="R72" s="68">
        <f>IF(OR($Q72=0,$E72=0),999,YEAR($Q72)-IF(MONTH($Q72)&lt;$B$2,1,0)-$O72)</f>
        <v/>
      </c>
      <c r="S72" s="68">
        <f>IF($R72=999,0,MOD(MONTH($Q72)-$B$2,12)+1-IF($R72=0,12-$P72,0))</f>
        <v/>
      </c>
      <c r="T72" s="68">
        <f>IF($B72=0,0,IF($C72&lt;=0,1,IF($D72=0,2,IF($F72=0,3,IF(AND($F72&lt;=2,$H72=0),4,IF(AND($F72&lt;=2,$D72&lt;DATE(2007,4,1)),5,IF($E72&lt;$D72,6,IF(AND($Q72&gt;0,$Q72&lt;$E72),7,IF($N72=0,8,IF($B$3=0,9,0))))))))))</f>
        <v/>
      </c>
      <c r="U72" s="68">
        <f>IF(AND($B72=1,$T72=0),1,0)</f>
        <v/>
      </c>
      <c r="V72" s="68">
        <f>$B$3-$O72</f>
        <v/>
      </c>
      <c r="W72" s="68">
        <f>IF(AND($U72=1,$V72&gt;=0),1,0)</f>
        <v/>
      </c>
      <c r="X72" s="68">
        <f>IF($W72=0,0,IF($V72=0,$C72,INDEX($AS72:$EP72,MIN($V72,102))))</f>
        <v/>
      </c>
      <c r="Y72" s="68">
        <f>IF($W72=0,0,INDEX($AS72:$EP72,MIN($V72,101)+1))</f>
        <v/>
      </c>
      <c r="Z72" s="68">
        <f>$X72-$Y72</f>
        <v/>
      </c>
      <c r="AA72" s="68">
        <f>IF(AND($W72=1,$F72=2,$V72&gt;=1),INDEX($ER72:$IN72,MIN($V72,101)),0)</f>
        <v/>
      </c>
      <c r="AB72" s="68">
        <f>IF(OR($W72=0,$F72&gt;2,$Z72=0),0,IF($V72=0,IF($R72=0,$S72,$P72),IF($V72=$R72,$S72,12)))</f>
        <v/>
      </c>
      <c r="AC72" s="68">
        <f>IF($W72=0,0,INT(ROUND($Z72*$N72,6)+$B$4))</f>
        <v/>
      </c>
      <c r="AD72" s="68">
        <f>IF(AND($W72=1,$F72&lt;=2,$V72=$R72),1,0)</f>
        <v/>
      </c>
      <c r="AE72" s="68">
        <f>IF(AND($W72=1,$F72&lt;=2,$V72&gt;$R72),1,0)</f>
        <v/>
      </c>
      <c r="AF72" s="68">
        <f>IF(AND($W72=1,$AE72=0,OR($Z72&gt;0,$AD72=1)),1,0)</f>
        <v/>
      </c>
      <c r="AG72" s="68">
        <f>IF($AF72=1,SUM($AF$6:$AF72),0)</f>
        <v/>
      </c>
      <c r="AH72" s="68">
        <f>IF($T72=0,"",CHOOSE($T72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72" s="68">
        <f>IF(AND($F72=2,OR('固定資産台帳'!$C72="建物",'固定資産台帳'!$C72="無形固定資産",AND(OR('固定資産台帳'!$C72="建物附属設備",'固定資産台帳'!$C72="構築物"),$D72&gt;=DATE(2016,4,1)))),"この資産は定額法だけです（定率法は使えません）。","")&amp;IF(AND($F72=3,$C72&gt;=200000),"一括償却は20万円未満の資産だけです。","")&amp;IF(AND($F72=3,$B$1=0,$C72&lt;100000),"10万円未満は一括償却にせず、全額をその年の経費にします。","")&amp;IF(AND($F72=4,$C72&lt;100000),"10万円未満は少額特例ではなく、全額をその年の経費にします。","")&amp;IF(AND($F72=4,$D72&lt;DATE(2026,4,1),$C72&gt;=300000),"2026年3月31日までの取得で少額特例が使えるのは30万円未満です。","")&amp;IF(AND($F72=4,$D72&gt;=DATE(2026,4,1),$C72&gt;=400000),"少額特例は40万円未満の資産だけです。","")&amp;IF(AND($F72=4,OR($D72&lt;DATE(2006,4,1),$D72&gt;DATE(2029,3,31))),"少額特例は2006年4月1日〜2029年3月31日に取得した資産だけです。","")&amp;IF(AND($F72=2,$G72=250,$D72&gt;DATE(2012,12,31)),"250%定率法は2012年12月31日までの取得だけです。","")</f>
        <v/>
      </c>
      <c r="AJ72" s="68">
        <f>IF(AND($F72=2,'固定資産台帳'!$H72="定率法（200%）",$D72&lt;DATE(2012,4,1)),"2012年3月31日までの取得に200%を使うのは、経過措置の届出をした場合です。","")&amp;IF(AND($F72=2,'固定資産台帳'!$H72="定率法（250%）",$D72&gt;=DATE(2012,4,1),$D72&lt;=DATE(2012,12,31)),"2012年4〜12月の取得に250%を使うのは、経過措置を選んだ場合です。","")</f>
        <v/>
      </c>
      <c r="AK72" s="68">
        <f>IF($U72=0,"",IF($V72&lt;0,"表示している年より後に使い始める資産です。",IF($AE72=1,"売却・除却済みです。",IF($AD72=1,"この年に売却・除却。期末の帳簿価額 "&amp;TEXT($Y72,"#,##0")&amp;"円を帳簿から外します。",IF($F72=4,IF($V72=0,"少額特例：この年に全額を経費にします。","少額特例で経費にした資産です。"),IF($F72=3,IF($V72&gt;2,"一括償却は終わっています。","一括償却 "&amp;($V72+1)&amp;"年目（3年のうち）。"),IF($Z72=0,"償却済み（帳簿価額 "&amp;TEXT($Y72,"#,##0")&amp;"円）。",IF($AA72&gt;0,"改定償却率で計算（改定取得価額 "&amp;TEXT($AA72,"#,##0")&amp;"円）。",IF($V72=0,"この年に使い始め（"&amp;$AB72&amp;"か月分）。","")))))))))</f>
        <v/>
      </c>
      <c r="AL72" s="68">
        <f>IF(AND($U72=1,$F72=4,$V72=0),$C72,0)</f>
        <v/>
      </c>
      <c r="AM72" s="68">
        <f>IF($F72=2,INT(ROUND($M72,6)+$B$4),0)</f>
        <v/>
      </c>
      <c r="AN72" s="68">
        <f>IF($W72=0,0,IF($F72=2,IF($AA72&gt;0,$AA72,$X72),$C72))</f>
        <v/>
      </c>
      <c r="AO72" s="68">
        <f>IF($W72=0,"",IF($F72=3,"1/3",IF($F72=4,"―",IF($AA72&gt;0,$K72,$J72))))</f>
        <v/>
      </c>
      <c r="AP72" s="68" t="n"/>
      <c r="AQ72" s="68" t="n"/>
      <c r="AR72" s="68" t="n"/>
      <c r="AS72" s="68">
        <f>IF($U72=0,0,IF($F72=4,0,IF($F72=3,MAX($C72-INT(ROUND($C72/3,6)+$B$4),0),$C72-MIN(INT(ROUND($C72*$J72*IF($R72=0,$S72,$P72)/12,6)+$B$4),MAX($C72-$I72,0)))))</f>
        <v/>
      </c>
      <c r="AT72" s="68">
        <f>IF($U72=0,0,IF($F72=4,0,IF($F72=3,AS72-MIN(INT(ROUND($C72/3,6)+$B$4),AS72),IF(OR(1&gt;$R72,AS72&lt;=$I72),AS72,AS72-MIN(INT(ROUND(IF($F72=1,$C72*$J72,IF(ER72&gt;0,ER72*$K72,AS72*$J72))*IF(1=$R72,$S72,12)/12,6)+$B$4),AS72-$I72)))))</f>
        <v/>
      </c>
      <c r="AU72" s="68">
        <f>IF($U72=0,0,IF($F72=4,0,IF($F72=3,0,IF(OR(2&gt;$R72,AT72&lt;=$I72),AT72,AT72-MIN(INT(ROUND(IF($F72=1,$C72*$J72,IF(ES72&gt;0,ES72*$K72,AT72*$J72))*IF(2=$R72,$S72,12)/12,6)+$B$4),AT72-$I72)))))</f>
        <v/>
      </c>
      <c r="AV72" s="68">
        <f>IF($U72=0,0,IF($F72=4,0,IF($F72=3,0,IF(OR(3&gt;$R72,AU72&lt;=$I72),AU72,AU72-MIN(INT(ROUND(IF($F72=1,$C72*$J72,IF(ET72&gt;0,ET72*$K72,AU72*$J72))*IF(3=$R72,$S72,12)/12,6)+$B$4),AU72-$I72)))))</f>
        <v/>
      </c>
      <c r="AW72" s="68">
        <f>IF($U72=0,0,IF($F72=4,0,IF($F72=3,0,IF(OR(4&gt;$R72,AV72&lt;=$I72),AV72,AV72-MIN(INT(ROUND(IF($F72=1,$C72*$J72,IF(EU72&gt;0,EU72*$K72,AV72*$J72))*IF(4=$R72,$S72,12)/12,6)+$B$4),AV72-$I72)))))</f>
        <v/>
      </c>
      <c r="AX72" s="68">
        <f>IF($U72=0,0,IF($F72=4,0,IF($F72=3,0,IF(OR(5&gt;$R72,AW72&lt;=$I72),AW72,AW72-MIN(INT(ROUND(IF($F72=1,$C72*$J72,IF(EV72&gt;0,EV72*$K72,AW72*$J72))*IF(5=$R72,$S72,12)/12,6)+$B$4),AW72-$I72)))))</f>
        <v/>
      </c>
      <c r="AY72" s="68">
        <f>IF($U72=0,0,IF($F72=4,0,IF($F72=3,0,IF(OR(6&gt;$R72,AX72&lt;=$I72),AX72,AX72-MIN(INT(ROUND(IF($F72=1,$C72*$J72,IF(EW72&gt;0,EW72*$K72,AX72*$J72))*IF(6=$R72,$S72,12)/12,6)+$B$4),AX72-$I72)))))</f>
        <v/>
      </c>
      <c r="AZ72" s="68">
        <f>IF($U72=0,0,IF($F72=4,0,IF($F72=3,0,IF(OR(7&gt;$R72,AY72&lt;=$I72),AY72,AY72-MIN(INT(ROUND(IF($F72=1,$C72*$J72,IF(EX72&gt;0,EX72*$K72,AY72*$J72))*IF(7=$R72,$S72,12)/12,6)+$B$4),AY72-$I72)))))</f>
        <v/>
      </c>
      <c r="BA72" s="68">
        <f>IF($U72=0,0,IF($F72=4,0,IF($F72=3,0,IF(OR(8&gt;$R72,AZ72&lt;=$I72),AZ72,AZ72-MIN(INT(ROUND(IF($F72=1,$C72*$J72,IF(EY72&gt;0,EY72*$K72,AZ72*$J72))*IF(8=$R72,$S72,12)/12,6)+$B$4),AZ72-$I72)))))</f>
        <v/>
      </c>
      <c r="BB72" s="68">
        <f>IF($U72=0,0,IF($F72=4,0,IF($F72=3,0,IF(OR(9&gt;$R72,BA72&lt;=$I72),BA72,BA72-MIN(INT(ROUND(IF($F72=1,$C72*$J72,IF(EZ72&gt;0,EZ72*$K72,BA72*$J72))*IF(9=$R72,$S72,12)/12,6)+$B$4),BA72-$I72)))))</f>
        <v/>
      </c>
      <c r="BC72" s="68">
        <f>IF($U72=0,0,IF($F72=4,0,IF($F72=3,0,IF(OR(10&gt;$R72,BB72&lt;=$I72),BB72,BB72-MIN(INT(ROUND(IF($F72=1,$C72*$J72,IF(FA72&gt;0,FA72*$K72,BB72*$J72))*IF(10=$R72,$S72,12)/12,6)+$B$4),BB72-$I72)))))</f>
        <v/>
      </c>
      <c r="BD72" s="68">
        <f>IF($U72=0,0,IF($F72=4,0,IF($F72=3,0,IF(OR(11&gt;$R72,BC72&lt;=$I72),BC72,BC72-MIN(INT(ROUND(IF($F72=1,$C72*$J72,IF(FB72&gt;0,FB72*$K72,BC72*$J72))*IF(11=$R72,$S72,12)/12,6)+$B$4),BC72-$I72)))))</f>
        <v/>
      </c>
      <c r="BE72" s="68">
        <f>IF($U72=0,0,IF($F72=4,0,IF($F72=3,0,IF(OR(12&gt;$R72,BD72&lt;=$I72),BD72,BD72-MIN(INT(ROUND(IF($F72=1,$C72*$J72,IF(FC72&gt;0,FC72*$K72,BD72*$J72))*IF(12=$R72,$S72,12)/12,6)+$B$4),BD72-$I72)))))</f>
        <v/>
      </c>
      <c r="BF72" s="68">
        <f>IF($U72=0,0,IF($F72=4,0,IF($F72=3,0,IF(OR(13&gt;$R72,BE72&lt;=$I72),BE72,BE72-MIN(INT(ROUND(IF($F72=1,$C72*$J72,IF(FD72&gt;0,FD72*$K72,BE72*$J72))*IF(13=$R72,$S72,12)/12,6)+$B$4),BE72-$I72)))))</f>
        <v/>
      </c>
      <c r="BG72" s="68">
        <f>IF($U72=0,0,IF($F72=4,0,IF($F72=3,0,IF(OR(14&gt;$R72,BF72&lt;=$I72),BF72,BF72-MIN(INT(ROUND(IF($F72=1,$C72*$J72,IF(FE72&gt;0,FE72*$K72,BF72*$J72))*IF(14=$R72,$S72,12)/12,6)+$B$4),BF72-$I72)))))</f>
        <v/>
      </c>
      <c r="BH72" s="68">
        <f>IF($U72=0,0,IF($F72=4,0,IF($F72=3,0,IF(OR(15&gt;$R72,BG72&lt;=$I72),BG72,BG72-MIN(INT(ROUND(IF($F72=1,$C72*$J72,IF(FF72&gt;0,FF72*$K72,BG72*$J72))*IF(15=$R72,$S72,12)/12,6)+$B$4),BG72-$I72)))))</f>
        <v/>
      </c>
      <c r="BI72" s="68">
        <f>IF($U72=0,0,IF($F72=4,0,IF($F72=3,0,IF(OR(16&gt;$R72,BH72&lt;=$I72),BH72,BH72-MIN(INT(ROUND(IF($F72=1,$C72*$J72,IF(FG72&gt;0,FG72*$K72,BH72*$J72))*IF(16=$R72,$S72,12)/12,6)+$B$4),BH72-$I72)))))</f>
        <v/>
      </c>
      <c r="BJ72" s="68">
        <f>IF($U72=0,0,IF($F72=4,0,IF($F72=3,0,IF(OR(17&gt;$R72,BI72&lt;=$I72),BI72,BI72-MIN(INT(ROUND(IF($F72=1,$C72*$J72,IF(FH72&gt;0,FH72*$K72,BI72*$J72))*IF(17=$R72,$S72,12)/12,6)+$B$4),BI72-$I72)))))</f>
        <v/>
      </c>
      <c r="BK72" s="68">
        <f>IF($U72=0,0,IF($F72=4,0,IF($F72=3,0,IF(OR(18&gt;$R72,BJ72&lt;=$I72),BJ72,BJ72-MIN(INT(ROUND(IF($F72=1,$C72*$J72,IF(FI72&gt;0,FI72*$K72,BJ72*$J72))*IF(18=$R72,$S72,12)/12,6)+$B$4),BJ72-$I72)))))</f>
        <v/>
      </c>
      <c r="BL72" s="68">
        <f>IF($U72=0,0,IF($F72=4,0,IF($F72=3,0,IF(OR(19&gt;$R72,BK72&lt;=$I72),BK72,BK72-MIN(INT(ROUND(IF($F72=1,$C72*$J72,IF(FJ72&gt;0,FJ72*$K72,BK72*$J72))*IF(19=$R72,$S72,12)/12,6)+$B$4),BK72-$I72)))))</f>
        <v/>
      </c>
      <c r="BM72" s="68">
        <f>IF($U72=0,0,IF($F72=4,0,IF($F72=3,0,IF(OR(20&gt;$R72,BL72&lt;=$I72),BL72,BL72-MIN(INT(ROUND(IF($F72=1,$C72*$J72,IF(FK72&gt;0,FK72*$K72,BL72*$J72))*IF(20=$R72,$S72,12)/12,6)+$B$4),BL72-$I72)))))</f>
        <v/>
      </c>
      <c r="BN72" s="68">
        <f>IF($U72=0,0,IF($F72=4,0,IF($F72=3,0,IF(OR(21&gt;$R72,BM72&lt;=$I72),BM72,BM72-MIN(INT(ROUND(IF($F72=1,$C72*$J72,IF(FL72&gt;0,FL72*$K72,BM72*$J72))*IF(21=$R72,$S72,12)/12,6)+$B$4),BM72-$I72)))))</f>
        <v/>
      </c>
      <c r="BO72" s="68">
        <f>IF($U72=0,0,IF($F72=4,0,IF($F72=3,0,IF(OR(22&gt;$R72,BN72&lt;=$I72),BN72,BN72-MIN(INT(ROUND(IF($F72=1,$C72*$J72,IF(FM72&gt;0,FM72*$K72,BN72*$J72))*IF(22=$R72,$S72,12)/12,6)+$B$4),BN72-$I72)))))</f>
        <v/>
      </c>
      <c r="BP72" s="68">
        <f>IF($U72=0,0,IF($F72=4,0,IF($F72=3,0,IF(OR(23&gt;$R72,BO72&lt;=$I72),BO72,BO72-MIN(INT(ROUND(IF($F72=1,$C72*$J72,IF(FN72&gt;0,FN72*$K72,BO72*$J72))*IF(23=$R72,$S72,12)/12,6)+$B$4),BO72-$I72)))))</f>
        <v/>
      </c>
      <c r="BQ72" s="68">
        <f>IF($U72=0,0,IF($F72=4,0,IF($F72=3,0,IF(OR(24&gt;$R72,BP72&lt;=$I72),BP72,BP72-MIN(INT(ROUND(IF($F72=1,$C72*$J72,IF(FO72&gt;0,FO72*$K72,BP72*$J72))*IF(24=$R72,$S72,12)/12,6)+$B$4),BP72-$I72)))))</f>
        <v/>
      </c>
      <c r="BR72" s="68">
        <f>IF($U72=0,0,IF($F72=4,0,IF($F72=3,0,IF(OR(25&gt;$R72,BQ72&lt;=$I72),BQ72,BQ72-MIN(INT(ROUND(IF($F72=1,$C72*$J72,IF(FP72&gt;0,FP72*$K72,BQ72*$J72))*IF(25=$R72,$S72,12)/12,6)+$B$4),BQ72-$I72)))))</f>
        <v/>
      </c>
      <c r="BS72" s="68">
        <f>IF($U72=0,0,IF($F72=4,0,IF($F72=3,0,IF(OR(26&gt;$R72,BR72&lt;=$I72),BR72,BR72-MIN(INT(ROUND(IF($F72=1,$C72*$J72,IF(FQ72&gt;0,FQ72*$K72,BR72*$J72))*IF(26=$R72,$S72,12)/12,6)+$B$4),BR72-$I72)))))</f>
        <v/>
      </c>
      <c r="BT72" s="68">
        <f>IF($U72=0,0,IF($F72=4,0,IF($F72=3,0,IF(OR(27&gt;$R72,BS72&lt;=$I72),BS72,BS72-MIN(INT(ROUND(IF($F72=1,$C72*$J72,IF(FR72&gt;0,FR72*$K72,BS72*$J72))*IF(27=$R72,$S72,12)/12,6)+$B$4),BS72-$I72)))))</f>
        <v/>
      </c>
      <c r="BU72" s="68">
        <f>IF($U72=0,0,IF($F72=4,0,IF($F72=3,0,IF(OR(28&gt;$R72,BT72&lt;=$I72),BT72,BT72-MIN(INT(ROUND(IF($F72=1,$C72*$J72,IF(FS72&gt;0,FS72*$K72,BT72*$J72))*IF(28=$R72,$S72,12)/12,6)+$B$4),BT72-$I72)))))</f>
        <v/>
      </c>
      <c r="BV72" s="68">
        <f>IF($U72=0,0,IF($F72=4,0,IF($F72=3,0,IF(OR(29&gt;$R72,BU72&lt;=$I72),BU72,BU72-MIN(INT(ROUND(IF($F72=1,$C72*$J72,IF(FT72&gt;0,FT72*$K72,BU72*$J72))*IF(29=$R72,$S72,12)/12,6)+$B$4),BU72-$I72)))))</f>
        <v/>
      </c>
      <c r="BW72" s="68">
        <f>IF($U72=0,0,IF($F72=4,0,IF($F72=3,0,IF(OR(30&gt;$R72,BV72&lt;=$I72),BV72,BV72-MIN(INT(ROUND(IF($F72=1,$C72*$J72,IF(FU72&gt;0,FU72*$K72,BV72*$J72))*IF(30=$R72,$S72,12)/12,6)+$B$4),BV72-$I72)))))</f>
        <v/>
      </c>
      <c r="BX72" s="68">
        <f>IF($U72=0,0,IF($F72=4,0,IF($F72=3,0,IF(OR(31&gt;$R72,BW72&lt;=$I72),BW72,BW72-MIN(INT(ROUND(IF($F72=1,$C72*$J72,IF(FV72&gt;0,FV72*$K72,BW72*$J72))*IF(31=$R72,$S72,12)/12,6)+$B$4),BW72-$I72)))))</f>
        <v/>
      </c>
      <c r="BY72" s="68">
        <f>IF($U72=0,0,IF($F72=4,0,IF($F72=3,0,IF(OR(32&gt;$R72,BX72&lt;=$I72),BX72,BX72-MIN(INT(ROUND(IF($F72=1,$C72*$J72,IF(FW72&gt;0,FW72*$K72,BX72*$J72))*IF(32=$R72,$S72,12)/12,6)+$B$4),BX72-$I72)))))</f>
        <v/>
      </c>
      <c r="BZ72" s="68">
        <f>IF($U72=0,0,IF($F72=4,0,IF($F72=3,0,IF(OR(33&gt;$R72,BY72&lt;=$I72),BY72,BY72-MIN(INT(ROUND(IF($F72=1,$C72*$J72,IF(FX72&gt;0,FX72*$K72,BY72*$J72))*IF(33=$R72,$S72,12)/12,6)+$B$4),BY72-$I72)))))</f>
        <v/>
      </c>
      <c r="CA72" s="68">
        <f>IF($U72=0,0,IF($F72=4,0,IF($F72=3,0,IF(OR(34&gt;$R72,BZ72&lt;=$I72),BZ72,BZ72-MIN(INT(ROUND(IF($F72=1,$C72*$J72,IF(FY72&gt;0,FY72*$K72,BZ72*$J72))*IF(34=$R72,$S72,12)/12,6)+$B$4),BZ72-$I72)))))</f>
        <v/>
      </c>
      <c r="CB72" s="68">
        <f>IF($U72=0,0,IF($F72=4,0,IF($F72=3,0,IF(OR(35&gt;$R72,CA72&lt;=$I72),CA72,CA72-MIN(INT(ROUND(IF($F72=1,$C72*$J72,IF(FZ72&gt;0,FZ72*$K72,CA72*$J72))*IF(35=$R72,$S72,12)/12,6)+$B$4),CA72-$I72)))))</f>
        <v/>
      </c>
      <c r="CC72" s="68">
        <f>IF($U72=0,0,IF($F72=4,0,IF($F72=3,0,IF(OR(36&gt;$R72,CB72&lt;=$I72),CB72,CB72-MIN(INT(ROUND(IF($F72=1,$C72*$J72,IF(GA72&gt;0,GA72*$K72,CB72*$J72))*IF(36=$R72,$S72,12)/12,6)+$B$4),CB72-$I72)))))</f>
        <v/>
      </c>
      <c r="CD72" s="68">
        <f>IF($U72=0,0,IF($F72=4,0,IF($F72=3,0,IF(OR(37&gt;$R72,CC72&lt;=$I72),CC72,CC72-MIN(INT(ROUND(IF($F72=1,$C72*$J72,IF(GB72&gt;0,GB72*$K72,CC72*$J72))*IF(37=$R72,$S72,12)/12,6)+$B$4),CC72-$I72)))))</f>
        <v/>
      </c>
      <c r="CE72" s="68">
        <f>IF($U72=0,0,IF($F72=4,0,IF($F72=3,0,IF(OR(38&gt;$R72,CD72&lt;=$I72),CD72,CD72-MIN(INT(ROUND(IF($F72=1,$C72*$J72,IF(GC72&gt;0,GC72*$K72,CD72*$J72))*IF(38=$R72,$S72,12)/12,6)+$B$4),CD72-$I72)))))</f>
        <v/>
      </c>
      <c r="CF72" s="68">
        <f>IF($U72=0,0,IF($F72=4,0,IF($F72=3,0,IF(OR(39&gt;$R72,CE72&lt;=$I72),CE72,CE72-MIN(INT(ROUND(IF($F72=1,$C72*$J72,IF(GD72&gt;0,GD72*$K72,CE72*$J72))*IF(39=$R72,$S72,12)/12,6)+$B$4),CE72-$I72)))))</f>
        <v/>
      </c>
      <c r="CG72" s="68">
        <f>IF($U72=0,0,IF($F72=4,0,IF($F72=3,0,IF(OR(40&gt;$R72,CF72&lt;=$I72),CF72,CF72-MIN(INT(ROUND(IF($F72=1,$C72*$J72,IF(GE72&gt;0,GE72*$K72,CF72*$J72))*IF(40=$R72,$S72,12)/12,6)+$B$4),CF72-$I72)))))</f>
        <v/>
      </c>
      <c r="CH72" s="68">
        <f>IF($U72=0,0,IF($F72=4,0,IF($F72=3,0,IF(OR(41&gt;$R72,CG72&lt;=$I72),CG72,CG72-MIN(INT(ROUND(IF($F72=1,$C72*$J72,IF(GF72&gt;0,GF72*$K72,CG72*$J72))*IF(41=$R72,$S72,12)/12,6)+$B$4),CG72-$I72)))))</f>
        <v/>
      </c>
      <c r="CI72" s="68">
        <f>IF($U72=0,0,IF($F72=4,0,IF($F72=3,0,IF(OR(42&gt;$R72,CH72&lt;=$I72),CH72,CH72-MIN(INT(ROUND(IF($F72=1,$C72*$J72,IF(GG72&gt;0,GG72*$K72,CH72*$J72))*IF(42=$R72,$S72,12)/12,6)+$B$4),CH72-$I72)))))</f>
        <v/>
      </c>
      <c r="CJ72" s="68">
        <f>IF($U72=0,0,IF($F72=4,0,IF($F72=3,0,IF(OR(43&gt;$R72,CI72&lt;=$I72),CI72,CI72-MIN(INT(ROUND(IF($F72=1,$C72*$J72,IF(GH72&gt;0,GH72*$K72,CI72*$J72))*IF(43=$R72,$S72,12)/12,6)+$B$4),CI72-$I72)))))</f>
        <v/>
      </c>
      <c r="CK72" s="68">
        <f>IF($U72=0,0,IF($F72=4,0,IF($F72=3,0,IF(OR(44&gt;$R72,CJ72&lt;=$I72),CJ72,CJ72-MIN(INT(ROUND(IF($F72=1,$C72*$J72,IF(GI72&gt;0,GI72*$K72,CJ72*$J72))*IF(44=$R72,$S72,12)/12,6)+$B$4),CJ72-$I72)))))</f>
        <v/>
      </c>
      <c r="CL72" s="68">
        <f>IF($U72=0,0,IF($F72=4,0,IF($F72=3,0,IF(OR(45&gt;$R72,CK72&lt;=$I72),CK72,CK72-MIN(INT(ROUND(IF($F72=1,$C72*$J72,IF(GJ72&gt;0,GJ72*$K72,CK72*$J72))*IF(45=$R72,$S72,12)/12,6)+$B$4),CK72-$I72)))))</f>
        <v/>
      </c>
      <c r="CM72" s="68">
        <f>IF($U72=0,0,IF($F72=4,0,IF($F72=3,0,IF(OR(46&gt;$R72,CL72&lt;=$I72),CL72,CL72-MIN(INT(ROUND(IF($F72=1,$C72*$J72,IF(GK72&gt;0,GK72*$K72,CL72*$J72))*IF(46=$R72,$S72,12)/12,6)+$B$4),CL72-$I72)))))</f>
        <v/>
      </c>
      <c r="CN72" s="68">
        <f>IF($U72=0,0,IF($F72=4,0,IF($F72=3,0,IF(OR(47&gt;$R72,CM72&lt;=$I72),CM72,CM72-MIN(INT(ROUND(IF($F72=1,$C72*$J72,IF(GL72&gt;0,GL72*$K72,CM72*$J72))*IF(47=$R72,$S72,12)/12,6)+$B$4),CM72-$I72)))))</f>
        <v/>
      </c>
      <c r="CO72" s="68">
        <f>IF($U72=0,0,IF($F72=4,0,IF($F72=3,0,IF(OR(48&gt;$R72,CN72&lt;=$I72),CN72,CN72-MIN(INT(ROUND(IF($F72=1,$C72*$J72,IF(GM72&gt;0,GM72*$K72,CN72*$J72))*IF(48=$R72,$S72,12)/12,6)+$B$4),CN72-$I72)))))</f>
        <v/>
      </c>
      <c r="CP72" s="68">
        <f>IF($U72=0,0,IF($F72=4,0,IF($F72=3,0,IF(OR(49&gt;$R72,CO72&lt;=$I72),CO72,CO72-MIN(INT(ROUND(IF($F72=1,$C72*$J72,IF(GN72&gt;0,GN72*$K72,CO72*$J72))*IF(49=$R72,$S72,12)/12,6)+$B$4),CO72-$I72)))))</f>
        <v/>
      </c>
      <c r="CQ72" s="68">
        <f>IF($U72=0,0,IF($F72=4,0,IF($F72=3,0,IF(OR(50&gt;$R72,CP72&lt;=$I72),CP72,CP72-MIN(INT(ROUND(IF($F72=1,$C72*$J72,IF(GO72&gt;0,GO72*$K72,CP72*$J72))*IF(50=$R72,$S72,12)/12,6)+$B$4),CP72-$I72)))))</f>
        <v/>
      </c>
      <c r="CR72" s="68">
        <f>IF($U72=0,0,IF($F72=4,0,IF($F72=3,0,IF(OR(51&gt;$R72,CQ72&lt;=$I72),CQ72,CQ72-MIN(INT(ROUND(IF($F72=1,$C72*$J72,IF(GP72&gt;0,GP72*$K72,CQ72*$J72))*IF(51=$R72,$S72,12)/12,6)+$B$4),CQ72-$I72)))))</f>
        <v/>
      </c>
      <c r="CS72" s="68">
        <f>IF($U72=0,0,IF($F72=4,0,IF($F72=3,0,IF(OR(52&gt;$R72,CR72&lt;=$I72),CR72,CR72-MIN(INT(ROUND(IF($F72=1,$C72*$J72,IF(GQ72&gt;0,GQ72*$K72,CR72*$J72))*IF(52=$R72,$S72,12)/12,6)+$B$4),CR72-$I72)))))</f>
        <v/>
      </c>
      <c r="CT72" s="68">
        <f>IF($U72=0,0,IF($F72=4,0,IF($F72=3,0,IF(OR(53&gt;$R72,CS72&lt;=$I72),CS72,CS72-MIN(INT(ROUND(IF($F72=1,$C72*$J72,IF(GR72&gt;0,GR72*$K72,CS72*$J72))*IF(53=$R72,$S72,12)/12,6)+$B$4),CS72-$I72)))))</f>
        <v/>
      </c>
      <c r="CU72" s="68">
        <f>IF($U72=0,0,IF($F72=4,0,IF($F72=3,0,IF(OR(54&gt;$R72,CT72&lt;=$I72),CT72,CT72-MIN(INT(ROUND(IF($F72=1,$C72*$J72,IF(GS72&gt;0,GS72*$K72,CT72*$J72))*IF(54=$R72,$S72,12)/12,6)+$B$4),CT72-$I72)))))</f>
        <v/>
      </c>
      <c r="CV72" s="68">
        <f>IF($U72=0,0,IF($F72=4,0,IF($F72=3,0,IF(OR(55&gt;$R72,CU72&lt;=$I72),CU72,CU72-MIN(INT(ROUND(IF($F72=1,$C72*$J72,IF(GT72&gt;0,GT72*$K72,CU72*$J72))*IF(55=$R72,$S72,12)/12,6)+$B$4),CU72-$I72)))))</f>
        <v/>
      </c>
      <c r="CW72" s="68">
        <f>IF($U72=0,0,IF($F72=4,0,IF($F72=3,0,IF(OR(56&gt;$R72,CV72&lt;=$I72),CV72,CV72-MIN(INT(ROUND(IF($F72=1,$C72*$J72,IF(GU72&gt;0,GU72*$K72,CV72*$J72))*IF(56=$R72,$S72,12)/12,6)+$B$4),CV72-$I72)))))</f>
        <v/>
      </c>
      <c r="CX72" s="68">
        <f>IF($U72=0,0,IF($F72=4,0,IF($F72=3,0,IF(OR(57&gt;$R72,CW72&lt;=$I72),CW72,CW72-MIN(INT(ROUND(IF($F72=1,$C72*$J72,IF(GV72&gt;0,GV72*$K72,CW72*$J72))*IF(57=$R72,$S72,12)/12,6)+$B$4),CW72-$I72)))))</f>
        <v/>
      </c>
      <c r="CY72" s="68">
        <f>IF($U72=0,0,IF($F72=4,0,IF($F72=3,0,IF(OR(58&gt;$R72,CX72&lt;=$I72),CX72,CX72-MIN(INT(ROUND(IF($F72=1,$C72*$J72,IF(GW72&gt;0,GW72*$K72,CX72*$J72))*IF(58=$R72,$S72,12)/12,6)+$B$4),CX72-$I72)))))</f>
        <v/>
      </c>
      <c r="CZ72" s="68">
        <f>IF($U72=0,0,IF($F72=4,0,IF($F72=3,0,IF(OR(59&gt;$R72,CY72&lt;=$I72),CY72,CY72-MIN(INT(ROUND(IF($F72=1,$C72*$J72,IF(GX72&gt;0,GX72*$K72,CY72*$J72))*IF(59=$R72,$S72,12)/12,6)+$B$4),CY72-$I72)))))</f>
        <v/>
      </c>
      <c r="DA72" s="68">
        <f>IF($U72=0,0,IF($F72=4,0,IF($F72=3,0,IF(OR(60&gt;$R72,CZ72&lt;=$I72),CZ72,CZ72-MIN(INT(ROUND(IF($F72=1,$C72*$J72,IF(GY72&gt;0,GY72*$K72,CZ72*$J72))*IF(60=$R72,$S72,12)/12,6)+$B$4),CZ72-$I72)))))</f>
        <v/>
      </c>
      <c r="DB72" s="68">
        <f>IF($U72=0,0,IF($F72=4,0,IF($F72=3,0,IF(OR(61&gt;$R72,DA72&lt;=$I72),DA72,DA72-MIN(INT(ROUND(IF($F72=1,$C72*$J72,IF(GZ72&gt;0,GZ72*$K72,DA72*$J72))*IF(61=$R72,$S72,12)/12,6)+$B$4),DA72-$I72)))))</f>
        <v/>
      </c>
      <c r="DC72" s="68">
        <f>IF($U72=0,0,IF($F72=4,0,IF($F72=3,0,IF(OR(62&gt;$R72,DB72&lt;=$I72),DB72,DB72-MIN(INT(ROUND(IF($F72=1,$C72*$J72,IF(HA72&gt;0,HA72*$K72,DB72*$J72))*IF(62=$R72,$S72,12)/12,6)+$B$4),DB72-$I72)))))</f>
        <v/>
      </c>
      <c r="DD72" s="68">
        <f>IF($U72=0,0,IF($F72=4,0,IF($F72=3,0,IF(OR(63&gt;$R72,DC72&lt;=$I72),DC72,DC72-MIN(INT(ROUND(IF($F72=1,$C72*$J72,IF(HB72&gt;0,HB72*$K72,DC72*$J72))*IF(63=$R72,$S72,12)/12,6)+$B$4),DC72-$I72)))))</f>
        <v/>
      </c>
      <c r="DE72" s="68">
        <f>IF($U72=0,0,IF($F72=4,0,IF($F72=3,0,IF(OR(64&gt;$R72,DD72&lt;=$I72),DD72,DD72-MIN(INT(ROUND(IF($F72=1,$C72*$J72,IF(HC72&gt;0,HC72*$K72,DD72*$J72))*IF(64=$R72,$S72,12)/12,6)+$B$4),DD72-$I72)))))</f>
        <v/>
      </c>
      <c r="DF72" s="68">
        <f>IF($U72=0,0,IF($F72=4,0,IF($F72=3,0,IF(OR(65&gt;$R72,DE72&lt;=$I72),DE72,DE72-MIN(INT(ROUND(IF($F72=1,$C72*$J72,IF(HD72&gt;0,HD72*$K72,DE72*$J72))*IF(65=$R72,$S72,12)/12,6)+$B$4),DE72-$I72)))))</f>
        <v/>
      </c>
      <c r="DG72" s="68">
        <f>IF($U72=0,0,IF($F72=4,0,IF($F72=3,0,IF(OR(66&gt;$R72,DF72&lt;=$I72),DF72,DF72-MIN(INT(ROUND(IF($F72=1,$C72*$J72,IF(HE72&gt;0,HE72*$K72,DF72*$J72))*IF(66=$R72,$S72,12)/12,6)+$B$4),DF72-$I72)))))</f>
        <v/>
      </c>
      <c r="DH72" s="68">
        <f>IF($U72=0,0,IF($F72=4,0,IF($F72=3,0,IF(OR(67&gt;$R72,DG72&lt;=$I72),DG72,DG72-MIN(INT(ROUND(IF($F72=1,$C72*$J72,IF(HF72&gt;0,HF72*$K72,DG72*$J72))*IF(67=$R72,$S72,12)/12,6)+$B$4),DG72-$I72)))))</f>
        <v/>
      </c>
      <c r="DI72" s="68">
        <f>IF($U72=0,0,IF($F72=4,0,IF($F72=3,0,IF(OR(68&gt;$R72,DH72&lt;=$I72),DH72,DH72-MIN(INT(ROUND(IF($F72=1,$C72*$J72,IF(HG72&gt;0,HG72*$K72,DH72*$J72))*IF(68=$R72,$S72,12)/12,6)+$B$4),DH72-$I72)))))</f>
        <v/>
      </c>
      <c r="DJ72" s="68">
        <f>IF($U72=0,0,IF($F72=4,0,IF($F72=3,0,IF(OR(69&gt;$R72,DI72&lt;=$I72),DI72,DI72-MIN(INT(ROUND(IF($F72=1,$C72*$J72,IF(HH72&gt;0,HH72*$K72,DI72*$J72))*IF(69=$R72,$S72,12)/12,6)+$B$4),DI72-$I72)))))</f>
        <v/>
      </c>
      <c r="DK72" s="68">
        <f>IF($U72=0,0,IF($F72=4,0,IF($F72=3,0,IF(OR(70&gt;$R72,DJ72&lt;=$I72),DJ72,DJ72-MIN(INT(ROUND(IF($F72=1,$C72*$J72,IF(HI72&gt;0,HI72*$K72,DJ72*$J72))*IF(70=$R72,$S72,12)/12,6)+$B$4),DJ72-$I72)))))</f>
        <v/>
      </c>
      <c r="DL72" s="68">
        <f>IF($U72=0,0,IF($F72=4,0,IF($F72=3,0,IF(OR(71&gt;$R72,DK72&lt;=$I72),DK72,DK72-MIN(INT(ROUND(IF($F72=1,$C72*$J72,IF(HJ72&gt;0,HJ72*$K72,DK72*$J72))*IF(71=$R72,$S72,12)/12,6)+$B$4),DK72-$I72)))))</f>
        <v/>
      </c>
      <c r="DM72" s="68">
        <f>IF($U72=0,0,IF($F72=4,0,IF($F72=3,0,IF(OR(72&gt;$R72,DL72&lt;=$I72),DL72,DL72-MIN(INT(ROUND(IF($F72=1,$C72*$J72,IF(HK72&gt;0,HK72*$K72,DL72*$J72))*IF(72=$R72,$S72,12)/12,6)+$B$4),DL72-$I72)))))</f>
        <v/>
      </c>
      <c r="DN72" s="68">
        <f>IF($U72=0,0,IF($F72=4,0,IF($F72=3,0,IF(OR(73&gt;$R72,DM72&lt;=$I72),DM72,DM72-MIN(INT(ROUND(IF($F72=1,$C72*$J72,IF(HL72&gt;0,HL72*$K72,DM72*$J72))*IF(73=$R72,$S72,12)/12,6)+$B$4),DM72-$I72)))))</f>
        <v/>
      </c>
      <c r="DO72" s="68">
        <f>IF($U72=0,0,IF($F72=4,0,IF($F72=3,0,IF(OR(74&gt;$R72,DN72&lt;=$I72),DN72,DN72-MIN(INT(ROUND(IF($F72=1,$C72*$J72,IF(HM72&gt;0,HM72*$K72,DN72*$J72))*IF(74=$R72,$S72,12)/12,6)+$B$4),DN72-$I72)))))</f>
        <v/>
      </c>
      <c r="DP72" s="68">
        <f>IF($U72=0,0,IF($F72=4,0,IF($F72=3,0,IF(OR(75&gt;$R72,DO72&lt;=$I72),DO72,DO72-MIN(INT(ROUND(IF($F72=1,$C72*$J72,IF(HN72&gt;0,HN72*$K72,DO72*$J72))*IF(75=$R72,$S72,12)/12,6)+$B$4),DO72-$I72)))))</f>
        <v/>
      </c>
      <c r="DQ72" s="68">
        <f>IF($U72=0,0,IF($F72=4,0,IF($F72=3,0,IF(OR(76&gt;$R72,DP72&lt;=$I72),DP72,DP72-MIN(INT(ROUND(IF($F72=1,$C72*$J72,IF(HO72&gt;0,HO72*$K72,DP72*$J72))*IF(76=$R72,$S72,12)/12,6)+$B$4),DP72-$I72)))))</f>
        <v/>
      </c>
      <c r="DR72" s="68">
        <f>IF($U72=0,0,IF($F72=4,0,IF($F72=3,0,IF(OR(77&gt;$R72,DQ72&lt;=$I72),DQ72,DQ72-MIN(INT(ROUND(IF($F72=1,$C72*$J72,IF(HP72&gt;0,HP72*$K72,DQ72*$J72))*IF(77=$R72,$S72,12)/12,6)+$B$4),DQ72-$I72)))))</f>
        <v/>
      </c>
      <c r="DS72" s="68">
        <f>IF($U72=0,0,IF($F72=4,0,IF($F72=3,0,IF(OR(78&gt;$R72,DR72&lt;=$I72),DR72,DR72-MIN(INT(ROUND(IF($F72=1,$C72*$J72,IF(HQ72&gt;0,HQ72*$K72,DR72*$J72))*IF(78=$R72,$S72,12)/12,6)+$B$4),DR72-$I72)))))</f>
        <v/>
      </c>
      <c r="DT72" s="68">
        <f>IF($U72=0,0,IF($F72=4,0,IF($F72=3,0,IF(OR(79&gt;$R72,DS72&lt;=$I72),DS72,DS72-MIN(INT(ROUND(IF($F72=1,$C72*$J72,IF(HR72&gt;0,HR72*$K72,DS72*$J72))*IF(79=$R72,$S72,12)/12,6)+$B$4),DS72-$I72)))))</f>
        <v/>
      </c>
      <c r="DU72" s="68">
        <f>IF($U72=0,0,IF($F72=4,0,IF($F72=3,0,IF(OR(80&gt;$R72,DT72&lt;=$I72),DT72,DT72-MIN(INT(ROUND(IF($F72=1,$C72*$J72,IF(HS72&gt;0,HS72*$K72,DT72*$J72))*IF(80=$R72,$S72,12)/12,6)+$B$4),DT72-$I72)))))</f>
        <v/>
      </c>
      <c r="DV72" s="68">
        <f>IF($U72=0,0,IF($F72=4,0,IF($F72=3,0,IF(OR(81&gt;$R72,DU72&lt;=$I72),DU72,DU72-MIN(INT(ROUND(IF($F72=1,$C72*$J72,IF(HT72&gt;0,HT72*$K72,DU72*$J72))*IF(81=$R72,$S72,12)/12,6)+$B$4),DU72-$I72)))))</f>
        <v/>
      </c>
      <c r="DW72" s="68">
        <f>IF($U72=0,0,IF($F72=4,0,IF($F72=3,0,IF(OR(82&gt;$R72,DV72&lt;=$I72),DV72,DV72-MIN(INT(ROUND(IF($F72=1,$C72*$J72,IF(HU72&gt;0,HU72*$K72,DV72*$J72))*IF(82=$R72,$S72,12)/12,6)+$B$4),DV72-$I72)))))</f>
        <v/>
      </c>
      <c r="DX72" s="68">
        <f>IF($U72=0,0,IF($F72=4,0,IF($F72=3,0,IF(OR(83&gt;$R72,DW72&lt;=$I72),DW72,DW72-MIN(INT(ROUND(IF($F72=1,$C72*$J72,IF(HV72&gt;0,HV72*$K72,DW72*$J72))*IF(83=$R72,$S72,12)/12,6)+$B$4),DW72-$I72)))))</f>
        <v/>
      </c>
      <c r="DY72" s="68">
        <f>IF($U72=0,0,IF($F72=4,0,IF($F72=3,0,IF(OR(84&gt;$R72,DX72&lt;=$I72),DX72,DX72-MIN(INT(ROUND(IF($F72=1,$C72*$J72,IF(HW72&gt;0,HW72*$K72,DX72*$J72))*IF(84=$R72,$S72,12)/12,6)+$B$4),DX72-$I72)))))</f>
        <v/>
      </c>
      <c r="DZ72" s="68">
        <f>IF($U72=0,0,IF($F72=4,0,IF($F72=3,0,IF(OR(85&gt;$R72,DY72&lt;=$I72),DY72,DY72-MIN(INT(ROUND(IF($F72=1,$C72*$J72,IF(HX72&gt;0,HX72*$K72,DY72*$J72))*IF(85=$R72,$S72,12)/12,6)+$B$4),DY72-$I72)))))</f>
        <v/>
      </c>
      <c r="EA72" s="68">
        <f>IF($U72=0,0,IF($F72=4,0,IF($F72=3,0,IF(OR(86&gt;$R72,DZ72&lt;=$I72),DZ72,DZ72-MIN(INT(ROUND(IF($F72=1,$C72*$J72,IF(HY72&gt;0,HY72*$K72,DZ72*$J72))*IF(86=$R72,$S72,12)/12,6)+$B$4),DZ72-$I72)))))</f>
        <v/>
      </c>
      <c r="EB72" s="68">
        <f>IF($U72=0,0,IF($F72=4,0,IF($F72=3,0,IF(OR(87&gt;$R72,EA72&lt;=$I72),EA72,EA72-MIN(INT(ROUND(IF($F72=1,$C72*$J72,IF(HZ72&gt;0,HZ72*$K72,EA72*$J72))*IF(87=$R72,$S72,12)/12,6)+$B$4),EA72-$I72)))))</f>
        <v/>
      </c>
      <c r="EC72" s="68">
        <f>IF($U72=0,0,IF($F72=4,0,IF($F72=3,0,IF(OR(88&gt;$R72,EB72&lt;=$I72),EB72,EB72-MIN(INT(ROUND(IF($F72=1,$C72*$J72,IF(IA72&gt;0,IA72*$K72,EB72*$J72))*IF(88=$R72,$S72,12)/12,6)+$B$4),EB72-$I72)))))</f>
        <v/>
      </c>
      <c r="ED72" s="68">
        <f>IF($U72=0,0,IF($F72=4,0,IF($F72=3,0,IF(OR(89&gt;$R72,EC72&lt;=$I72),EC72,EC72-MIN(INT(ROUND(IF($F72=1,$C72*$J72,IF(IB72&gt;0,IB72*$K72,EC72*$J72))*IF(89=$R72,$S72,12)/12,6)+$B$4),EC72-$I72)))))</f>
        <v/>
      </c>
      <c r="EE72" s="68">
        <f>IF($U72=0,0,IF($F72=4,0,IF($F72=3,0,IF(OR(90&gt;$R72,ED72&lt;=$I72),ED72,ED72-MIN(INT(ROUND(IF($F72=1,$C72*$J72,IF(IC72&gt;0,IC72*$K72,ED72*$J72))*IF(90=$R72,$S72,12)/12,6)+$B$4),ED72-$I72)))))</f>
        <v/>
      </c>
      <c r="EF72" s="68">
        <f>IF($U72=0,0,IF($F72=4,0,IF($F72=3,0,IF(OR(91&gt;$R72,EE72&lt;=$I72),EE72,EE72-MIN(INT(ROUND(IF($F72=1,$C72*$J72,IF(ID72&gt;0,ID72*$K72,EE72*$J72))*IF(91=$R72,$S72,12)/12,6)+$B$4),EE72-$I72)))))</f>
        <v/>
      </c>
      <c r="EG72" s="68">
        <f>IF($U72=0,0,IF($F72=4,0,IF($F72=3,0,IF(OR(92&gt;$R72,EF72&lt;=$I72),EF72,EF72-MIN(INT(ROUND(IF($F72=1,$C72*$J72,IF(IE72&gt;0,IE72*$K72,EF72*$J72))*IF(92=$R72,$S72,12)/12,6)+$B$4),EF72-$I72)))))</f>
        <v/>
      </c>
      <c r="EH72" s="68">
        <f>IF($U72=0,0,IF($F72=4,0,IF($F72=3,0,IF(OR(93&gt;$R72,EG72&lt;=$I72),EG72,EG72-MIN(INT(ROUND(IF($F72=1,$C72*$J72,IF(IF72&gt;0,IF72*$K72,EG72*$J72))*IF(93=$R72,$S72,12)/12,6)+$B$4),EG72-$I72)))))</f>
        <v/>
      </c>
      <c r="EI72" s="68">
        <f>IF($U72=0,0,IF($F72=4,0,IF($F72=3,0,IF(OR(94&gt;$R72,EH72&lt;=$I72),EH72,EH72-MIN(INT(ROUND(IF($F72=1,$C72*$J72,IF(IG72&gt;0,IG72*$K72,EH72*$J72))*IF(94=$R72,$S72,12)/12,6)+$B$4),EH72-$I72)))))</f>
        <v/>
      </c>
      <c r="EJ72" s="68">
        <f>IF($U72=0,0,IF($F72=4,0,IF($F72=3,0,IF(OR(95&gt;$R72,EI72&lt;=$I72),EI72,EI72-MIN(INT(ROUND(IF($F72=1,$C72*$J72,IF(IH72&gt;0,IH72*$K72,EI72*$J72))*IF(95=$R72,$S72,12)/12,6)+$B$4),EI72-$I72)))))</f>
        <v/>
      </c>
      <c r="EK72" s="68">
        <f>IF($U72=0,0,IF($F72=4,0,IF($F72=3,0,IF(OR(96&gt;$R72,EJ72&lt;=$I72),EJ72,EJ72-MIN(INT(ROUND(IF($F72=1,$C72*$J72,IF(II72&gt;0,II72*$K72,EJ72*$J72))*IF(96=$R72,$S72,12)/12,6)+$B$4),EJ72-$I72)))))</f>
        <v/>
      </c>
      <c r="EL72" s="68">
        <f>IF($U72=0,0,IF($F72=4,0,IF($F72=3,0,IF(OR(97&gt;$R72,EK72&lt;=$I72),EK72,EK72-MIN(INT(ROUND(IF($F72=1,$C72*$J72,IF(IJ72&gt;0,IJ72*$K72,EK72*$J72))*IF(97=$R72,$S72,12)/12,6)+$B$4),EK72-$I72)))))</f>
        <v/>
      </c>
      <c r="EM72" s="68">
        <f>IF($U72=0,0,IF($F72=4,0,IF($F72=3,0,IF(OR(98&gt;$R72,EL72&lt;=$I72),EL72,EL72-MIN(INT(ROUND(IF($F72=1,$C72*$J72,IF(IK72&gt;0,IK72*$K72,EL72*$J72))*IF(98=$R72,$S72,12)/12,6)+$B$4),EL72-$I72)))))</f>
        <v/>
      </c>
      <c r="EN72" s="68">
        <f>IF($U72=0,0,IF($F72=4,0,IF($F72=3,0,IF(OR(99&gt;$R72,EM72&lt;=$I72),EM72,EM72-MIN(INT(ROUND(IF($F72=1,$C72*$J72,IF(IL72&gt;0,IL72*$K72,EM72*$J72))*IF(99=$R72,$S72,12)/12,6)+$B$4),EM72-$I72)))))</f>
        <v/>
      </c>
      <c r="EO72" s="68">
        <f>IF($U72=0,0,IF($F72=4,0,IF($F72=3,0,IF(OR(100&gt;$R72,EN72&lt;=$I72),EN72,EN72-MIN(INT(ROUND(IF($F72=1,$C72*$J72,IF(IM72&gt;0,IM72*$K72,EN72*$J72))*IF(100=$R72,$S72,12)/12,6)+$B$4),EN72-$I72)))))</f>
        <v/>
      </c>
      <c r="EP72" s="68">
        <f>IF($U72=0,0,IF($F72=4,0,IF($F72=3,0,IF(OR(101&gt;$R72,EO72&lt;=$I72),EO72,EO72-MIN(INT(ROUND(IF($F72=1,$C72*$J72,IF(IN72&gt;0,IN72*$K72,EO72*$J72))*IF(101=$R72,$S72,12)/12,6)+$B$4),EO72-$I72)))))</f>
        <v/>
      </c>
      <c r="EQ72" s="68" t="n"/>
      <c r="ER72" s="68">
        <f>IF(OR($U72=0,$F72&lt;&gt;2),0,IF(ROUND(AS72*$J72,6)&lt;ROUND($M72,6),AS72,0))</f>
        <v/>
      </c>
      <c r="ES72" s="68">
        <f>IF(OR($U72=0,$F72&lt;&gt;2),0,IF(ER72&gt;0,ER72,IF(ROUND(AT72*$J72,6)&lt;ROUND($M72,6),AT72,0)))</f>
        <v/>
      </c>
      <c r="ET72" s="68">
        <f>IF(OR($U72=0,$F72&lt;&gt;2),0,IF(ES72&gt;0,ES72,IF(ROUND(AU72*$J72,6)&lt;ROUND($M72,6),AU72,0)))</f>
        <v/>
      </c>
      <c r="EU72" s="68">
        <f>IF(OR($U72=0,$F72&lt;&gt;2),0,IF(ET72&gt;0,ET72,IF(ROUND(AV72*$J72,6)&lt;ROUND($M72,6),AV72,0)))</f>
        <v/>
      </c>
      <c r="EV72" s="68">
        <f>IF(OR($U72=0,$F72&lt;&gt;2),0,IF(EU72&gt;0,EU72,IF(ROUND(AW72*$J72,6)&lt;ROUND($M72,6),AW72,0)))</f>
        <v/>
      </c>
      <c r="EW72" s="68">
        <f>IF(OR($U72=0,$F72&lt;&gt;2),0,IF(EV72&gt;0,EV72,IF(ROUND(AX72*$J72,6)&lt;ROUND($M72,6),AX72,0)))</f>
        <v/>
      </c>
      <c r="EX72" s="68">
        <f>IF(OR($U72=0,$F72&lt;&gt;2),0,IF(EW72&gt;0,EW72,IF(ROUND(AY72*$J72,6)&lt;ROUND($M72,6),AY72,0)))</f>
        <v/>
      </c>
      <c r="EY72" s="68">
        <f>IF(OR($U72=0,$F72&lt;&gt;2),0,IF(EX72&gt;0,EX72,IF(ROUND(AZ72*$J72,6)&lt;ROUND($M72,6),AZ72,0)))</f>
        <v/>
      </c>
      <c r="EZ72" s="68">
        <f>IF(OR($U72=0,$F72&lt;&gt;2),0,IF(EY72&gt;0,EY72,IF(ROUND(BA72*$J72,6)&lt;ROUND($M72,6),BA72,0)))</f>
        <v/>
      </c>
      <c r="FA72" s="68">
        <f>IF(OR($U72=0,$F72&lt;&gt;2),0,IF(EZ72&gt;0,EZ72,IF(ROUND(BB72*$J72,6)&lt;ROUND($M72,6),BB72,0)))</f>
        <v/>
      </c>
      <c r="FB72" s="68">
        <f>IF(OR($U72=0,$F72&lt;&gt;2),0,IF(FA72&gt;0,FA72,IF(ROUND(BC72*$J72,6)&lt;ROUND($M72,6),BC72,0)))</f>
        <v/>
      </c>
      <c r="FC72" s="68">
        <f>IF(OR($U72=0,$F72&lt;&gt;2),0,IF(FB72&gt;0,FB72,IF(ROUND(BD72*$J72,6)&lt;ROUND($M72,6),BD72,0)))</f>
        <v/>
      </c>
      <c r="FD72" s="68">
        <f>IF(OR($U72=0,$F72&lt;&gt;2),0,IF(FC72&gt;0,FC72,IF(ROUND(BE72*$J72,6)&lt;ROUND($M72,6),BE72,0)))</f>
        <v/>
      </c>
      <c r="FE72" s="68">
        <f>IF(OR($U72=0,$F72&lt;&gt;2),0,IF(FD72&gt;0,FD72,IF(ROUND(BF72*$J72,6)&lt;ROUND($M72,6),BF72,0)))</f>
        <v/>
      </c>
      <c r="FF72" s="68">
        <f>IF(OR($U72=0,$F72&lt;&gt;2),0,IF(FE72&gt;0,FE72,IF(ROUND(BG72*$J72,6)&lt;ROUND($M72,6),BG72,0)))</f>
        <v/>
      </c>
      <c r="FG72" s="68">
        <f>IF(OR($U72=0,$F72&lt;&gt;2),0,IF(FF72&gt;0,FF72,IF(ROUND(BH72*$J72,6)&lt;ROUND($M72,6),BH72,0)))</f>
        <v/>
      </c>
      <c r="FH72" s="68">
        <f>IF(OR($U72=0,$F72&lt;&gt;2),0,IF(FG72&gt;0,FG72,IF(ROUND(BI72*$J72,6)&lt;ROUND($M72,6),BI72,0)))</f>
        <v/>
      </c>
      <c r="FI72" s="68">
        <f>IF(OR($U72=0,$F72&lt;&gt;2),0,IF(FH72&gt;0,FH72,IF(ROUND(BJ72*$J72,6)&lt;ROUND($M72,6),BJ72,0)))</f>
        <v/>
      </c>
      <c r="FJ72" s="68">
        <f>IF(OR($U72=0,$F72&lt;&gt;2),0,IF(FI72&gt;0,FI72,IF(ROUND(BK72*$J72,6)&lt;ROUND($M72,6),BK72,0)))</f>
        <v/>
      </c>
      <c r="FK72" s="68">
        <f>IF(OR($U72=0,$F72&lt;&gt;2),0,IF(FJ72&gt;0,FJ72,IF(ROUND(BL72*$J72,6)&lt;ROUND($M72,6),BL72,0)))</f>
        <v/>
      </c>
      <c r="FL72" s="68">
        <f>IF(OR($U72=0,$F72&lt;&gt;2),0,IF(FK72&gt;0,FK72,IF(ROUND(BM72*$J72,6)&lt;ROUND($M72,6),BM72,0)))</f>
        <v/>
      </c>
      <c r="FM72" s="68">
        <f>IF(OR($U72=0,$F72&lt;&gt;2),0,IF(FL72&gt;0,FL72,IF(ROUND(BN72*$J72,6)&lt;ROUND($M72,6),BN72,0)))</f>
        <v/>
      </c>
      <c r="FN72" s="68">
        <f>IF(OR($U72=0,$F72&lt;&gt;2),0,IF(FM72&gt;0,FM72,IF(ROUND(BO72*$J72,6)&lt;ROUND($M72,6),BO72,0)))</f>
        <v/>
      </c>
      <c r="FO72" s="68">
        <f>IF(OR($U72=0,$F72&lt;&gt;2),0,IF(FN72&gt;0,FN72,IF(ROUND(BP72*$J72,6)&lt;ROUND($M72,6),BP72,0)))</f>
        <v/>
      </c>
      <c r="FP72" s="68">
        <f>IF(OR($U72=0,$F72&lt;&gt;2),0,IF(FO72&gt;0,FO72,IF(ROUND(BQ72*$J72,6)&lt;ROUND($M72,6),BQ72,0)))</f>
        <v/>
      </c>
      <c r="FQ72" s="68">
        <f>IF(OR($U72=0,$F72&lt;&gt;2),0,IF(FP72&gt;0,FP72,IF(ROUND(BR72*$J72,6)&lt;ROUND($M72,6),BR72,0)))</f>
        <v/>
      </c>
      <c r="FR72" s="68">
        <f>IF(OR($U72=0,$F72&lt;&gt;2),0,IF(FQ72&gt;0,FQ72,IF(ROUND(BS72*$J72,6)&lt;ROUND($M72,6),BS72,0)))</f>
        <v/>
      </c>
      <c r="FS72" s="68">
        <f>IF(OR($U72=0,$F72&lt;&gt;2),0,IF(FR72&gt;0,FR72,IF(ROUND(BT72*$J72,6)&lt;ROUND($M72,6),BT72,0)))</f>
        <v/>
      </c>
      <c r="FT72" s="68">
        <f>IF(OR($U72=0,$F72&lt;&gt;2),0,IF(FS72&gt;0,FS72,IF(ROUND(BU72*$J72,6)&lt;ROUND($M72,6),BU72,0)))</f>
        <v/>
      </c>
      <c r="FU72" s="68">
        <f>IF(OR($U72=0,$F72&lt;&gt;2),0,IF(FT72&gt;0,FT72,IF(ROUND(BV72*$J72,6)&lt;ROUND($M72,6),BV72,0)))</f>
        <v/>
      </c>
      <c r="FV72" s="68">
        <f>IF(OR($U72=0,$F72&lt;&gt;2),0,IF(FU72&gt;0,FU72,IF(ROUND(BW72*$J72,6)&lt;ROUND($M72,6),BW72,0)))</f>
        <v/>
      </c>
      <c r="FW72" s="68">
        <f>IF(OR($U72=0,$F72&lt;&gt;2),0,IF(FV72&gt;0,FV72,IF(ROUND(BX72*$J72,6)&lt;ROUND($M72,6),BX72,0)))</f>
        <v/>
      </c>
      <c r="FX72" s="68">
        <f>IF(OR($U72=0,$F72&lt;&gt;2),0,IF(FW72&gt;0,FW72,IF(ROUND(BY72*$J72,6)&lt;ROUND($M72,6),BY72,0)))</f>
        <v/>
      </c>
      <c r="FY72" s="68">
        <f>IF(OR($U72=0,$F72&lt;&gt;2),0,IF(FX72&gt;0,FX72,IF(ROUND(BZ72*$J72,6)&lt;ROUND($M72,6),BZ72,0)))</f>
        <v/>
      </c>
      <c r="FZ72" s="68">
        <f>IF(OR($U72=0,$F72&lt;&gt;2),0,IF(FY72&gt;0,FY72,IF(ROUND(CA72*$J72,6)&lt;ROUND($M72,6),CA72,0)))</f>
        <v/>
      </c>
      <c r="GA72" s="68">
        <f>IF(OR($U72=0,$F72&lt;&gt;2),0,IF(FZ72&gt;0,FZ72,IF(ROUND(CB72*$J72,6)&lt;ROUND($M72,6),CB72,0)))</f>
        <v/>
      </c>
      <c r="GB72" s="68">
        <f>IF(OR($U72=0,$F72&lt;&gt;2),0,IF(GA72&gt;0,GA72,IF(ROUND(CC72*$J72,6)&lt;ROUND($M72,6),CC72,0)))</f>
        <v/>
      </c>
      <c r="GC72" s="68">
        <f>IF(OR($U72=0,$F72&lt;&gt;2),0,IF(GB72&gt;0,GB72,IF(ROUND(CD72*$J72,6)&lt;ROUND($M72,6),CD72,0)))</f>
        <v/>
      </c>
      <c r="GD72" s="68">
        <f>IF(OR($U72=0,$F72&lt;&gt;2),0,IF(GC72&gt;0,GC72,IF(ROUND(CE72*$J72,6)&lt;ROUND($M72,6),CE72,0)))</f>
        <v/>
      </c>
      <c r="GE72" s="68">
        <f>IF(OR($U72=0,$F72&lt;&gt;2),0,IF(GD72&gt;0,GD72,IF(ROUND(CF72*$J72,6)&lt;ROUND($M72,6),CF72,0)))</f>
        <v/>
      </c>
      <c r="GF72" s="68">
        <f>IF(OR($U72=0,$F72&lt;&gt;2),0,IF(GE72&gt;0,GE72,IF(ROUND(CG72*$J72,6)&lt;ROUND($M72,6),CG72,0)))</f>
        <v/>
      </c>
      <c r="GG72" s="68">
        <f>IF(OR($U72=0,$F72&lt;&gt;2),0,IF(GF72&gt;0,GF72,IF(ROUND(CH72*$J72,6)&lt;ROUND($M72,6),CH72,0)))</f>
        <v/>
      </c>
      <c r="GH72" s="68">
        <f>IF(OR($U72=0,$F72&lt;&gt;2),0,IF(GG72&gt;0,GG72,IF(ROUND(CI72*$J72,6)&lt;ROUND($M72,6),CI72,0)))</f>
        <v/>
      </c>
      <c r="GI72" s="68">
        <f>IF(OR($U72=0,$F72&lt;&gt;2),0,IF(GH72&gt;0,GH72,IF(ROUND(CJ72*$J72,6)&lt;ROUND($M72,6),CJ72,0)))</f>
        <v/>
      </c>
      <c r="GJ72" s="68">
        <f>IF(OR($U72=0,$F72&lt;&gt;2),0,IF(GI72&gt;0,GI72,IF(ROUND(CK72*$J72,6)&lt;ROUND($M72,6),CK72,0)))</f>
        <v/>
      </c>
      <c r="GK72" s="68">
        <f>IF(OR($U72=0,$F72&lt;&gt;2),0,IF(GJ72&gt;0,GJ72,IF(ROUND(CL72*$J72,6)&lt;ROUND($M72,6),CL72,0)))</f>
        <v/>
      </c>
      <c r="GL72" s="68">
        <f>IF(OR($U72=0,$F72&lt;&gt;2),0,IF(GK72&gt;0,GK72,IF(ROUND(CM72*$J72,6)&lt;ROUND($M72,6),CM72,0)))</f>
        <v/>
      </c>
      <c r="GM72" s="68">
        <f>IF(OR($U72=0,$F72&lt;&gt;2),0,IF(GL72&gt;0,GL72,IF(ROUND(CN72*$J72,6)&lt;ROUND($M72,6),CN72,0)))</f>
        <v/>
      </c>
      <c r="GN72" s="68">
        <f>IF(OR($U72=0,$F72&lt;&gt;2),0,IF(GM72&gt;0,GM72,IF(ROUND(CO72*$J72,6)&lt;ROUND($M72,6),CO72,0)))</f>
        <v/>
      </c>
      <c r="GO72" s="68">
        <f>IF(OR($U72=0,$F72&lt;&gt;2),0,IF(GN72&gt;0,GN72,IF(ROUND(CP72*$J72,6)&lt;ROUND($M72,6),CP72,0)))</f>
        <v/>
      </c>
      <c r="GP72" s="68">
        <f>IF(OR($U72=0,$F72&lt;&gt;2),0,IF(GO72&gt;0,GO72,IF(ROUND(CQ72*$J72,6)&lt;ROUND($M72,6),CQ72,0)))</f>
        <v/>
      </c>
      <c r="GQ72" s="68">
        <f>IF(OR($U72=0,$F72&lt;&gt;2),0,IF(GP72&gt;0,GP72,IF(ROUND(CR72*$J72,6)&lt;ROUND($M72,6),CR72,0)))</f>
        <v/>
      </c>
      <c r="GR72" s="68">
        <f>IF(OR($U72=0,$F72&lt;&gt;2),0,IF(GQ72&gt;0,GQ72,IF(ROUND(CS72*$J72,6)&lt;ROUND($M72,6),CS72,0)))</f>
        <v/>
      </c>
      <c r="GS72" s="68">
        <f>IF(OR($U72=0,$F72&lt;&gt;2),0,IF(GR72&gt;0,GR72,IF(ROUND(CT72*$J72,6)&lt;ROUND($M72,6),CT72,0)))</f>
        <v/>
      </c>
      <c r="GT72" s="68">
        <f>IF(OR($U72=0,$F72&lt;&gt;2),0,IF(GS72&gt;0,GS72,IF(ROUND(CU72*$J72,6)&lt;ROUND($M72,6),CU72,0)))</f>
        <v/>
      </c>
      <c r="GU72" s="68">
        <f>IF(OR($U72=0,$F72&lt;&gt;2),0,IF(GT72&gt;0,GT72,IF(ROUND(CV72*$J72,6)&lt;ROUND($M72,6),CV72,0)))</f>
        <v/>
      </c>
      <c r="GV72" s="68">
        <f>IF(OR($U72=0,$F72&lt;&gt;2),0,IF(GU72&gt;0,GU72,IF(ROUND(CW72*$J72,6)&lt;ROUND($M72,6),CW72,0)))</f>
        <v/>
      </c>
      <c r="GW72" s="68">
        <f>IF(OR($U72=0,$F72&lt;&gt;2),0,IF(GV72&gt;0,GV72,IF(ROUND(CX72*$J72,6)&lt;ROUND($M72,6),CX72,0)))</f>
        <v/>
      </c>
      <c r="GX72" s="68">
        <f>IF(OR($U72=0,$F72&lt;&gt;2),0,IF(GW72&gt;0,GW72,IF(ROUND(CY72*$J72,6)&lt;ROUND($M72,6),CY72,0)))</f>
        <v/>
      </c>
      <c r="GY72" s="68">
        <f>IF(OR($U72=0,$F72&lt;&gt;2),0,IF(GX72&gt;0,GX72,IF(ROUND(CZ72*$J72,6)&lt;ROUND($M72,6),CZ72,0)))</f>
        <v/>
      </c>
      <c r="GZ72" s="68">
        <f>IF(OR($U72=0,$F72&lt;&gt;2),0,IF(GY72&gt;0,GY72,IF(ROUND(DA72*$J72,6)&lt;ROUND($M72,6),DA72,0)))</f>
        <v/>
      </c>
      <c r="HA72" s="68">
        <f>IF(OR($U72=0,$F72&lt;&gt;2),0,IF(GZ72&gt;0,GZ72,IF(ROUND(DB72*$J72,6)&lt;ROUND($M72,6),DB72,0)))</f>
        <v/>
      </c>
      <c r="HB72" s="68">
        <f>IF(OR($U72=0,$F72&lt;&gt;2),0,IF(HA72&gt;0,HA72,IF(ROUND(DC72*$J72,6)&lt;ROUND($M72,6),DC72,0)))</f>
        <v/>
      </c>
      <c r="HC72" s="68">
        <f>IF(OR($U72=0,$F72&lt;&gt;2),0,IF(HB72&gt;0,HB72,IF(ROUND(DD72*$J72,6)&lt;ROUND($M72,6),DD72,0)))</f>
        <v/>
      </c>
      <c r="HD72" s="68">
        <f>IF(OR($U72=0,$F72&lt;&gt;2),0,IF(HC72&gt;0,HC72,IF(ROUND(DE72*$J72,6)&lt;ROUND($M72,6),DE72,0)))</f>
        <v/>
      </c>
      <c r="HE72" s="68">
        <f>IF(OR($U72=0,$F72&lt;&gt;2),0,IF(HD72&gt;0,HD72,IF(ROUND(DF72*$J72,6)&lt;ROUND($M72,6),DF72,0)))</f>
        <v/>
      </c>
      <c r="HF72" s="68">
        <f>IF(OR($U72=0,$F72&lt;&gt;2),0,IF(HE72&gt;0,HE72,IF(ROUND(DG72*$J72,6)&lt;ROUND($M72,6),DG72,0)))</f>
        <v/>
      </c>
      <c r="HG72" s="68">
        <f>IF(OR($U72=0,$F72&lt;&gt;2),0,IF(HF72&gt;0,HF72,IF(ROUND(DH72*$J72,6)&lt;ROUND($M72,6),DH72,0)))</f>
        <v/>
      </c>
      <c r="HH72" s="68">
        <f>IF(OR($U72=0,$F72&lt;&gt;2),0,IF(HG72&gt;0,HG72,IF(ROUND(DI72*$J72,6)&lt;ROUND($M72,6),DI72,0)))</f>
        <v/>
      </c>
      <c r="HI72" s="68">
        <f>IF(OR($U72=0,$F72&lt;&gt;2),0,IF(HH72&gt;0,HH72,IF(ROUND(DJ72*$J72,6)&lt;ROUND($M72,6),DJ72,0)))</f>
        <v/>
      </c>
      <c r="HJ72" s="68">
        <f>IF(OR($U72=0,$F72&lt;&gt;2),0,IF(HI72&gt;0,HI72,IF(ROUND(DK72*$J72,6)&lt;ROUND($M72,6),DK72,0)))</f>
        <v/>
      </c>
      <c r="HK72" s="68">
        <f>IF(OR($U72=0,$F72&lt;&gt;2),0,IF(HJ72&gt;0,HJ72,IF(ROUND(DL72*$J72,6)&lt;ROUND($M72,6),DL72,0)))</f>
        <v/>
      </c>
      <c r="HL72" s="68">
        <f>IF(OR($U72=0,$F72&lt;&gt;2),0,IF(HK72&gt;0,HK72,IF(ROUND(DM72*$J72,6)&lt;ROUND($M72,6),DM72,0)))</f>
        <v/>
      </c>
      <c r="HM72" s="68">
        <f>IF(OR($U72=0,$F72&lt;&gt;2),0,IF(HL72&gt;0,HL72,IF(ROUND(DN72*$J72,6)&lt;ROUND($M72,6),DN72,0)))</f>
        <v/>
      </c>
      <c r="HN72" s="68">
        <f>IF(OR($U72=0,$F72&lt;&gt;2),0,IF(HM72&gt;0,HM72,IF(ROUND(DO72*$J72,6)&lt;ROUND($M72,6),DO72,0)))</f>
        <v/>
      </c>
      <c r="HO72" s="68">
        <f>IF(OR($U72=0,$F72&lt;&gt;2),0,IF(HN72&gt;0,HN72,IF(ROUND(DP72*$J72,6)&lt;ROUND($M72,6),DP72,0)))</f>
        <v/>
      </c>
      <c r="HP72" s="68">
        <f>IF(OR($U72=0,$F72&lt;&gt;2),0,IF(HO72&gt;0,HO72,IF(ROUND(DQ72*$J72,6)&lt;ROUND($M72,6),DQ72,0)))</f>
        <v/>
      </c>
      <c r="HQ72" s="68">
        <f>IF(OR($U72=0,$F72&lt;&gt;2),0,IF(HP72&gt;0,HP72,IF(ROUND(DR72*$J72,6)&lt;ROUND($M72,6),DR72,0)))</f>
        <v/>
      </c>
      <c r="HR72" s="68">
        <f>IF(OR($U72=0,$F72&lt;&gt;2),0,IF(HQ72&gt;0,HQ72,IF(ROUND(DS72*$J72,6)&lt;ROUND($M72,6),DS72,0)))</f>
        <v/>
      </c>
      <c r="HS72" s="68">
        <f>IF(OR($U72=0,$F72&lt;&gt;2),0,IF(HR72&gt;0,HR72,IF(ROUND(DT72*$J72,6)&lt;ROUND($M72,6),DT72,0)))</f>
        <v/>
      </c>
      <c r="HT72" s="68">
        <f>IF(OR($U72=0,$F72&lt;&gt;2),0,IF(HS72&gt;0,HS72,IF(ROUND(DU72*$J72,6)&lt;ROUND($M72,6),DU72,0)))</f>
        <v/>
      </c>
      <c r="HU72" s="68">
        <f>IF(OR($U72=0,$F72&lt;&gt;2),0,IF(HT72&gt;0,HT72,IF(ROUND(DV72*$J72,6)&lt;ROUND($M72,6),DV72,0)))</f>
        <v/>
      </c>
      <c r="HV72" s="68">
        <f>IF(OR($U72=0,$F72&lt;&gt;2),0,IF(HU72&gt;0,HU72,IF(ROUND(DW72*$J72,6)&lt;ROUND($M72,6),DW72,0)))</f>
        <v/>
      </c>
      <c r="HW72" s="68">
        <f>IF(OR($U72=0,$F72&lt;&gt;2),0,IF(HV72&gt;0,HV72,IF(ROUND(DX72*$J72,6)&lt;ROUND($M72,6),DX72,0)))</f>
        <v/>
      </c>
      <c r="HX72" s="68">
        <f>IF(OR($U72=0,$F72&lt;&gt;2),0,IF(HW72&gt;0,HW72,IF(ROUND(DY72*$J72,6)&lt;ROUND($M72,6),DY72,0)))</f>
        <v/>
      </c>
      <c r="HY72" s="68">
        <f>IF(OR($U72=0,$F72&lt;&gt;2),0,IF(HX72&gt;0,HX72,IF(ROUND(DZ72*$J72,6)&lt;ROUND($M72,6),DZ72,0)))</f>
        <v/>
      </c>
      <c r="HZ72" s="68">
        <f>IF(OR($U72=0,$F72&lt;&gt;2),0,IF(HY72&gt;0,HY72,IF(ROUND(EA72*$J72,6)&lt;ROUND($M72,6),EA72,0)))</f>
        <v/>
      </c>
      <c r="IA72" s="68">
        <f>IF(OR($U72=0,$F72&lt;&gt;2),0,IF(HZ72&gt;0,HZ72,IF(ROUND(EB72*$J72,6)&lt;ROUND($M72,6),EB72,0)))</f>
        <v/>
      </c>
      <c r="IB72" s="68">
        <f>IF(OR($U72=0,$F72&lt;&gt;2),0,IF(IA72&gt;0,IA72,IF(ROUND(EC72*$J72,6)&lt;ROUND($M72,6),EC72,0)))</f>
        <v/>
      </c>
      <c r="IC72" s="68">
        <f>IF(OR($U72=0,$F72&lt;&gt;2),0,IF(IB72&gt;0,IB72,IF(ROUND(ED72*$J72,6)&lt;ROUND($M72,6),ED72,0)))</f>
        <v/>
      </c>
      <c r="ID72" s="68">
        <f>IF(OR($U72=0,$F72&lt;&gt;2),0,IF(IC72&gt;0,IC72,IF(ROUND(EE72*$J72,6)&lt;ROUND($M72,6),EE72,0)))</f>
        <v/>
      </c>
      <c r="IE72" s="68">
        <f>IF(OR($U72=0,$F72&lt;&gt;2),0,IF(ID72&gt;0,ID72,IF(ROUND(EF72*$J72,6)&lt;ROUND($M72,6),EF72,0)))</f>
        <v/>
      </c>
      <c r="IF72" s="68">
        <f>IF(OR($U72=0,$F72&lt;&gt;2),0,IF(IE72&gt;0,IE72,IF(ROUND(EG72*$J72,6)&lt;ROUND($M72,6),EG72,0)))</f>
        <v/>
      </c>
      <c r="IG72" s="68">
        <f>IF(OR($U72=0,$F72&lt;&gt;2),0,IF(IF72&gt;0,IF72,IF(ROUND(EH72*$J72,6)&lt;ROUND($M72,6),EH72,0)))</f>
        <v/>
      </c>
      <c r="IH72" s="68">
        <f>IF(OR($U72=0,$F72&lt;&gt;2),0,IF(IG72&gt;0,IG72,IF(ROUND(EI72*$J72,6)&lt;ROUND($M72,6),EI72,0)))</f>
        <v/>
      </c>
      <c r="II72" s="68">
        <f>IF(OR($U72=0,$F72&lt;&gt;2),0,IF(IH72&gt;0,IH72,IF(ROUND(EJ72*$J72,6)&lt;ROUND($M72,6),EJ72,0)))</f>
        <v/>
      </c>
      <c r="IJ72" s="68">
        <f>IF(OR($U72=0,$F72&lt;&gt;2),0,IF(II72&gt;0,II72,IF(ROUND(EK72*$J72,6)&lt;ROUND($M72,6),EK72,0)))</f>
        <v/>
      </c>
      <c r="IK72" s="68">
        <f>IF(OR($U72=0,$F72&lt;&gt;2),0,IF(IJ72&gt;0,IJ72,IF(ROUND(EL72*$J72,6)&lt;ROUND($M72,6),EL72,0)))</f>
        <v/>
      </c>
      <c r="IL72" s="68">
        <f>IF(OR($U72=0,$F72&lt;&gt;2),0,IF(IK72&gt;0,IK72,IF(ROUND(EM72*$J72,6)&lt;ROUND($M72,6),EM72,0)))</f>
        <v/>
      </c>
      <c r="IM72" s="68">
        <f>IF(OR($U72=0,$F72&lt;&gt;2),0,IF(IL72&gt;0,IL72,IF(ROUND(EN72*$J72,6)&lt;ROUND($M72,6),EN72,0)))</f>
        <v/>
      </c>
      <c r="IN72" s="68">
        <f>IF(OR($U72=0,$F72&lt;&gt;2),0,IF(IM72&gt;0,IM72,IF(ROUND(EO72*$J72,6)&lt;ROUND($M72,6),EO72,0)))</f>
        <v/>
      </c>
    </row>
    <row r="73">
      <c r="A73" s="68" t="n">
        <v>68</v>
      </c>
      <c r="B73" s="68">
        <f>IF(OR(TRIM('固定資産台帳'!$B73)&lt;&gt;"",'固定資産台帳'!$E73&lt;&gt;"",'固定資産台帳'!$G73&lt;&gt;"",'固定資産台帳'!$H73&lt;&gt;""),1,0)</f>
        <v/>
      </c>
      <c r="C73" s="68">
        <f>IF(ISNUMBER('固定資産台帳'!$G73),MAX(ROUND('固定資産台帳'!$G73,0),0),0)</f>
        <v/>
      </c>
      <c r="D73" s="84">
        <f>IF(ISNUMBER('固定資産台帳'!$E73),INT('固定資産台帳'!$E73),0)</f>
        <v/>
      </c>
      <c r="E73" s="84">
        <f>IF(ISNUMBER('固定資産台帳'!$F73),INT('固定資産台帳'!$F73),$D73)</f>
        <v/>
      </c>
      <c r="F73" s="68">
        <f>IF('固定資産台帳'!$H73="定額法",1,IF(OR('固定資産台帳'!$H73="定率法",'固定資産台帳'!$H73="定率法（200%）",'固定資産台帳'!$H73="定率法（250%）"),2,IF('固定資産台帳'!$H73="一括償却（3年）",3,IF('固定資産台帳'!$H73="少額特例",4,0))))</f>
        <v/>
      </c>
      <c r="G73" s="68">
        <f>IF('固定資産台帳'!$H73="定率法（250%）",250,IF('固定資産台帳'!$H73="定率法（200%）",200,IF($D73&gt;=DATE(2012,4,1),200,250)))</f>
        <v/>
      </c>
      <c r="H73" s="68">
        <f>IF(ISNUMBER('固定資産台帳'!$I73),IF(AND('固定資産台帳'!$I73&gt;=2,'固定資産台帳'!$I73&lt;=100,'固定資産台帳'!$I73=INT('固定資産台帳'!$I73)),'固定資産台帳'!$I73,0),0)</f>
        <v/>
      </c>
      <c r="I73" s="68">
        <f>IF('固定資産台帳'!$C73="無形固定資産",0,1)</f>
        <v/>
      </c>
      <c r="J73" s="68">
        <f>IF(OR($H73=0,$F73=0,$F73&gt;2),0,IF($F73=1,INDEX('償却率表'!$B$6:$B$104,$H73-1),IF($G73=200,INDEX('償却率表'!$C$6:$C$104,$H73-1),INDEX('償却率表'!$F$6:$F$104,$H73-1))))</f>
        <v/>
      </c>
      <c r="K73" s="68">
        <f>IF(AND($F73=2,$H73&gt;0),IF($G73=200,INDEX('償却率表'!$D$6:$D$104,$H73-1),INDEX('償却率表'!$G$6:$G$104,$H73-1)),0)</f>
        <v/>
      </c>
      <c r="L73" s="68">
        <f>IF(AND($F73=2,$H73&gt;0),IF($G73=200,INDEX('償却率表'!$E$6:$E$104,$H73-1),INDEX('償却率表'!$H$6:$H$104,$H73-1)),0)</f>
        <v/>
      </c>
      <c r="M73" s="68">
        <f>$C73*$L73</f>
        <v/>
      </c>
      <c r="N73" s="68">
        <f>IF($B$1=1,1,IF('固定資産台帳'!$J73="",1,IF(ISNUMBER('固定資産台帳'!$J73),IF(AND('固定資産台帳'!$J73&gt;0,'固定資産台帳'!$J73&lt;=1),'固定資産台帳'!$J73,0),0)))</f>
        <v/>
      </c>
      <c r="O73" s="68">
        <f>IF($E73=0,0,YEAR($E73)-IF(MONTH($E73)&lt;$B$2,1,0))</f>
        <v/>
      </c>
      <c r="P73" s="68">
        <f>IF($E73=0,0,12-MOD(MONTH($E73)-$B$2,12))</f>
        <v/>
      </c>
      <c r="Q73" s="84">
        <f>IF(ISNUMBER('固定資産台帳'!$K73),INT('固定資産台帳'!$K73),0)</f>
        <v/>
      </c>
      <c r="R73" s="68">
        <f>IF(OR($Q73=0,$E73=0),999,YEAR($Q73)-IF(MONTH($Q73)&lt;$B$2,1,0)-$O73)</f>
        <v/>
      </c>
      <c r="S73" s="68">
        <f>IF($R73=999,0,MOD(MONTH($Q73)-$B$2,12)+1-IF($R73=0,12-$P73,0))</f>
        <v/>
      </c>
      <c r="T73" s="68">
        <f>IF($B73=0,0,IF($C73&lt;=0,1,IF($D73=0,2,IF($F73=0,3,IF(AND($F73&lt;=2,$H73=0),4,IF(AND($F73&lt;=2,$D73&lt;DATE(2007,4,1)),5,IF($E73&lt;$D73,6,IF(AND($Q73&gt;0,$Q73&lt;$E73),7,IF($N73=0,8,IF($B$3=0,9,0))))))))))</f>
        <v/>
      </c>
      <c r="U73" s="68">
        <f>IF(AND($B73=1,$T73=0),1,0)</f>
        <v/>
      </c>
      <c r="V73" s="68">
        <f>$B$3-$O73</f>
        <v/>
      </c>
      <c r="W73" s="68">
        <f>IF(AND($U73=1,$V73&gt;=0),1,0)</f>
        <v/>
      </c>
      <c r="X73" s="68">
        <f>IF($W73=0,0,IF($V73=0,$C73,INDEX($AS73:$EP73,MIN($V73,102))))</f>
        <v/>
      </c>
      <c r="Y73" s="68">
        <f>IF($W73=0,0,INDEX($AS73:$EP73,MIN($V73,101)+1))</f>
        <v/>
      </c>
      <c r="Z73" s="68">
        <f>$X73-$Y73</f>
        <v/>
      </c>
      <c r="AA73" s="68">
        <f>IF(AND($W73=1,$F73=2,$V73&gt;=1),INDEX($ER73:$IN73,MIN($V73,101)),0)</f>
        <v/>
      </c>
      <c r="AB73" s="68">
        <f>IF(OR($W73=0,$F73&gt;2,$Z73=0),0,IF($V73=0,IF($R73=0,$S73,$P73),IF($V73=$R73,$S73,12)))</f>
        <v/>
      </c>
      <c r="AC73" s="68">
        <f>IF($W73=0,0,INT(ROUND($Z73*$N73,6)+$B$4))</f>
        <v/>
      </c>
      <c r="AD73" s="68">
        <f>IF(AND($W73=1,$F73&lt;=2,$V73=$R73),1,0)</f>
        <v/>
      </c>
      <c r="AE73" s="68">
        <f>IF(AND($W73=1,$F73&lt;=2,$V73&gt;$R73),1,0)</f>
        <v/>
      </c>
      <c r="AF73" s="68">
        <f>IF(AND($W73=1,$AE73=0,OR($Z73&gt;0,$AD73=1)),1,0)</f>
        <v/>
      </c>
      <c r="AG73" s="68">
        <f>IF($AF73=1,SUM($AF$6:$AF73),0)</f>
        <v/>
      </c>
      <c r="AH73" s="68">
        <f>IF($T73=0,"",CHOOSE($T73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73" s="68">
        <f>IF(AND($F73=2,OR('固定資産台帳'!$C73="建物",'固定資産台帳'!$C73="無形固定資産",AND(OR('固定資産台帳'!$C73="建物附属設備",'固定資産台帳'!$C73="構築物"),$D73&gt;=DATE(2016,4,1)))),"この資産は定額法だけです（定率法は使えません）。","")&amp;IF(AND($F73=3,$C73&gt;=200000),"一括償却は20万円未満の資産だけです。","")&amp;IF(AND($F73=3,$B$1=0,$C73&lt;100000),"10万円未満は一括償却にせず、全額をその年の経費にします。","")&amp;IF(AND($F73=4,$C73&lt;100000),"10万円未満は少額特例ではなく、全額をその年の経費にします。","")&amp;IF(AND($F73=4,$D73&lt;DATE(2026,4,1),$C73&gt;=300000),"2026年3月31日までの取得で少額特例が使えるのは30万円未満です。","")&amp;IF(AND($F73=4,$D73&gt;=DATE(2026,4,1),$C73&gt;=400000),"少額特例は40万円未満の資産だけです。","")&amp;IF(AND($F73=4,OR($D73&lt;DATE(2006,4,1),$D73&gt;DATE(2029,3,31))),"少額特例は2006年4月1日〜2029年3月31日に取得した資産だけです。","")&amp;IF(AND($F73=2,$G73=250,$D73&gt;DATE(2012,12,31)),"250%定率法は2012年12月31日までの取得だけです。","")</f>
        <v/>
      </c>
      <c r="AJ73" s="68">
        <f>IF(AND($F73=2,'固定資産台帳'!$H73="定率法（200%）",$D73&lt;DATE(2012,4,1)),"2012年3月31日までの取得に200%を使うのは、経過措置の届出をした場合です。","")&amp;IF(AND($F73=2,'固定資産台帳'!$H73="定率法（250%）",$D73&gt;=DATE(2012,4,1),$D73&lt;=DATE(2012,12,31)),"2012年4〜12月の取得に250%を使うのは、経過措置を選んだ場合です。","")</f>
        <v/>
      </c>
      <c r="AK73" s="68">
        <f>IF($U73=0,"",IF($V73&lt;0,"表示している年より後に使い始める資産です。",IF($AE73=1,"売却・除却済みです。",IF($AD73=1,"この年に売却・除却。期末の帳簿価額 "&amp;TEXT($Y73,"#,##0")&amp;"円を帳簿から外します。",IF($F73=4,IF($V73=0,"少額特例：この年に全額を経費にします。","少額特例で経費にした資産です。"),IF($F73=3,IF($V73&gt;2,"一括償却は終わっています。","一括償却 "&amp;($V73+1)&amp;"年目（3年のうち）。"),IF($Z73=0,"償却済み（帳簿価額 "&amp;TEXT($Y73,"#,##0")&amp;"円）。",IF($AA73&gt;0,"改定償却率で計算（改定取得価額 "&amp;TEXT($AA73,"#,##0")&amp;"円）。",IF($V73=0,"この年に使い始め（"&amp;$AB73&amp;"か月分）。","")))))))))</f>
        <v/>
      </c>
      <c r="AL73" s="68">
        <f>IF(AND($U73=1,$F73=4,$V73=0),$C73,0)</f>
        <v/>
      </c>
      <c r="AM73" s="68">
        <f>IF($F73=2,INT(ROUND($M73,6)+$B$4),0)</f>
        <v/>
      </c>
      <c r="AN73" s="68">
        <f>IF($W73=0,0,IF($F73=2,IF($AA73&gt;0,$AA73,$X73),$C73))</f>
        <v/>
      </c>
      <c r="AO73" s="68">
        <f>IF($W73=0,"",IF($F73=3,"1/3",IF($F73=4,"―",IF($AA73&gt;0,$K73,$J73))))</f>
        <v/>
      </c>
      <c r="AP73" s="68" t="n"/>
      <c r="AQ73" s="68" t="n"/>
      <c r="AR73" s="68" t="n"/>
      <c r="AS73" s="68">
        <f>IF($U73=0,0,IF($F73=4,0,IF($F73=3,MAX($C73-INT(ROUND($C73/3,6)+$B$4),0),$C73-MIN(INT(ROUND($C73*$J73*IF($R73=0,$S73,$P73)/12,6)+$B$4),MAX($C73-$I73,0)))))</f>
        <v/>
      </c>
      <c r="AT73" s="68">
        <f>IF($U73=0,0,IF($F73=4,0,IF($F73=3,AS73-MIN(INT(ROUND($C73/3,6)+$B$4),AS73),IF(OR(1&gt;$R73,AS73&lt;=$I73),AS73,AS73-MIN(INT(ROUND(IF($F73=1,$C73*$J73,IF(ER73&gt;0,ER73*$K73,AS73*$J73))*IF(1=$R73,$S73,12)/12,6)+$B$4),AS73-$I73)))))</f>
        <v/>
      </c>
      <c r="AU73" s="68">
        <f>IF($U73=0,0,IF($F73=4,0,IF($F73=3,0,IF(OR(2&gt;$R73,AT73&lt;=$I73),AT73,AT73-MIN(INT(ROUND(IF($F73=1,$C73*$J73,IF(ES73&gt;0,ES73*$K73,AT73*$J73))*IF(2=$R73,$S73,12)/12,6)+$B$4),AT73-$I73)))))</f>
        <v/>
      </c>
      <c r="AV73" s="68">
        <f>IF($U73=0,0,IF($F73=4,0,IF($F73=3,0,IF(OR(3&gt;$R73,AU73&lt;=$I73),AU73,AU73-MIN(INT(ROUND(IF($F73=1,$C73*$J73,IF(ET73&gt;0,ET73*$K73,AU73*$J73))*IF(3=$R73,$S73,12)/12,6)+$B$4),AU73-$I73)))))</f>
        <v/>
      </c>
      <c r="AW73" s="68">
        <f>IF($U73=0,0,IF($F73=4,0,IF($F73=3,0,IF(OR(4&gt;$R73,AV73&lt;=$I73),AV73,AV73-MIN(INT(ROUND(IF($F73=1,$C73*$J73,IF(EU73&gt;0,EU73*$K73,AV73*$J73))*IF(4=$R73,$S73,12)/12,6)+$B$4),AV73-$I73)))))</f>
        <v/>
      </c>
      <c r="AX73" s="68">
        <f>IF($U73=0,0,IF($F73=4,0,IF($F73=3,0,IF(OR(5&gt;$R73,AW73&lt;=$I73),AW73,AW73-MIN(INT(ROUND(IF($F73=1,$C73*$J73,IF(EV73&gt;0,EV73*$K73,AW73*$J73))*IF(5=$R73,$S73,12)/12,6)+$B$4),AW73-$I73)))))</f>
        <v/>
      </c>
      <c r="AY73" s="68">
        <f>IF($U73=0,0,IF($F73=4,0,IF($F73=3,0,IF(OR(6&gt;$R73,AX73&lt;=$I73),AX73,AX73-MIN(INT(ROUND(IF($F73=1,$C73*$J73,IF(EW73&gt;0,EW73*$K73,AX73*$J73))*IF(6=$R73,$S73,12)/12,6)+$B$4),AX73-$I73)))))</f>
        <v/>
      </c>
      <c r="AZ73" s="68">
        <f>IF($U73=0,0,IF($F73=4,0,IF($F73=3,0,IF(OR(7&gt;$R73,AY73&lt;=$I73),AY73,AY73-MIN(INT(ROUND(IF($F73=1,$C73*$J73,IF(EX73&gt;0,EX73*$K73,AY73*$J73))*IF(7=$R73,$S73,12)/12,6)+$B$4),AY73-$I73)))))</f>
        <v/>
      </c>
      <c r="BA73" s="68">
        <f>IF($U73=0,0,IF($F73=4,0,IF($F73=3,0,IF(OR(8&gt;$R73,AZ73&lt;=$I73),AZ73,AZ73-MIN(INT(ROUND(IF($F73=1,$C73*$J73,IF(EY73&gt;0,EY73*$K73,AZ73*$J73))*IF(8=$R73,$S73,12)/12,6)+$B$4),AZ73-$I73)))))</f>
        <v/>
      </c>
      <c r="BB73" s="68">
        <f>IF($U73=0,0,IF($F73=4,0,IF($F73=3,0,IF(OR(9&gt;$R73,BA73&lt;=$I73),BA73,BA73-MIN(INT(ROUND(IF($F73=1,$C73*$J73,IF(EZ73&gt;0,EZ73*$K73,BA73*$J73))*IF(9=$R73,$S73,12)/12,6)+$B$4),BA73-$I73)))))</f>
        <v/>
      </c>
      <c r="BC73" s="68">
        <f>IF($U73=0,0,IF($F73=4,0,IF($F73=3,0,IF(OR(10&gt;$R73,BB73&lt;=$I73),BB73,BB73-MIN(INT(ROUND(IF($F73=1,$C73*$J73,IF(FA73&gt;0,FA73*$K73,BB73*$J73))*IF(10=$R73,$S73,12)/12,6)+$B$4),BB73-$I73)))))</f>
        <v/>
      </c>
      <c r="BD73" s="68">
        <f>IF($U73=0,0,IF($F73=4,0,IF($F73=3,0,IF(OR(11&gt;$R73,BC73&lt;=$I73),BC73,BC73-MIN(INT(ROUND(IF($F73=1,$C73*$J73,IF(FB73&gt;0,FB73*$K73,BC73*$J73))*IF(11=$R73,$S73,12)/12,6)+$B$4),BC73-$I73)))))</f>
        <v/>
      </c>
      <c r="BE73" s="68">
        <f>IF($U73=0,0,IF($F73=4,0,IF($F73=3,0,IF(OR(12&gt;$R73,BD73&lt;=$I73),BD73,BD73-MIN(INT(ROUND(IF($F73=1,$C73*$J73,IF(FC73&gt;0,FC73*$K73,BD73*$J73))*IF(12=$R73,$S73,12)/12,6)+$B$4),BD73-$I73)))))</f>
        <v/>
      </c>
      <c r="BF73" s="68">
        <f>IF($U73=0,0,IF($F73=4,0,IF($F73=3,0,IF(OR(13&gt;$R73,BE73&lt;=$I73),BE73,BE73-MIN(INT(ROUND(IF($F73=1,$C73*$J73,IF(FD73&gt;0,FD73*$K73,BE73*$J73))*IF(13=$R73,$S73,12)/12,6)+$B$4),BE73-$I73)))))</f>
        <v/>
      </c>
      <c r="BG73" s="68">
        <f>IF($U73=0,0,IF($F73=4,0,IF($F73=3,0,IF(OR(14&gt;$R73,BF73&lt;=$I73),BF73,BF73-MIN(INT(ROUND(IF($F73=1,$C73*$J73,IF(FE73&gt;0,FE73*$K73,BF73*$J73))*IF(14=$R73,$S73,12)/12,6)+$B$4),BF73-$I73)))))</f>
        <v/>
      </c>
      <c r="BH73" s="68">
        <f>IF($U73=0,0,IF($F73=4,0,IF($F73=3,0,IF(OR(15&gt;$R73,BG73&lt;=$I73),BG73,BG73-MIN(INT(ROUND(IF($F73=1,$C73*$J73,IF(FF73&gt;0,FF73*$K73,BG73*$J73))*IF(15=$R73,$S73,12)/12,6)+$B$4),BG73-$I73)))))</f>
        <v/>
      </c>
      <c r="BI73" s="68">
        <f>IF($U73=0,0,IF($F73=4,0,IF($F73=3,0,IF(OR(16&gt;$R73,BH73&lt;=$I73),BH73,BH73-MIN(INT(ROUND(IF($F73=1,$C73*$J73,IF(FG73&gt;0,FG73*$K73,BH73*$J73))*IF(16=$R73,$S73,12)/12,6)+$B$4),BH73-$I73)))))</f>
        <v/>
      </c>
      <c r="BJ73" s="68">
        <f>IF($U73=0,0,IF($F73=4,0,IF($F73=3,0,IF(OR(17&gt;$R73,BI73&lt;=$I73),BI73,BI73-MIN(INT(ROUND(IF($F73=1,$C73*$J73,IF(FH73&gt;0,FH73*$K73,BI73*$J73))*IF(17=$R73,$S73,12)/12,6)+$B$4),BI73-$I73)))))</f>
        <v/>
      </c>
      <c r="BK73" s="68">
        <f>IF($U73=0,0,IF($F73=4,0,IF($F73=3,0,IF(OR(18&gt;$R73,BJ73&lt;=$I73),BJ73,BJ73-MIN(INT(ROUND(IF($F73=1,$C73*$J73,IF(FI73&gt;0,FI73*$K73,BJ73*$J73))*IF(18=$R73,$S73,12)/12,6)+$B$4),BJ73-$I73)))))</f>
        <v/>
      </c>
      <c r="BL73" s="68">
        <f>IF($U73=0,0,IF($F73=4,0,IF($F73=3,0,IF(OR(19&gt;$R73,BK73&lt;=$I73),BK73,BK73-MIN(INT(ROUND(IF($F73=1,$C73*$J73,IF(FJ73&gt;0,FJ73*$K73,BK73*$J73))*IF(19=$R73,$S73,12)/12,6)+$B$4),BK73-$I73)))))</f>
        <v/>
      </c>
      <c r="BM73" s="68">
        <f>IF($U73=0,0,IF($F73=4,0,IF($F73=3,0,IF(OR(20&gt;$R73,BL73&lt;=$I73),BL73,BL73-MIN(INT(ROUND(IF($F73=1,$C73*$J73,IF(FK73&gt;0,FK73*$K73,BL73*$J73))*IF(20=$R73,$S73,12)/12,6)+$B$4),BL73-$I73)))))</f>
        <v/>
      </c>
      <c r="BN73" s="68">
        <f>IF($U73=0,0,IF($F73=4,0,IF($F73=3,0,IF(OR(21&gt;$R73,BM73&lt;=$I73),BM73,BM73-MIN(INT(ROUND(IF($F73=1,$C73*$J73,IF(FL73&gt;0,FL73*$K73,BM73*$J73))*IF(21=$R73,$S73,12)/12,6)+$B$4),BM73-$I73)))))</f>
        <v/>
      </c>
      <c r="BO73" s="68">
        <f>IF($U73=0,0,IF($F73=4,0,IF($F73=3,0,IF(OR(22&gt;$R73,BN73&lt;=$I73),BN73,BN73-MIN(INT(ROUND(IF($F73=1,$C73*$J73,IF(FM73&gt;0,FM73*$K73,BN73*$J73))*IF(22=$R73,$S73,12)/12,6)+$B$4),BN73-$I73)))))</f>
        <v/>
      </c>
      <c r="BP73" s="68">
        <f>IF($U73=0,0,IF($F73=4,0,IF($F73=3,0,IF(OR(23&gt;$R73,BO73&lt;=$I73),BO73,BO73-MIN(INT(ROUND(IF($F73=1,$C73*$J73,IF(FN73&gt;0,FN73*$K73,BO73*$J73))*IF(23=$R73,$S73,12)/12,6)+$B$4),BO73-$I73)))))</f>
        <v/>
      </c>
      <c r="BQ73" s="68">
        <f>IF($U73=0,0,IF($F73=4,0,IF($F73=3,0,IF(OR(24&gt;$R73,BP73&lt;=$I73),BP73,BP73-MIN(INT(ROUND(IF($F73=1,$C73*$J73,IF(FO73&gt;0,FO73*$K73,BP73*$J73))*IF(24=$R73,$S73,12)/12,6)+$B$4),BP73-$I73)))))</f>
        <v/>
      </c>
      <c r="BR73" s="68">
        <f>IF($U73=0,0,IF($F73=4,0,IF($F73=3,0,IF(OR(25&gt;$R73,BQ73&lt;=$I73),BQ73,BQ73-MIN(INT(ROUND(IF($F73=1,$C73*$J73,IF(FP73&gt;0,FP73*$K73,BQ73*$J73))*IF(25=$R73,$S73,12)/12,6)+$B$4),BQ73-$I73)))))</f>
        <v/>
      </c>
      <c r="BS73" s="68">
        <f>IF($U73=0,0,IF($F73=4,0,IF($F73=3,0,IF(OR(26&gt;$R73,BR73&lt;=$I73),BR73,BR73-MIN(INT(ROUND(IF($F73=1,$C73*$J73,IF(FQ73&gt;0,FQ73*$K73,BR73*$J73))*IF(26=$R73,$S73,12)/12,6)+$B$4),BR73-$I73)))))</f>
        <v/>
      </c>
      <c r="BT73" s="68">
        <f>IF($U73=0,0,IF($F73=4,0,IF($F73=3,0,IF(OR(27&gt;$R73,BS73&lt;=$I73),BS73,BS73-MIN(INT(ROUND(IF($F73=1,$C73*$J73,IF(FR73&gt;0,FR73*$K73,BS73*$J73))*IF(27=$R73,$S73,12)/12,6)+$B$4),BS73-$I73)))))</f>
        <v/>
      </c>
      <c r="BU73" s="68">
        <f>IF($U73=0,0,IF($F73=4,0,IF($F73=3,0,IF(OR(28&gt;$R73,BT73&lt;=$I73),BT73,BT73-MIN(INT(ROUND(IF($F73=1,$C73*$J73,IF(FS73&gt;0,FS73*$K73,BT73*$J73))*IF(28=$R73,$S73,12)/12,6)+$B$4),BT73-$I73)))))</f>
        <v/>
      </c>
      <c r="BV73" s="68">
        <f>IF($U73=0,0,IF($F73=4,0,IF($F73=3,0,IF(OR(29&gt;$R73,BU73&lt;=$I73),BU73,BU73-MIN(INT(ROUND(IF($F73=1,$C73*$J73,IF(FT73&gt;0,FT73*$K73,BU73*$J73))*IF(29=$R73,$S73,12)/12,6)+$B$4),BU73-$I73)))))</f>
        <v/>
      </c>
      <c r="BW73" s="68">
        <f>IF($U73=0,0,IF($F73=4,0,IF($F73=3,0,IF(OR(30&gt;$R73,BV73&lt;=$I73),BV73,BV73-MIN(INT(ROUND(IF($F73=1,$C73*$J73,IF(FU73&gt;0,FU73*$K73,BV73*$J73))*IF(30=$R73,$S73,12)/12,6)+$B$4),BV73-$I73)))))</f>
        <v/>
      </c>
      <c r="BX73" s="68">
        <f>IF($U73=0,0,IF($F73=4,0,IF($F73=3,0,IF(OR(31&gt;$R73,BW73&lt;=$I73),BW73,BW73-MIN(INT(ROUND(IF($F73=1,$C73*$J73,IF(FV73&gt;0,FV73*$K73,BW73*$J73))*IF(31=$R73,$S73,12)/12,6)+$B$4),BW73-$I73)))))</f>
        <v/>
      </c>
      <c r="BY73" s="68">
        <f>IF($U73=0,0,IF($F73=4,0,IF($F73=3,0,IF(OR(32&gt;$R73,BX73&lt;=$I73),BX73,BX73-MIN(INT(ROUND(IF($F73=1,$C73*$J73,IF(FW73&gt;0,FW73*$K73,BX73*$J73))*IF(32=$R73,$S73,12)/12,6)+$B$4),BX73-$I73)))))</f>
        <v/>
      </c>
      <c r="BZ73" s="68">
        <f>IF($U73=0,0,IF($F73=4,0,IF($F73=3,0,IF(OR(33&gt;$R73,BY73&lt;=$I73),BY73,BY73-MIN(INT(ROUND(IF($F73=1,$C73*$J73,IF(FX73&gt;0,FX73*$K73,BY73*$J73))*IF(33=$R73,$S73,12)/12,6)+$B$4),BY73-$I73)))))</f>
        <v/>
      </c>
      <c r="CA73" s="68">
        <f>IF($U73=0,0,IF($F73=4,0,IF($F73=3,0,IF(OR(34&gt;$R73,BZ73&lt;=$I73),BZ73,BZ73-MIN(INT(ROUND(IF($F73=1,$C73*$J73,IF(FY73&gt;0,FY73*$K73,BZ73*$J73))*IF(34=$R73,$S73,12)/12,6)+$B$4),BZ73-$I73)))))</f>
        <v/>
      </c>
      <c r="CB73" s="68">
        <f>IF($U73=0,0,IF($F73=4,0,IF($F73=3,0,IF(OR(35&gt;$R73,CA73&lt;=$I73),CA73,CA73-MIN(INT(ROUND(IF($F73=1,$C73*$J73,IF(FZ73&gt;0,FZ73*$K73,CA73*$J73))*IF(35=$R73,$S73,12)/12,6)+$B$4),CA73-$I73)))))</f>
        <v/>
      </c>
      <c r="CC73" s="68">
        <f>IF($U73=0,0,IF($F73=4,0,IF($F73=3,0,IF(OR(36&gt;$R73,CB73&lt;=$I73),CB73,CB73-MIN(INT(ROUND(IF($F73=1,$C73*$J73,IF(GA73&gt;0,GA73*$K73,CB73*$J73))*IF(36=$R73,$S73,12)/12,6)+$B$4),CB73-$I73)))))</f>
        <v/>
      </c>
      <c r="CD73" s="68">
        <f>IF($U73=0,0,IF($F73=4,0,IF($F73=3,0,IF(OR(37&gt;$R73,CC73&lt;=$I73),CC73,CC73-MIN(INT(ROUND(IF($F73=1,$C73*$J73,IF(GB73&gt;0,GB73*$K73,CC73*$J73))*IF(37=$R73,$S73,12)/12,6)+$B$4),CC73-$I73)))))</f>
        <v/>
      </c>
      <c r="CE73" s="68">
        <f>IF($U73=0,0,IF($F73=4,0,IF($F73=3,0,IF(OR(38&gt;$R73,CD73&lt;=$I73),CD73,CD73-MIN(INT(ROUND(IF($F73=1,$C73*$J73,IF(GC73&gt;0,GC73*$K73,CD73*$J73))*IF(38=$R73,$S73,12)/12,6)+$B$4),CD73-$I73)))))</f>
        <v/>
      </c>
      <c r="CF73" s="68">
        <f>IF($U73=0,0,IF($F73=4,0,IF($F73=3,0,IF(OR(39&gt;$R73,CE73&lt;=$I73),CE73,CE73-MIN(INT(ROUND(IF($F73=1,$C73*$J73,IF(GD73&gt;0,GD73*$K73,CE73*$J73))*IF(39=$R73,$S73,12)/12,6)+$B$4),CE73-$I73)))))</f>
        <v/>
      </c>
      <c r="CG73" s="68">
        <f>IF($U73=0,0,IF($F73=4,0,IF($F73=3,0,IF(OR(40&gt;$R73,CF73&lt;=$I73),CF73,CF73-MIN(INT(ROUND(IF($F73=1,$C73*$J73,IF(GE73&gt;0,GE73*$K73,CF73*$J73))*IF(40=$R73,$S73,12)/12,6)+$B$4),CF73-$I73)))))</f>
        <v/>
      </c>
      <c r="CH73" s="68">
        <f>IF($U73=0,0,IF($F73=4,0,IF($F73=3,0,IF(OR(41&gt;$R73,CG73&lt;=$I73),CG73,CG73-MIN(INT(ROUND(IF($F73=1,$C73*$J73,IF(GF73&gt;0,GF73*$K73,CG73*$J73))*IF(41=$R73,$S73,12)/12,6)+$B$4),CG73-$I73)))))</f>
        <v/>
      </c>
      <c r="CI73" s="68">
        <f>IF($U73=0,0,IF($F73=4,0,IF($F73=3,0,IF(OR(42&gt;$R73,CH73&lt;=$I73),CH73,CH73-MIN(INT(ROUND(IF($F73=1,$C73*$J73,IF(GG73&gt;0,GG73*$K73,CH73*$J73))*IF(42=$R73,$S73,12)/12,6)+$B$4),CH73-$I73)))))</f>
        <v/>
      </c>
      <c r="CJ73" s="68">
        <f>IF($U73=0,0,IF($F73=4,0,IF($F73=3,0,IF(OR(43&gt;$R73,CI73&lt;=$I73),CI73,CI73-MIN(INT(ROUND(IF($F73=1,$C73*$J73,IF(GH73&gt;0,GH73*$K73,CI73*$J73))*IF(43=$R73,$S73,12)/12,6)+$B$4),CI73-$I73)))))</f>
        <v/>
      </c>
      <c r="CK73" s="68">
        <f>IF($U73=0,0,IF($F73=4,0,IF($F73=3,0,IF(OR(44&gt;$R73,CJ73&lt;=$I73),CJ73,CJ73-MIN(INT(ROUND(IF($F73=1,$C73*$J73,IF(GI73&gt;0,GI73*$K73,CJ73*$J73))*IF(44=$R73,$S73,12)/12,6)+$B$4),CJ73-$I73)))))</f>
        <v/>
      </c>
      <c r="CL73" s="68">
        <f>IF($U73=0,0,IF($F73=4,0,IF($F73=3,0,IF(OR(45&gt;$R73,CK73&lt;=$I73),CK73,CK73-MIN(INT(ROUND(IF($F73=1,$C73*$J73,IF(GJ73&gt;0,GJ73*$K73,CK73*$J73))*IF(45=$R73,$S73,12)/12,6)+$B$4),CK73-$I73)))))</f>
        <v/>
      </c>
      <c r="CM73" s="68">
        <f>IF($U73=0,0,IF($F73=4,0,IF($F73=3,0,IF(OR(46&gt;$R73,CL73&lt;=$I73),CL73,CL73-MIN(INT(ROUND(IF($F73=1,$C73*$J73,IF(GK73&gt;0,GK73*$K73,CL73*$J73))*IF(46=$R73,$S73,12)/12,6)+$B$4),CL73-$I73)))))</f>
        <v/>
      </c>
      <c r="CN73" s="68">
        <f>IF($U73=0,0,IF($F73=4,0,IF($F73=3,0,IF(OR(47&gt;$R73,CM73&lt;=$I73),CM73,CM73-MIN(INT(ROUND(IF($F73=1,$C73*$J73,IF(GL73&gt;0,GL73*$K73,CM73*$J73))*IF(47=$R73,$S73,12)/12,6)+$B$4),CM73-$I73)))))</f>
        <v/>
      </c>
      <c r="CO73" s="68">
        <f>IF($U73=0,0,IF($F73=4,0,IF($F73=3,0,IF(OR(48&gt;$R73,CN73&lt;=$I73),CN73,CN73-MIN(INT(ROUND(IF($F73=1,$C73*$J73,IF(GM73&gt;0,GM73*$K73,CN73*$J73))*IF(48=$R73,$S73,12)/12,6)+$B$4),CN73-$I73)))))</f>
        <v/>
      </c>
      <c r="CP73" s="68">
        <f>IF($U73=0,0,IF($F73=4,0,IF($F73=3,0,IF(OR(49&gt;$R73,CO73&lt;=$I73),CO73,CO73-MIN(INT(ROUND(IF($F73=1,$C73*$J73,IF(GN73&gt;0,GN73*$K73,CO73*$J73))*IF(49=$R73,$S73,12)/12,6)+$B$4),CO73-$I73)))))</f>
        <v/>
      </c>
      <c r="CQ73" s="68">
        <f>IF($U73=0,0,IF($F73=4,0,IF($F73=3,0,IF(OR(50&gt;$R73,CP73&lt;=$I73),CP73,CP73-MIN(INT(ROUND(IF($F73=1,$C73*$J73,IF(GO73&gt;0,GO73*$K73,CP73*$J73))*IF(50=$R73,$S73,12)/12,6)+$B$4),CP73-$I73)))))</f>
        <v/>
      </c>
      <c r="CR73" s="68">
        <f>IF($U73=0,0,IF($F73=4,0,IF($F73=3,0,IF(OR(51&gt;$R73,CQ73&lt;=$I73),CQ73,CQ73-MIN(INT(ROUND(IF($F73=1,$C73*$J73,IF(GP73&gt;0,GP73*$K73,CQ73*$J73))*IF(51=$R73,$S73,12)/12,6)+$B$4),CQ73-$I73)))))</f>
        <v/>
      </c>
      <c r="CS73" s="68">
        <f>IF($U73=0,0,IF($F73=4,0,IF($F73=3,0,IF(OR(52&gt;$R73,CR73&lt;=$I73),CR73,CR73-MIN(INT(ROUND(IF($F73=1,$C73*$J73,IF(GQ73&gt;0,GQ73*$K73,CR73*$J73))*IF(52=$R73,$S73,12)/12,6)+$B$4),CR73-$I73)))))</f>
        <v/>
      </c>
      <c r="CT73" s="68">
        <f>IF($U73=0,0,IF($F73=4,0,IF($F73=3,0,IF(OR(53&gt;$R73,CS73&lt;=$I73),CS73,CS73-MIN(INT(ROUND(IF($F73=1,$C73*$J73,IF(GR73&gt;0,GR73*$K73,CS73*$J73))*IF(53=$R73,$S73,12)/12,6)+$B$4),CS73-$I73)))))</f>
        <v/>
      </c>
      <c r="CU73" s="68">
        <f>IF($U73=0,0,IF($F73=4,0,IF($F73=3,0,IF(OR(54&gt;$R73,CT73&lt;=$I73),CT73,CT73-MIN(INT(ROUND(IF($F73=1,$C73*$J73,IF(GS73&gt;0,GS73*$K73,CT73*$J73))*IF(54=$R73,$S73,12)/12,6)+$B$4),CT73-$I73)))))</f>
        <v/>
      </c>
      <c r="CV73" s="68">
        <f>IF($U73=0,0,IF($F73=4,0,IF($F73=3,0,IF(OR(55&gt;$R73,CU73&lt;=$I73),CU73,CU73-MIN(INT(ROUND(IF($F73=1,$C73*$J73,IF(GT73&gt;0,GT73*$K73,CU73*$J73))*IF(55=$R73,$S73,12)/12,6)+$B$4),CU73-$I73)))))</f>
        <v/>
      </c>
      <c r="CW73" s="68">
        <f>IF($U73=0,0,IF($F73=4,0,IF($F73=3,0,IF(OR(56&gt;$R73,CV73&lt;=$I73),CV73,CV73-MIN(INT(ROUND(IF($F73=1,$C73*$J73,IF(GU73&gt;0,GU73*$K73,CV73*$J73))*IF(56=$R73,$S73,12)/12,6)+$B$4),CV73-$I73)))))</f>
        <v/>
      </c>
      <c r="CX73" s="68">
        <f>IF($U73=0,0,IF($F73=4,0,IF($F73=3,0,IF(OR(57&gt;$R73,CW73&lt;=$I73),CW73,CW73-MIN(INT(ROUND(IF($F73=1,$C73*$J73,IF(GV73&gt;0,GV73*$K73,CW73*$J73))*IF(57=$R73,$S73,12)/12,6)+$B$4),CW73-$I73)))))</f>
        <v/>
      </c>
      <c r="CY73" s="68">
        <f>IF($U73=0,0,IF($F73=4,0,IF($F73=3,0,IF(OR(58&gt;$R73,CX73&lt;=$I73),CX73,CX73-MIN(INT(ROUND(IF($F73=1,$C73*$J73,IF(GW73&gt;0,GW73*$K73,CX73*$J73))*IF(58=$R73,$S73,12)/12,6)+$B$4),CX73-$I73)))))</f>
        <v/>
      </c>
      <c r="CZ73" s="68">
        <f>IF($U73=0,0,IF($F73=4,0,IF($F73=3,0,IF(OR(59&gt;$R73,CY73&lt;=$I73),CY73,CY73-MIN(INT(ROUND(IF($F73=1,$C73*$J73,IF(GX73&gt;0,GX73*$K73,CY73*$J73))*IF(59=$R73,$S73,12)/12,6)+$B$4),CY73-$I73)))))</f>
        <v/>
      </c>
      <c r="DA73" s="68">
        <f>IF($U73=0,0,IF($F73=4,0,IF($F73=3,0,IF(OR(60&gt;$R73,CZ73&lt;=$I73),CZ73,CZ73-MIN(INT(ROUND(IF($F73=1,$C73*$J73,IF(GY73&gt;0,GY73*$K73,CZ73*$J73))*IF(60=$R73,$S73,12)/12,6)+$B$4),CZ73-$I73)))))</f>
        <v/>
      </c>
      <c r="DB73" s="68">
        <f>IF($U73=0,0,IF($F73=4,0,IF($F73=3,0,IF(OR(61&gt;$R73,DA73&lt;=$I73),DA73,DA73-MIN(INT(ROUND(IF($F73=1,$C73*$J73,IF(GZ73&gt;0,GZ73*$K73,DA73*$J73))*IF(61=$R73,$S73,12)/12,6)+$B$4),DA73-$I73)))))</f>
        <v/>
      </c>
      <c r="DC73" s="68">
        <f>IF($U73=0,0,IF($F73=4,0,IF($F73=3,0,IF(OR(62&gt;$R73,DB73&lt;=$I73),DB73,DB73-MIN(INT(ROUND(IF($F73=1,$C73*$J73,IF(HA73&gt;0,HA73*$K73,DB73*$J73))*IF(62=$R73,$S73,12)/12,6)+$B$4),DB73-$I73)))))</f>
        <v/>
      </c>
      <c r="DD73" s="68">
        <f>IF($U73=0,0,IF($F73=4,0,IF($F73=3,0,IF(OR(63&gt;$R73,DC73&lt;=$I73),DC73,DC73-MIN(INT(ROUND(IF($F73=1,$C73*$J73,IF(HB73&gt;0,HB73*$K73,DC73*$J73))*IF(63=$R73,$S73,12)/12,6)+$B$4),DC73-$I73)))))</f>
        <v/>
      </c>
      <c r="DE73" s="68">
        <f>IF($U73=0,0,IF($F73=4,0,IF($F73=3,0,IF(OR(64&gt;$R73,DD73&lt;=$I73),DD73,DD73-MIN(INT(ROUND(IF($F73=1,$C73*$J73,IF(HC73&gt;0,HC73*$K73,DD73*$J73))*IF(64=$R73,$S73,12)/12,6)+$B$4),DD73-$I73)))))</f>
        <v/>
      </c>
      <c r="DF73" s="68">
        <f>IF($U73=0,0,IF($F73=4,0,IF($F73=3,0,IF(OR(65&gt;$R73,DE73&lt;=$I73),DE73,DE73-MIN(INT(ROUND(IF($F73=1,$C73*$J73,IF(HD73&gt;0,HD73*$K73,DE73*$J73))*IF(65=$R73,$S73,12)/12,6)+$B$4),DE73-$I73)))))</f>
        <v/>
      </c>
      <c r="DG73" s="68">
        <f>IF($U73=0,0,IF($F73=4,0,IF($F73=3,0,IF(OR(66&gt;$R73,DF73&lt;=$I73),DF73,DF73-MIN(INT(ROUND(IF($F73=1,$C73*$J73,IF(HE73&gt;0,HE73*$K73,DF73*$J73))*IF(66=$R73,$S73,12)/12,6)+$B$4),DF73-$I73)))))</f>
        <v/>
      </c>
      <c r="DH73" s="68">
        <f>IF($U73=0,0,IF($F73=4,0,IF($F73=3,0,IF(OR(67&gt;$R73,DG73&lt;=$I73),DG73,DG73-MIN(INT(ROUND(IF($F73=1,$C73*$J73,IF(HF73&gt;0,HF73*$K73,DG73*$J73))*IF(67=$R73,$S73,12)/12,6)+$B$4),DG73-$I73)))))</f>
        <v/>
      </c>
      <c r="DI73" s="68">
        <f>IF($U73=0,0,IF($F73=4,0,IF($F73=3,0,IF(OR(68&gt;$R73,DH73&lt;=$I73),DH73,DH73-MIN(INT(ROUND(IF($F73=1,$C73*$J73,IF(HG73&gt;0,HG73*$K73,DH73*$J73))*IF(68=$R73,$S73,12)/12,6)+$B$4),DH73-$I73)))))</f>
        <v/>
      </c>
      <c r="DJ73" s="68">
        <f>IF($U73=0,0,IF($F73=4,0,IF($F73=3,0,IF(OR(69&gt;$R73,DI73&lt;=$I73),DI73,DI73-MIN(INT(ROUND(IF($F73=1,$C73*$J73,IF(HH73&gt;0,HH73*$K73,DI73*$J73))*IF(69=$R73,$S73,12)/12,6)+$B$4),DI73-$I73)))))</f>
        <v/>
      </c>
      <c r="DK73" s="68">
        <f>IF($U73=0,0,IF($F73=4,0,IF($F73=3,0,IF(OR(70&gt;$R73,DJ73&lt;=$I73),DJ73,DJ73-MIN(INT(ROUND(IF($F73=1,$C73*$J73,IF(HI73&gt;0,HI73*$K73,DJ73*$J73))*IF(70=$R73,$S73,12)/12,6)+$B$4),DJ73-$I73)))))</f>
        <v/>
      </c>
      <c r="DL73" s="68">
        <f>IF($U73=0,0,IF($F73=4,0,IF($F73=3,0,IF(OR(71&gt;$R73,DK73&lt;=$I73),DK73,DK73-MIN(INT(ROUND(IF($F73=1,$C73*$J73,IF(HJ73&gt;0,HJ73*$K73,DK73*$J73))*IF(71=$R73,$S73,12)/12,6)+$B$4),DK73-$I73)))))</f>
        <v/>
      </c>
      <c r="DM73" s="68">
        <f>IF($U73=0,0,IF($F73=4,0,IF($F73=3,0,IF(OR(72&gt;$R73,DL73&lt;=$I73),DL73,DL73-MIN(INT(ROUND(IF($F73=1,$C73*$J73,IF(HK73&gt;0,HK73*$K73,DL73*$J73))*IF(72=$R73,$S73,12)/12,6)+$B$4),DL73-$I73)))))</f>
        <v/>
      </c>
      <c r="DN73" s="68">
        <f>IF($U73=0,0,IF($F73=4,0,IF($F73=3,0,IF(OR(73&gt;$R73,DM73&lt;=$I73),DM73,DM73-MIN(INT(ROUND(IF($F73=1,$C73*$J73,IF(HL73&gt;0,HL73*$K73,DM73*$J73))*IF(73=$R73,$S73,12)/12,6)+$B$4),DM73-$I73)))))</f>
        <v/>
      </c>
      <c r="DO73" s="68">
        <f>IF($U73=0,0,IF($F73=4,0,IF($F73=3,0,IF(OR(74&gt;$R73,DN73&lt;=$I73),DN73,DN73-MIN(INT(ROUND(IF($F73=1,$C73*$J73,IF(HM73&gt;0,HM73*$K73,DN73*$J73))*IF(74=$R73,$S73,12)/12,6)+$B$4),DN73-$I73)))))</f>
        <v/>
      </c>
      <c r="DP73" s="68">
        <f>IF($U73=0,0,IF($F73=4,0,IF($F73=3,0,IF(OR(75&gt;$R73,DO73&lt;=$I73),DO73,DO73-MIN(INT(ROUND(IF($F73=1,$C73*$J73,IF(HN73&gt;0,HN73*$K73,DO73*$J73))*IF(75=$R73,$S73,12)/12,6)+$B$4),DO73-$I73)))))</f>
        <v/>
      </c>
      <c r="DQ73" s="68">
        <f>IF($U73=0,0,IF($F73=4,0,IF($F73=3,0,IF(OR(76&gt;$R73,DP73&lt;=$I73),DP73,DP73-MIN(INT(ROUND(IF($F73=1,$C73*$J73,IF(HO73&gt;0,HO73*$K73,DP73*$J73))*IF(76=$R73,$S73,12)/12,6)+$B$4),DP73-$I73)))))</f>
        <v/>
      </c>
      <c r="DR73" s="68">
        <f>IF($U73=0,0,IF($F73=4,0,IF($F73=3,0,IF(OR(77&gt;$R73,DQ73&lt;=$I73),DQ73,DQ73-MIN(INT(ROUND(IF($F73=1,$C73*$J73,IF(HP73&gt;0,HP73*$K73,DQ73*$J73))*IF(77=$R73,$S73,12)/12,6)+$B$4),DQ73-$I73)))))</f>
        <v/>
      </c>
      <c r="DS73" s="68">
        <f>IF($U73=0,0,IF($F73=4,0,IF($F73=3,0,IF(OR(78&gt;$R73,DR73&lt;=$I73),DR73,DR73-MIN(INT(ROUND(IF($F73=1,$C73*$J73,IF(HQ73&gt;0,HQ73*$K73,DR73*$J73))*IF(78=$R73,$S73,12)/12,6)+$B$4),DR73-$I73)))))</f>
        <v/>
      </c>
      <c r="DT73" s="68">
        <f>IF($U73=0,0,IF($F73=4,0,IF($F73=3,0,IF(OR(79&gt;$R73,DS73&lt;=$I73),DS73,DS73-MIN(INT(ROUND(IF($F73=1,$C73*$J73,IF(HR73&gt;0,HR73*$K73,DS73*$J73))*IF(79=$R73,$S73,12)/12,6)+$B$4),DS73-$I73)))))</f>
        <v/>
      </c>
      <c r="DU73" s="68">
        <f>IF($U73=0,0,IF($F73=4,0,IF($F73=3,0,IF(OR(80&gt;$R73,DT73&lt;=$I73),DT73,DT73-MIN(INT(ROUND(IF($F73=1,$C73*$J73,IF(HS73&gt;0,HS73*$K73,DT73*$J73))*IF(80=$R73,$S73,12)/12,6)+$B$4),DT73-$I73)))))</f>
        <v/>
      </c>
      <c r="DV73" s="68">
        <f>IF($U73=0,0,IF($F73=4,0,IF($F73=3,0,IF(OR(81&gt;$R73,DU73&lt;=$I73),DU73,DU73-MIN(INT(ROUND(IF($F73=1,$C73*$J73,IF(HT73&gt;0,HT73*$K73,DU73*$J73))*IF(81=$R73,$S73,12)/12,6)+$B$4),DU73-$I73)))))</f>
        <v/>
      </c>
      <c r="DW73" s="68">
        <f>IF($U73=0,0,IF($F73=4,0,IF($F73=3,0,IF(OR(82&gt;$R73,DV73&lt;=$I73),DV73,DV73-MIN(INT(ROUND(IF($F73=1,$C73*$J73,IF(HU73&gt;0,HU73*$K73,DV73*$J73))*IF(82=$R73,$S73,12)/12,6)+$B$4),DV73-$I73)))))</f>
        <v/>
      </c>
      <c r="DX73" s="68">
        <f>IF($U73=0,0,IF($F73=4,0,IF($F73=3,0,IF(OR(83&gt;$R73,DW73&lt;=$I73),DW73,DW73-MIN(INT(ROUND(IF($F73=1,$C73*$J73,IF(HV73&gt;0,HV73*$K73,DW73*$J73))*IF(83=$R73,$S73,12)/12,6)+$B$4),DW73-$I73)))))</f>
        <v/>
      </c>
      <c r="DY73" s="68">
        <f>IF($U73=0,0,IF($F73=4,0,IF($F73=3,0,IF(OR(84&gt;$R73,DX73&lt;=$I73),DX73,DX73-MIN(INT(ROUND(IF($F73=1,$C73*$J73,IF(HW73&gt;0,HW73*$K73,DX73*$J73))*IF(84=$R73,$S73,12)/12,6)+$B$4),DX73-$I73)))))</f>
        <v/>
      </c>
      <c r="DZ73" s="68">
        <f>IF($U73=0,0,IF($F73=4,0,IF($F73=3,0,IF(OR(85&gt;$R73,DY73&lt;=$I73),DY73,DY73-MIN(INT(ROUND(IF($F73=1,$C73*$J73,IF(HX73&gt;0,HX73*$K73,DY73*$J73))*IF(85=$R73,$S73,12)/12,6)+$B$4),DY73-$I73)))))</f>
        <v/>
      </c>
      <c r="EA73" s="68">
        <f>IF($U73=0,0,IF($F73=4,0,IF($F73=3,0,IF(OR(86&gt;$R73,DZ73&lt;=$I73),DZ73,DZ73-MIN(INT(ROUND(IF($F73=1,$C73*$J73,IF(HY73&gt;0,HY73*$K73,DZ73*$J73))*IF(86=$R73,$S73,12)/12,6)+$B$4),DZ73-$I73)))))</f>
        <v/>
      </c>
      <c r="EB73" s="68">
        <f>IF($U73=0,0,IF($F73=4,0,IF($F73=3,0,IF(OR(87&gt;$R73,EA73&lt;=$I73),EA73,EA73-MIN(INT(ROUND(IF($F73=1,$C73*$J73,IF(HZ73&gt;0,HZ73*$K73,EA73*$J73))*IF(87=$R73,$S73,12)/12,6)+$B$4),EA73-$I73)))))</f>
        <v/>
      </c>
      <c r="EC73" s="68">
        <f>IF($U73=0,0,IF($F73=4,0,IF($F73=3,0,IF(OR(88&gt;$R73,EB73&lt;=$I73),EB73,EB73-MIN(INT(ROUND(IF($F73=1,$C73*$J73,IF(IA73&gt;0,IA73*$K73,EB73*$J73))*IF(88=$R73,$S73,12)/12,6)+$B$4),EB73-$I73)))))</f>
        <v/>
      </c>
      <c r="ED73" s="68">
        <f>IF($U73=0,0,IF($F73=4,0,IF($F73=3,0,IF(OR(89&gt;$R73,EC73&lt;=$I73),EC73,EC73-MIN(INT(ROUND(IF($F73=1,$C73*$J73,IF(IB73&gt;0,IB73*$K73,EC73*$J73))*IF(89=$R73,$S73,12)/12,6)+$B$4),EC73-$I73)))))</f>
        <v/>
      </c>
      <c r="EE73" s="68">
        <f>IF($U73=0,0,IF($F73=4,0,IF($F73=3,0,IF(OR(90&gt;$R73,ED73&lt;=$I73),ED73,ED73-MIN(INT(ROUND(IF($F73=1,$C73*$J73,IF(IC73&gt;0,IC73*$K73,ED73*$J73))*IF(90=$R73,$S73,12)/12,6)+$B$4),ED73-$I73)))))</f>
        <v/>
      </c>
      <c r="EF73" s="68">
        <f>IF($U73=0,0,IF($F73=4,0,IF($F73=3,0,IF(OR(91&gt;$R73,EE73&lt;=$I73),EE73,EE73-MIN(INT(ROUND(IF($F73=1,$C73*$J73,IF(ID73&gt;0,ID73*$K73,EE73*$J73))*IF(91=$R73,$S73,12)/12,6)+$B$4),EE73-$I73)))))</f>
        <v/>
      </c>
      <c r="EG73" s="68">
        <f>IF($U73=0,0,IF($F73=4,0,IF($F73=3,0,IF(OR(92&gt;$R73,EF73&lt;=$I73),EF73,EF73-MIN(INT(ROUND(IF($F73=1,$C73*$J73,IF(IE73&gt;0,IE73*$K73,EF73*$J73))*IF(92=$R73,$S73,12)/12,6)+$B$4),EF73-$I73)))))</f>
        <v/>
      </c>
      <c r="EH73" s="68">
        <f>IF($U73=0,0,IF($F73=4,0,IF($F73=3,0,IF(OR(93&gt;$R73,EG73&lt;=$I73),EG73,EG73-MIN(INT(ROUND(IF($F73=1,$C73*$J73,IF(IF73&gt;0,IF73*$K73,EG73*$J73))*IF(93=$R73,$S73,12)/12,6)+$B$4),EG73-$I73)))))</f>
        <v/>
      </c>
      <c r="EI73" s="68">
        <f>IF($U73=0,0,IF($F73=4,0,IF($F73=3,0,IF(OR(94&gt;$R73,EH73&lt;=$I73),EH73,EH73-MIN(INT(ROUND(IF($F73=1,$C73*$J73,IF(IG73&gt;0,IG73*$K73,EH73*$J73))*IF(94=$R73,$S73,12)/12,6)+$B$4),EH73-$I73)))))</f>
        <v/>
      </c>
      <c r="EJ73" s="68">
        <f>IF($U73=0,0,IF($F73=4,0,IF($F73=3,0,IF(OR(95&gt;$R73,EI73&lt;=$I73),EI73,EI73-MIN(INT(ROUND(IF($F73=1,$C73*$J73,IF(IH73&gt;0,IH73*$K73,EI73*$J73))*IF(95=$R73,$S73,12)/12,6)+$B$4),EI73-$I73)))))</f>
        <v/>
      </c>
      <c r="EK73" s="68">
        <f>IF($U73=0,0,IF($F73=4,0,IF($F73=3,0,IF(OR(96&gt;$R73,EJ73&lt;=$I73),EJ73,EJ73-MIN(INT(ROUND(IF($F73=1,$C73*$J73,IF(II73&gt;0,II73*$K73,EJ73*$J73))*IF(96=$R73,$S73,12)/12,6)+$B$4),EJ73-$I73)))))</f>
        <v/>
      </c>
      <c r="EL73" s="68">
        <f>IF($U73=0,0,IF($F73=4,0,IF($F73=3,0,IF(OR(97&gt;$R73,EK73&lt;=$I73),EK73,EK73-MIN(INT(ROUND(IF($F73=1,$C73*$J73,IF(IJ73&gt;0,IJ73*$K73,EK73*$J73))*IF(97=$R73,$S73,12)/12,6)+$B$4),EK73-$I73)))))</f>
        <v/>
      </c>
      <c r="EM73" s="68">
        <f>IF($U73=0,0,IF($F73=4,0,IF($F73=3,0,IF(OR(98&gt;$R73,EL73&lt;=$I73),EL73,EL73-MIN(INT(ROUND(IF($F73=1,$C73*$J73,IF(IK73&gt;0,IK73*$K73,EL73*$J73))*IF(98=$R73,$S73,12)/12,6)+$B$4),EL73-$I73)))))</f>
        <v/>
      </c>
      <c r="EN73" s="68">
        <f>IF($U73=0,0,IF($F73=4,0,IF($F73=3,0,IF(OR(99&gt;$R73,EM73&lt;=$I73),EM73,EM73-MIN(INT(ROUND(IF($F73=1,$C73*$J73,IF(IL73&gt;0,IL73*$K73,EM73*$J73))*IF(99=$R73,$S73,12)/12,6)+$B$4),EM73-$I73)))))</f>
        <v/>
      </c>
      <c r="EO73" s="68">
        <f>IF($U73=0,0,IF($F73=4,0,IF($F73=3,0,IF(OR(100&gt;$R73,EN73&lt;=$I73),EN73,EN73-MIN(INT(ROUND(IF($F73=1,$C73*$J73,IF(IM73&gt;0,IM73*$K73,EN73*$J73))*IF(100=$R73,$S73,12)/12,6)+$B$4),EN73-$I73)))))</f>
        <v/>
      </c>
      <c r="EP73" s="68">
        <f>IF($U73=0,0,IF($F73=4,0,IF($F73=3,0,IF(OR(101&gt;$R73,EO73&lt;=$I73),EO73,EO73-MIN(INT(ROUND(IF($F73=1,$C73*$J73,IF(IN73&gt;0,IN73*$K73,EO73*$J73))*IF(101=$R73,$S73,12)/12,6)+$B$4),EO73-$I73)))))</f>
        <v/>
      </c>
      <c r="EQ73" s="68" t="n"/>
      <c r="ER73" s="68">
        <f>IF(OR($U73=0,$F73&lt;&gt;2),0,IF(ROUND(AS73*$J73,6)&lt;ROUND($M73,6),AS73,0))</f>
        <v/>
      </c>
      <c r="ES73" s="68">
        <f>IF(OR($U73=0,$F73&lt;&gt;2),0,IF(ER73&gt;0,ER73,IF(ROUND(AT73*$J73,6)&lt;ROUND($M73,6),AT73,0)))</f>
        <v/>
      </c>
      <c r="ET73" s="68">
        <f>IF(OR($U73=0,$F73&lt;&gt;2),0,IF(ES73&gt;0,ES73,IF(ROUND(AU73*$J73,6)&lt;ROUND($M73,6),AU73,0)))</f>
        <v/>
      </c>
      <c r="EU73" s="68">
        <f>IF(OR($U73=0,$F73&lt;&gt;2),0,IF(ET73&gt;0,ET73,IF(ROUND(AV73*$J73,6)&lt;ROUND($M73,6),AV73,0)))</f>
        <v/>
      </c>
      <c r="EV73" s="68">
        <f>IF(OR($U73=0,$F73&lt;&gt;2),0,IF(EU73&gt;0,EU73,IF(ROUND(AW73*$J73,6)&lt;ROUND($M73,6),AW73,0)))</f>
        <v/>
      </c>
      <c r="EW73" s="68">
        <f>IF(OR($U73=0,$F73&lt;&gt;2),0,IF(EV73&gt;0,EV73,IF(ROUND(AX73*$J73,6)&lt;ROUND($M73,6),AX73,0)))</f>
        <v/>
      </c>
      <c r="EX73" s="68">
        <f>IF(OR($U73=0,$F73&lt;&gt;2),0,IF(EW73&gt;0,EW73,IF(ROUND(AY73*$J73,6)&lt;ROUND($M73,6),AY73,0)))</f>
        <v/>
      </c>
      <c r="EY73" s="68">
        <f>IF(OR($U73=0,$F73&lt;&gt;2),0,IF(EX73&gt;0,EX73,IF(ROUND(AZ73*$J73,6)&lt;ROUND($M73,6),AZ73,0)))</f>
        <v/>
      </c>
      <c r="EZ73" s="68">
        <f>IF(OR($U73=0,$F73&lt;&gt;2),0,IF(EY73&gt;0,EY73,IF(ROUND(BA73*$J73,6)&lt;ROUND($M73,6),BA73,0)))</f>
        <v/>
      </c>
      <c r="FA73" s="68">
        <f>IF(OR($U73=0,$F73&lt;&gt;2),0,IF(EZ73&gt;0,EZ73,IF(ROUND(BB73*$J73,6)&lt;ROUND($M73,6),BB73,0)))</f>
        <v/>
      </c>
      <c r="FB73" s="68">
        <f>IF(OR($U73=0,$F73&lt;&gt;2),0,IF(FA73&gt;0,FA73,IF(ROUND(BC73*$J73,6)&lt;ROUND($M73,6),BC73,0)))</f>
        <v/>
      </c>
      <c r="FC73" s="68">
        <f>IF(OR($U73=0,$F73&lt;&gt;2),0,IF(FB73&gt;0,FB73,IF(ROUND(BD73*$J73,6)&lt;ROUND($M73,6),BD73,0)))</f>
        <v/>
      </c>
      <c r="FD73" s="68">
        <f>IF(OR($U73=0,$F73&lt;&gt;2),0,IF(FC73&gt;0,FC73,IF(ROUND(BE73*$J73,6)&lt;ROUND($M73,6),BE73,0)))</f>
        <v/>
      </c>
      <c r="FE73" s="68">
        <f>IF(OR($U73=0,$F73&lt;&gt;2),0,IF(FD73&gt;0,FD73,IF(ROUND(BF73*$J73,6)&lt;ROUND($M73,6),BF73,0)))</f>
        <v/>
      </c>
      <c r="FF73" s="68">
        <f>IF(OR($U73=0,$F73&lt;&gt;2),0,IF(FE73&gt;0,FE73,IF(ROUND(BG73*$J73,6)&lt;ROUND($M73,6),BG73,0)))</f>
        <v/>
      </c>
      <c r="FG73" s="68">
        <f>IF(OR($U73=0,$F73&lt;&gt;2),0,IF(FF73&gt;0,FF73,IF(ROUND(BH73*$J73,6)&lt;ROUND($M73,6),BH73,0)))</f>
        <v/>
      </c>
      <c r="FH73" s="68">
        <f>IF(OR($U73=0,$F73&lt;&gt;2),0,IF(FG73&gt;0,FG73,IF(ROUND(BI73*$J73,6)&lt;ROUND($M73,6),BI73,0)))</f>
        <v/>
      </c>
      <c r="FI73" s="68">
        <f>IF(OR($U73=0,$F73&lt;&gt;2),0,IF(FH73&gt;0,FH73,IF(ROUND(BJ73*$J73,6)&lt;ROUND($M73,6),BJ73,0)))</f>
        <v/>
      </c>
      <c r="FJ73" s="68">
        <f>IF(OR($U73=0,$F73&lt;&gt;2),0,IF(FI73&gt;0,FI73,IF(ROUND(BK73*$J73,6)&lt;ROUND($M73,6),BK73,0)))</f>
        <v/>
      </c>
      <c r="FK73" s="68">
        <f>IF(OR($U73=0,$F73&lt;&gt;2),0,IF(FJ73&gt;0,FJ73,IF(ROUND(BL73*$J73,6)&lt;ROUND($M73,6),BL73,0)))</f>
        <v/>
      </c>
      <c r="FL73" s="68">
        <f>IF(OR($U73=0,$F73&lt;&gt;2),0,IF(FK73&gt;0,FK73,IF(ROUND(BM73*$J73,6)&lt;ROUND($M73,6),BM73,0)))</f>
        <v/>
      </c>
      <c r="FM73" s="68">
        <f>IF(OR($U73=0,$F73&lt;&gt;2),0,IF(FL73&gt;0,FL73,IF(ROUND(BN73*$J73,6)&lt;ROUND($M73,6),BN73,0)))</f>
        <v/>
      </c>
      <c r="FN73" s="68">
        <f>IF(OR($U73=0,$F73&lt;&gt;2),0,IF(FM73&gt;0,FM73,IF(ROUND(BO73*$J73,6)&lt;ROUND($M73,6),BO73,0)))</f>
        <v/>
      </c>
      <c r="FO73" s="68">
        <f>IF(OR($U73=0,$F73&lt;&gt;2),0,IF(FN73&gt;0,FN73,IF(ROUND(BP73*$J73,6)&lt;ROUND($M73,6),BP73,0)))</f>
        <v/>
      </c>
      <c r="FP73" s="68">
        <f>IF(OR($U73=0,$F73&lt;&gt;2),0,IF(FO73&gt;0,FO73,IF(ROUND(BQ73*$J73,6)&lt;ROUND($M73,6),BQ73,0)))</f>
        <v/>
      </c>
      <c r="FQ73" s="68">
        <f>IF(OR($U73=0,$F73&lt;&gt;2),0,IF(FP73&gt;0,FP73,IF(ROUND(BR73*$J73,6)&lt;ROUND($M73,6),BR73,0)))</f>
        <v/>
      </c>
      <c r="FR73" s="68">
        <f>IF(OR($U73=0,$F73&lt;&gt;2),0,IF(FQ73&gt;0,FQ73,IF(ROUND(BS73*$J73,6)&lt;ROUND($M73,6),BS73,0)))</f>
        <v/>
      </c>
      <c r="FS73" s="68">
        <f>IF(OR($U73=0,$F73&lt;&gt;2),0,IF(FR73&gt;0,FR73,IF(ROUND(BT73*$J73,6)&lt;ROUND($M73,6),BT73,0)))</f>
        <v/>
      </c>
      <c r="FT73" s="68">
        <f>IF(OR($U73=0,$F73&lt;&gt;2),0,IF(FS73&gt;0,FS73,IF(ROUND(BU73*$J73,6)&lt;ROUND($M73,6),BU73,0)))</f>
        <v/>
      </c>
      <c r="FU73" s="68">
        <f>IF(OR($U73=0,$F73&lt;&gt;2),0,IF(FT73&gt;0,FT73,IF(ROUND(BV73*$J73,6)&lt;ROUND($M73,6),BV73,0)))</f>
        <v/>
      </c>
      <c r="FV73" s="68">
        <f>IF(OR($U73=0,$F73&lt;&gt;2),0,IF(FU73&gt;0,FU73,IF(ROUND(BW73*$J73,6)&lt;ROUND($M73,6),BW73,0)))</f>
        <v/>
      </c>
      <c r="FW73" s="68">
        <f>IF(OR($U73=0,$F73&lt;&gt;2),0,IF(FV73&gt;0,FV73,IF(ROUND(BX73*$J73,6)&lt;ROUND($M73,6),BX73,0)))</f>
        <v/>
      </c>
      <c r="FX73" s="68">
        <f>IF(OR($U73=0,$F73&lt;&gt;2),0,IF(FW73&gt;0,FW73,IF(ROUND(BY73*$J73,6)&lt;ROUND($M73,6),BY73,0)))</f>
        <v/>
      </c>
      <c r="FY73" s="68">
        <f>IF(OR($U73=0,$F73&lt;&gt;2),0,IF(FX73&gt;0,FX73,IF(ROUND(BZ73*$J73,6)&lt;ROUND($M73,6),BZ73,0)))</f>
        <v/>
      </c>
      <c r="FZ73" s="68">
        <f>IF(OR($U73=0,$F73&lt;&gt;2),0,IF(FY73&gt;0,FY73,IF(ROUND(CA73*$J73,6)&lt;ROUND($M73,6),CA73,0)))</f>
        <v/>
      </c>
      <c r="GA73" s="68">
        <f>IF(OR($U73=0,$F73&lt;&gt;2),0,IF(FZ73&gt;0,FZ73,IF(ROUND(CB73*$J73,6)&lt;ROUND($M73,6),CB73,0)))</f>
        <v/>
      </c>
      <c r="GB73" s="68">
        <f>IF(OR($U73=0,$F73&lt;&gt;2),0,IF(GA73&gt;0,GA73,IF(ROUND(CC73*$J73,6)&lt;ROUND($M73,6),CC73,0)))</f>
        <v/>
      </c>
      <c r="GC73" s="68">
        <f>IF(OR($U73=0,$F73&lt;&gt;2),0,IF(GB73&gt;0,GB73,IF(ROUND(CD73*$J73,6)&lt;ROUND($M73,6),CD73,0)))</f>
        <v/>
      </c>
      <c r="GD73" s="68">
        <f>IF(OR($U73=0,$F73&lt;&gt;2),0,IF(GC73&gt;0,GC73,IF(ROUND(CE73*$J73,6)&lt;ROUND($M73,6),CE73,0)))</f>
        <v/>
      </c>
      <c r="GE73" s="68">
        <f>IF(OR($U73=0,$F73&lt;&gt;2),0,IF(GD73&gt;0,GD73,IF(ROUND(CF73*$J73,6)&lt;ROUND($M73,6),CF73,0)))</f>
        <v/>
      </c>
      <c r="GF73" s="68">
        <f>IF(OR($U73=0,$F73&lt;&gt;2),0,IF(GE73&gt;0,GE73,IF(ROUND(CG73*$J73,6)&lt;ROUND($M73,6),CG73,0)))</f>
        <v/>
      </c>
      <c r="GG73" s="68">
        <f>IF(OR($U73=0,$F73&lt;&gt;2),0,IF(GF73&gt;0,GF73,IF(ROUND(CH73*$J73,6)&lt;ROUND($M73,6),CH73,0)))</f>
        <v/>
      </c>
      <c r="GH73" s="68">
        <f>IF(OR($U73=0,$F73&lt;&gt;2),0,IF(GG73&gt;0,GG73,IF(ROUND(CI73*$J73,6)&lt;ROUND($M73,6),CI73,0)))</f>
        <v/>
      </c>
      <c r="GI73" s="68">
        <f>IF(OR($U73=0,$F73&lt;&gt;2),0,IF(GH73&gt;0,GH73,IF(ROUND(CJ73*$J73,6)&lt;ROUND($M73,6),CJ73,0)))</f>
        <v/>
      </c>
      <c r="GJ73" s="68">
        <f>IF(OR($U73=0,$F73&lt;&gt;2),0,IF(GI73&gt;0,GI73,IF(ROUND(CK73*$J73,6)&lt;ROUND($M73,6),CK73,0)))</f>
        <v/>
      </c>
      <c r="GK73" s="68">
        <f>IF(OR($U73=0,$F73&lt;&gt;2),0,IF(GJ73&gt;0,GJ73,IF(ROUND(CL73*$J73,6)&lt;ROUND($M73,6),CL73,0)))</f>
        <v/>
      </c>
      <c r="GL73" s="68">
        <f>IF(OR($U73=0,$F73&lt;&gt;2),0,IF(GK73&gt;0,GK73,IF(ROUND(CM73*$J73,6)&lt;ROUND($M73,6),CM73,0)))</f>
        <v/>
      </c>
      <c r="GM73" s="68">
        <f>IF(OR($U73=0,$F73&lt;&gt;2),0,IF(GL73&gt;0,GL73,IF(ROUND(CN73*$J73,6)&lt;ROUND($M73,6),CN73,0)))</f>
        <v/>
      </c>
      <c r="GN73" s="68">
        <f>IF(OR($U73=0,$F73&lt;&gt;2),0,IF(GM73&gt;0,GM73,IF(ROUND(CO73*$J73,6)&lt;ROUND($M73,6),CO73,0)))</f>
        <v/>
      </c>
      <c r="GO73" s="68">
        <f>IF(OR($U73=0,$F73&lt;&gt;2),0,IF(GN73&gt;0,GN73,IF(ROUND(CP73*$J73,6)&lt;ROUND($M73,6),CP73,0)))</f>
        <v/>
      </c>
      <c r="GP73" s="68">
        <f>IF(OR($U73=0,$F73&lt;&gt;2),0,IF(GO73&gt;0,GO73,IF(ROUND(CQ73*$J73,6)&lt;ROUND($M73,6),CQ73,0)))</f>
        <v/>
      </c>
      <c r="GQ73" s="68">
        <f>IF(OR($U73=0,$F73&lt;&gt;2),0,IF(GP73&gt;0,GP73,IF(ROUND(CR73*$J73,6)&lt;ROUND($M73,6),CR73,0)))</f>
        <v/>
      </c>
      <c r="GR73" s="68">
        <f>IF(OR($U73=0,$F73&lt;&gt;2),0,IF(GQ73&gt;0,GQ73,IF(ROUND(CS73*$J73,6)&lt;ROUND($M73,6),CS73,0)))</f>
        <v/>
      </c>
      <c r="GS73" s="68">
        <f>IF(OR($U73=0,$F73&lt;&gt;2),0,IF(GR73&gt;0,GR73,IF(ROUND(CT73*$J73,6)&lt;ROUND($M73,6),CT73,0)))</f>
        <v/>
      </c>
      <c r="GT73" s="68">
        <f>IF(OR($U73=0,$F73&lt;&gt;2),0,IF(GS73&gt;0,GS73,IF(ROUND(CU73*$J73,6)&lt;ROUND($M73,6),CU73,0)))</f>
        <v/>
      </c>
      <c r="GU73" s="68">
        <f>IF(OR($U73=0,$F73&lt;&gt;2),0,IF(GT73&gt;0,GT73,IF(ROUND(CV73*$J73,6)&lt;ROUND($M73,6),CV73,0)))</f>
        <v/>
      </c>
      <c r="GV73" s="68">
        <f>IF(OR($U73=0,$F73&lt;&gt;2),0,IF(GU73&gt;0,GU73,IF(ROUND(CW73*$J73,6)&lt;ROUND($M73,6),CW73,0)))</f>
        <v/>
      </c>
      <c r="GW73" s="68">
        <f>IF(OR($U73=0,$F73&lt;&gt;2),0,IF(GV73&gt;0,GV73,IF(ROUND(CX73*$J73,6)&lt;ROUND($M73,6),CX73,0)))</f>
        <v/>
      </c>
      <c r="GX73" s="68">
        <f>IF(OR($U73=0,$F73&lt;&gt;2),0,IF(GW73&gt;0,GW73,IF(ROUND(CY73*$J73,6)&lt;ROUND($M73,6),CY73,0)))</f>
        <v/>
      </c>
      <c r="GY73" s="68">
        <f>IF(OR($U73=0,$F73&lt;&gt;2),0,IF(GX73&gt;0,GX73,IF(ROUND(CZ73*$J73,6)&lt;ROUND($M73,6),CZ73,0)))</f>
        <v/>
      </c>
      <c r="GZ73" s="68">
        <f>IF(OR($U73=0,$F73&lt;&gt;2),0,IF(GY73&gt;0,GY73,IF(ROUND(DA73*$J73,6)&lt;ROUND($M73,6),DA73,0)))</f>
        <v/>
      </c>
      <c r="HA73" s="68">
        <f>IF(OR($U73=0,$F73&lt;&gt;2),0,IF(GZ73&gt;0,GZ73,IF(ROUND(DB73*$J73,6)&lt;ROUND($M73,6),DB73,0)))</f>
        <v/>
      </c>
      <c r="HB73" s="68">
        <f>IF(OR($U73=0,$F73&lt;&gt;2),0,IF(HA73&gt;0,HA73,IF(ROUND(DC73*$J73,6)&lt;ROUND($M73,6),DC73,0)))</f>
        <v/>
      </c>
      <c r="HC73" s="68">
        <f>IF(OR($U73=0,$F73&lt;&gt;2),0,IF(HB73&gt;0,HB73,IF(ROUND(DD73*$J73,6)&lt;ROUND($M73,6),DD73,0)))</f>
        <v/>
      </c>
      <c r="HD73" s="68">
        <f>IF(OR($U73=0,$F73&lt;&gt;2),0,IF(HC73&gt;0,HC73,IF(ROUND(DE73*$J73,6)&lt;ROUND($M73,6),DE73,0)))</f>
        <v/>
      </c>
      <c r="HE73" s="68">
        <f>IF(OR($U73=0,$F73&lt;&gt;2),0,IF(HD73&gt;0,HD73,IF(ROUND(DF73*$J73,6)&lt;ROUND($M73,6),DF73,0)))</f>
        <v/>
      </c>
      <c r="HF73" s="68">
        <f>IF(OR($U73=0,$F73&lt;&gt;2),0,IF(HE73&gt;0,HE73,IF(ROUND(DG73*$J73,6)&lt;ROUND($M73,6),DG73,0)))</f>
        <v/>
      </c>
      <c r="HG73" s="68">
        <f>IF(OR($U73=0,$F73&lt;&gt;2),0,IF(HF73&gt;0,HF73,IF(ROUND(DH73*$J73,6)&lt;ROUND($M73,6),DH73,0)))</f>
        <v/>
      </c>
      <c r="HH73" s="68">
        <f>IF(OR($U73=0,$F73&lt;&gt;2),0,IF(HG73&gt;0,HG73,IF(ROUND(DI73*$J73,6)&lt;ROUND($M73,6),DI73,0)))</f>
        <v/>
      </c>
      <c r="HI73" s="68">
        <f>IF(OR($U73=0,$F73&lt;&gt;2),0,IF(HH73&gt;0,HH73,IF(ROUND(DJ73*$J73,6)&lt;ROUND($M73,6),DJ73,0)))</f>
        <v/>
      </c>
      <c r="HJ73" s="68">
        <f>IF(OR($U73=0,$F73&lt;&gt;2),0,IF(HI73&gt;0,HI73,IF(ROUND(DK73*$J73,6)&lt;ROUND($M73,6),DK73,0)))</f>
        <v/>
      </c>
      <c r="HK73" s="68">
        <f>IF(OR($U73=0,$F73&lt;&gt;2),0,IF(HJ73&gt;0,HJ73,IF(ROUND(DL73*$J73,6)&lt;ROUND($M73,6),DL73,0)))</f>
        <v/>
      </c>
      <c r="HL73" s="68">
        <f>IF(OR($U73=0,$F73&lt;&gt;2),0,IF(HK73&gt;0,HK73,IF(ROUND(DM73*$J73,6)&lt;ROUND($M73,6),DM73,0)))</f>
        <v/>
      </c>
      <c r="HM73" s="68">
        <f>IF(OR($U73=0,$F73&lt;&gt;2),0,IF(HL73&gt;0,HL73,IF(ROUND(DN73*$J73,6)&lt;ROUND($M73,6),DN73,0)))</f>
        <v/>
      </c>
      <c r="HN73" s="68">
        <f>IF(OR($U73=0,$F73&lt;&gt;2),0,IF(HM73&gt;0,HM73,IF(ROUND(DO73*$J73,6)&lt;ROUND($M73,6),DO73,0)))</f>
        <v/>
      </c>
      <c r="HO73" s="68">
        <f>IF(OR($U73=0,$F73&lt;&gt;2),0,IF(HN73&gt;0,HN73,IF(ROUND(DP73*$J73,6)&lt;ROUND($M73,6),DP73,0)))</f>
        <v/>
      </c>
      <c r="HP73" s="68">
        <f>IF(OR($U73=0,$F73&lt;&gt;2),0,IF(HO73&gt;0,HO73,IF(ROUND(DQ73*$J73,6)&lt;ROUND($M73,6),DQ73,0)))</f>
        <v/>
      </c>
      <c r="HQ73" s="68">
        <f>IF(OR($U73=0,$F73&lt;&gt;2),0,IF(HP73&gt;0,HP73,IF(ROUND(DR73*$J73,6)&lt;ROUND($M73,6),DR73,0)))</f>
        <v/>
      </c>
      <c r="HR73" s="68">
        <f>IF(OR($U73=0,$F73&lt;&gt;2),0,IF(HQ73&gt;0,HQ73,IF(ROUND(DS73*$J73,6)&lt;ROUND($M73,6),DS73,0)))</f>
        <v/>
      </c>
      <c r="HS73" s="68">
        <f>IF(OR($U73=0,$F73&lt;&gt;2),0,IF(HR73&gt;0,HR73,IF(ROUND(DT73*$J73,6)&lt;ROUND($M73,6),DT73,0)))</f>
        <v/>
      </c>
      <c r="HT73" s="68">
        <f>IF(OR($U73=0,$F73&lt;&gt;2),0,IF(HS73&gt;0,HS73,IF(ROUND(DU73*$J73,6)&lt;ROUND($M73,6),DU73,0)))</f>
        <v/>
      </c>
      <c r="HU73" s="68">
        <f>IF(OR($U73=0,$F73&lt;&gt;2),0,IF(HT73&gt;0,HT73,IF(ROUND(DV73*$J73,6)&lt;ROUND($M73,6),DV73,0)))</f>
        <v/>
      </c>
      <c r="HV73" s="68">
        <f>IF(OR($U73=0,$F73&lt;&gt;2),0,IF(HU73&gt;0,HU73,IF(ROUND(DW73*$J73,6)&lt;ROUND($M73,6),DW73,0)))</f>
        <v/>
      </c>
      <c r="HW73" s="68">
        <f>IF(OR($U73=0,$F73&lt;&gt;2),0,IF(HV73&gt;0,HV73,IF(ROUND(DX73*$J73,6)&lt;ROUND($M73,6),DX73,0)))</f>
        <v/>
      </c>
      <c r="HX73" s="68">
        <f>IF(OR($U73=0,$F73&lt;&gt;2),0,IF(HW73&gt;0,HW73,IF(ROUND(DY73*$J73,6)&lt;ROUND($M73,6),DY73,0)))</f>
        <v/>
      </c>
      <c r="HY73" s="68">
        <f>IF(OR($U73=0,$F73&lt;&gt;2),0,IF(HX73&gt;0,HX73,IF(ROUND(DZ73*$J73,6)&lt;ROUND($M73,6),DZ73,0)))</f>
        <v/>
      </c>
      <c r="HZ73" s="68">
        <f>IF(OR($U73=0,$F73&lt;&gt;2),0,IF(HY73&gt;0,HY73,IF(ROUND(EA73*$J73,6)&lt;ROUND($M73,6),EA73,0)))</f>
        <v/>
      </c>
      <c r="IA73" s="68">
        <f>IF(OR($U73=0,$F73&lt;&gt;2),0,IF(HZ73&gt;0,HZ73,IF(ROUND(EB73*$J73,6)&lt;ROUND($M73,6),EB73,0)))</f>
        <v/>
      </c>
      <c r="IB73" s="68">
        <f>IF(OR($U73=0,$F73&lt;&gt;2),0,IF(IA73&gt;0,IA73,IF(ROUND(EC73*$J73,6)&lt;ROUND($M73,6),EC73,0)))</f>
        <v/>
      </c>
      <c r="IC73" s="68">
        <f>IF(OR($U73=0,$F73&lt;&gt;2),0,IF(IB73&gt;0,IB73,IF(ROUND(ED73*$J73,6)&lt;ROUND($M73,6),ED73,0)))</f>
        <v/>
      </c>
      <c r="ID73" s="68">
        <f>IF(OR($U73=0,$F73&lt;&gt;2),0,IF(IC73&gt;0,IC73,IF(ROUND(EE73*$J73,6)&lt;ROUND($M73,6),EE73,0)))</f>
        <v/>
      </c>
      <c r="IE73" s="68">
        <f>IF(OR($U73=0,$F73&lt;&gt;2),0,IF(ID73&gt;0,ID73,IF(ROUND(EF73*$J73,6)&lt;ROUND($M73,6),EF73,0)))</f>
        <v/>
      </c>
      <c r="IF73" s="68">
        <f>IF(OR($U73=0,$F73&lt;&gt;2),0,IF(IE73&gt;0,IE73,IF(ROUND(EG73*$J73,6)&lt;ROUND($M73,6),EG73,0)))</f>
        <v/>
      </c>
      <c r="IG73" s="68">
        <f>IF(OR($U73=0,$F73&lt;&gt;2),0,IF(IF73&gt;0,IF73,IF(ROUND(EH73*$J73,6)&lt;ROUND($M73,6),EH73,0)))</f>
        <v/>
      </c>
      <c r="IH73" s="68">
        <f>IF(OR($U73=0,$F73&lt;&gt;2),0,IF(IG73&gt;0,IG73,IF(ROUND(EI73*$J73,6)&lt;ROUND($M73,6),EI73,0)))</f>
        <v/>
      </c>
      <c r="II73" s="68">
        <f>IF(OR($U73=0,$F73&lt;&gt;2),0,IF(IH73&gt;0,IH73,IF(ROUND(EJ73*$J73,6)&lt;ROUND($M73,6),EJ73,0)))</f>
        <v/>
      </c>
      <c r="IJ73" s="68">
        <f>IF(OR($U73=0,$F73&lt;&gt;2),0,IF(II73&gt;0,II73,IF(ROUND(EK73*$J73,6)&lt;ROUND($M73,6),EK73,0)))</f>
        <v/>
      </c>
      <c r="IK73" s="68">
        <f>IF(OR($U73=0,$F73&lt;&gt;2),0,IF(IJ73&gt;0,IJ73,IF(ROUND(EL73*$J73,6)&lt;ROUND($M73,6),EL73,0)))</f>
        <v/>
      </c>
      <c r="IL73" s="68">
        <f>IF(OR($U73=0,$F73&lt;&gt;2),0,IF(IK73&gt;0,IK73,IF(ROUND(EM73*$J73,6)&lt;ROUND($M73,6),EM73,0)))</f>
        <v/>
      </c>
      <c r="IM73" s="68">
        <f>IF(OR($U73=0,$F73&lt;&gt;2),0,IF(IL73&gt;0,IL73,IF(ROUND(EN73*$J73,6)&lt;ROUND($M73,6),EN73,0)))</f>
        <v/>
      </c>
      <c r="IN73" s="68">
        <f>IF(OR($U73=0,$F73&lt;&gt;2),0,IF(IM73&gt;0,IM73,IF(ROUND(EO73*$J73,6)&lt;ROUND($M73,6),EO73,0)))</f>
        <v/>
      </c>
    </row>
    <row r="74">
      <c r="A74" s="68" t="n">
        <v>69</v>
      </c>
      <c r="B74" s="68">
        <f>IF(OR(TRIM('固定資産台帳'!$B74)&lt;&gt;"",'固定資産台帳'!$E74&lt;&gt;"",'固定資産台帳'!$G74&lt;&gt;"",'固定資産台帳'!$H74&lt;&gt;""),1,0)</f>
        <v/>
      </c>
      <c r="C74" s="68">
        <f>IF(ISNUMBER('固定資産台帳'!$G74),MAX(ROUND('固定資産台帳'!$G74,0),0),0)</f>
        <v/>
      </c>
      <c r="D74" s="84">
        <f>IF(ISNUMBER('固定資産台帳'!$E74),INT('固定資産台帳'!$E74),0)</f>
        <v/>
      </c>
      <c r="E74" s="84">
        <f>IF(ISNUMBER('固定資産台帳'!$F74),INT('固定資産台帳'!$F74),$D74)</f>
        <v/>
      </c>
      <c r="F74" s="68">
        <f>IF('固定資産台帳'!$H74="定額法",1,IF(OR('固定資産台帳'!$H74="定率法",'固定資産台帳'!$H74="定率法（200%）",'固定資産台帳'!$H74="定率法（250%）"),2,IF('固定資産台帳'!$H74="一括償却（3年）",3,IF('固定資産台帳'!$H74="少額特例",4,0))))</f>
        <v/>
      </c>
      <c r="G74" s="68">
        <f>IF('固定資産台帳'!$H74="定率法（250%）",250,IF('固定資産台帳'!$H74="定率法（200%）",200,IF($D74&gt;=DATE(2012,4,1),200,250)))</f>
        <v/>
      </c>
      <c r="H74" s="68">
        <f>IF(ISNUMBER('固定資産台帳'!$I74),IF(AND('固定資産台帳'!$I74&gt;=2,'固定資産台帳'!$I74&lt;=100,'固定資産台帳'!$I74=INT('固定資産台帳'!$I74)),'固定資産台帳'!$I74,0),0)</f>
        <v/>
      </c>
      <c r="I74" s="68">
        <f>IF('固定資産台帳'!$C74="無形固定資産",0,1)</f>
        <v/>
      </c>
      <c r="J74" s="68">
        <f>IF(OR($H74=0,$F74=0,$F74&gt;2),0,IF($F74=1,INDEX('償却率表'!$B$6:$B$104,$H74-1),IF($G74=200,INDEX('償却率表'!$C$6:$C$104,$H74-1),INDEX('償却率表'!$F$6:$F$104,$H74-1))))</f>
        <v/>
      </c>
      <c r="K74" s="68">
        <f>IF(AND($F74=2,$H74&gt;0),IF($G74=200,INDEX('償却率表'!$D$6:$D$104,$H74-1),INDEX('償却率表'!$G$6:$G$104,$H74-1)),0)</f>
        <v/>
      </c>
      <c r="L74" s="68">
        <f>IF(AND($F74=2,$H74&gt;0),IF($G74=200,INDEX('償却率表'!$E$6:$E$104,$H74-1),INDEX('償却率表'!$H$6:$H$104,$H74-1)),0)</f>
        <v/>
      </c>
      <c r="M74" s="68">
        <f>$C74*$L74</f>
        <v/>
      </c>
      <c r="N74" s="68">
        <f>IF($B$1=1,1,IF('固定資産台帳'!$J74="",1,IF(ISNUMBER('固定資産台帳'!$J74),IF(AND('固定資産台帳'!$J74&gt;0,'固定資産台帳'!$J74&lt;=1),'固定資産台帳'!$J74,0),0)))</f>
        <v/>
      </c>
      <c r="O74" s="68">
        <f>IF($E74=0,0,YEAR($E74)-IF(MONTH($E74)&lt;$B$2,1,0))</f>
        <v/>
      </c>
      <c r="P74" s="68">
        <f>IF($E74=0,0,12-MOD(MONTH($E74)-$B$2,12))</f>
        <v/>
      </c>
      <c r="Q74" s="84">
        <f>IF(ISNUMBER('固定資産台帳'!$K74),INT('固定資産台帳'!$K74),0)</f>
        <v/>
      </c>
      <c r="R74" s="68">
        <f>IF(OR($Q74=0,$E74=0),999,YEAR($Q74)-IF(MONTH($Q74)&lt;$B$2,1,0)-$O74)</f>
        <v/>
      </c>
      <c r="S74" s="68">
        <f>IF($R74=999,0,MOD(MONTH($Q74)-$B$2,12)+1-IF($R74=0,12-$P74,0))</f>
        <v/>
      </c>
      <c r="T74" s="68">
        <f>IF($B74=0,0,IF($C74&lt;=0,1,IF($D74=0,2,IF($F74=0,3,IF(AND($F74&lt;=2,$H74=0),4,IF(AND($F74&lt;=2,$D74&lt;DATE(2007,4,1)),5,IF($E74&lt;$D74,6,IF(AND($Q74&gt;0,$Q74&lt;$E74),7,IF($N74=0,8,IF($B$3=0,9,0))))))))))</f>
        <v/>
      </c>
      <c r="U74" s="68">
        <f>IF(AND($B74=1,$T74=0),1,0)</f>
        <v/>
      </c>
      <c r="V74" s="68">
        <f>$B$3-$O74</f>
        <v/>
      </c>
      <c r="W74" s="68">
        <f>IF(AND($U74=1,$V74&gt;=0),1,0)</f>
        <v/>
      </c>
      <c r="X74" s="68">
        <f>IF($W74=0,0,IF($V74=0,$C74,INDEX($AS74:$EP74,MIN($V74,102))))</f>
        <v/>
      </c>
      <c r="Y74" s="68">
        <f>IF($W74=0,0,INDEX($AS74:$EP74,MIN($V74,101)+1))</f>
        <v/>
      </c>
      <c r="Z74" s="68">
        <f>$X74-$Y74</f>
        <v/>
      </c>
      <c r="AA74" s="68">
        <f>IF(AND($W74=1,$F74=2,$V74&gt;=1),INDEX($ER74:$IN74,MIN($V74,101)),0)</f>
        <v/>
      </c>
      <c r="AB74" s="68">
        <f>IF(OR($W74=0,$F74&gt;2,$Z74=0),0,IF($V74=0,IF($R74=0,$S74,$P74),IF($V74=$R74,$S74,12)))</f>
        <v/>
      </c>
      <c r="AC74" s="68">
        <f>IF($W74=0,0,INT(ROUND($Z74*$N74,6)+$B$4))</f>
        <v/>
      </c>
      <c r="AD74" s="68">
        <f>IF(AND($W74=1,$F74&lt;=2,$V74=$R74),1,0)</f>
        <v/>
      </c>
      <c r="AE74" s="68">
        <f>IF(AND($W74=1,$F74&lt;=2,$V74&gt;$R74),1,0)</f>
        <v/>
      </c>
      <c r="AF74" s="68">
        <f>IF(AND($W74=1,$AE74=0,OR($Z74&gt;0,$AD74=1)),1,0)</f>
        <v/>
      </c>
      <c r="AG74" s="68">
        <f>IF($AF74=1,SUM($AF$6:$AF74),0)</f>
        <v/>
      </c>
      <c r="AH74" s="68">
        <f>IF($T74=0,"",CHOOSE($T74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74" s="68">
        <f>IF(AND($F74=2,OR('固定資産台帳'!$C74="建物",'固定資産台帳'!$C74="無形固定資産",AND(OR('固定資産台帳'!$C74="建物附属設備",'固定資産台帳'!$C74="構築物"),$D74&gt;=DATE(2016,4,1)))),"この資産は定額法だけです（定率法は使えません）。","")&amp;IF(AND($F74=3,$C74&gt;=200000),"一括償却は20万円未満の資産だけです。","")&amp;IF(AND($F74=3,$B$1=0,$C74&lt;100000),"10万円未満は一括償却にせず、全額をその年の経費にします。","")&amp;IF(AND($F74=4,$C74&lt;100000),"10万円未満は少額特例ではなく、全額をその年の経費にします。","")&amp;IF(AND($F74=4,$D74&lt;DATE(2026,4,1),$C74&gt;=300000),"2026年3月31日までの取得で少額特例が使えるのは30万円未満です。","")&amp;IF(AND($F74=4,$D74&gt;=DATE(2026,4,1),$C74&gt;=400000),"少額特例は40万円未満の資産だけです。","")&amp;IF(AND($F74=4,OR($D74&lt;DATE(2006,4,1),$D74&gt;DATE(2029,3,31))),"少額特例は2006年4月1日〜2029年3月31日に取得した資産だけです。","")&amp;IF(AND($F74=2,$G74=250,$D74&gt;DATE(2012,12,31)),"250%定率法は2012年12月31日までの取得だけです。","")</f>
        <v/>
      </c>
      <c r="AJ74" s="68">
        <f>IF(AND($F74=2,'固定資産台帳'!$H74="定率法（200%）",$D74&lt;DATE(2012,4,1)),"2012年3月31日までの取得に200%を使うのは、経過措置の届出をした場合です。","")&amp;IF(AND($F74=2,'固定資産台帳'!$H74="定率法（250%）",$D74&gt;=DATE(2012,4,1),$D74&lt;=DATE(2012,12,31)),"2012年4〜12月の取得に250%を使うのは、経過措置を選んだ場合です。","")</f>
        <v/>
      </c>
      <c r="AK74" s="68">
        <f>IF($U74=0,"",IF($V74&lt;0,"表示している年より後に使い始める資産です。",IF($AE74=1,"売却・除却済みです。",IF($AD74=1,"この年に売却・除却。期末の帳簿価額 "&amp;TEXT($Y74,"#,##0")&amp;"円を帳簿から外します。",IF($F74=4,IF($V74=0,"少額特例：この年に全額を経費にします。","少額特例で経費にした資産です。"),IF($F74=3,IF($V74&gt;2,"一括償却は終わっています。","一括償却 "&amp;($V74+1)&amp;"年目（3年のうち）。"),IF($Z74=0,"償却済み（帳簿価額 "&amp;TEXT($Y74,"#,##0")&amp;"円）。",IF($AA74&gt;0,"改定償却率で計算（改定取得価額 "&amp;TEXT($AA74,"#,##0")&amp;"円）。",IF($V74=0,"この年に使い始め（"&amp;$AB74&amp;"か月分）。","")))))))))</f>
        <v/>
      </c>
      <c r="AL74" s="68">
        <f>IF(AND($U74=1,$F74=4,$V74=0),$C74,0)</f>
        <v/>
      </c>
      <c r="AM74" s="68">
        <f>IF($F74=2,INT(ROUND($M74,6)+$B$4),0)</f>
        <v/>
      </c>
      <c r="AN74" s="68">
        <f>IF($W74=0,0,IF($F74=2,IF($AA74&gt;0,$AA74,$X74),$C74))</f>
        <v/>
      </c>
      <c r="AO74" s="68">
        <f>IF($W74=0,"",IF($F74=3,"1/3",IF($F74=4,"―",IF($AA74&gt;0,$K74,$J74))))</f>
        <v/>
      </c>
      <c r="AP74" s="68" t="n"/>
      <c r="AQ74" s="68" t="n"/>
      <c r="AR74" s="68" t="n"/>
      <c r="AS74" s="68">
        <f>IF($U74=0,0,IF($F74=4,0,IF($F74=3,MAX($C74-INT(ROUND($C74/3,6)+$B$4),0),$C74-MIN(INT(ROUND($C74*$J74*IF($R74=0,$S74,$P74)/12,6)+$B$4),MAX($C74-$I74,0)))))</f>
        <v/>
      </c>
      <c r="AT74" s="68">
        <f>IF($U74=0,0,IF($F74=4,0,IF($F74=3,AS74-MIN(INT(ROUND($C74/3,6)+$B$4),AS74),IF(OR(1&gt;$R74,AS74&lt;=$I74),AS74,AS74-MIN(INT(ROUND(IF($F74=1,$C74*$J74,IF(ER74&gt;0,ER74*$K74,AS74*$J74))*IF(1=$R74,$S74,12)/12,6)+$B$4),AS74-$I74)))))</f>
        <v/>
      </c>
      <c r="AU74" s="68">
        <f>IF($U74=0,0,IF($F74=4,0,IF($F74=3,0,IF(OR(2&gt;$R74,AT74&lt;=$I74),AT74,AT74-MIN(INT(ROUND(IF($F74=1,$C74*$J74,IF(ES74&gt;0,ES74*$K74,AT74*$J74))*IF(2=$R74,$S74,12)/12,6)+$B$4),AT74-$I74)))))</f>
        <v/>
      </c>
      <c r="AV74" s="68">
        <f>IF($U74=0,0,IF($F74=4,0,IF($F74=3,0,IF(OR(3&gt;$R74,AU74&lt;=$I74),AU74,AU74-MIN(INT(ROUND(IF($F74=1,$C74*$J74,IF(ET74&gt;0,ET74*$K74,AU74*$J74))*IF(3=$R74,$S74,12)/12,6)+$B$4),AU74-$I74)))))</f>
        <v/>
      </c>
      <c r="AW74" s="68">
        <f>IF($U74=0,0,IF($F74=4,0,IF($F74=3,0,IF(OR(4&gt;$R74,AV74&lt;=$I74),AV74,AV74-MIN(INT(ROUND(IF($F74=1,$C74*$J74,IF(EU74&gt;0,EU74*$K74,AV74*$J74))*IF(4=$R74,$S74,12)/12,6)+$B$4),AV74-$I74)))))</f>
        <v/>
      </c>
      <c r="AX74" s="68">
        <f>IF($U74=0,0,IF($F74=4,0,IF($F74=3,0,IF(OR(5&gt;$R74,AW74&lt;=$I74),AW74,AW74-MIN(INT(ROUND(IF($F74=1,$C74*$J74,IF(EV74&gt;0,EV74*$K74,AW74*$J74))*IF(5=$R74,$S74,12)/12,6)+$B$4),AW74-$I74)))))</f>
        <v/>
      </c>
      <c r="AY74" s="68">
        <f>IF($U74=0,0,IF($F74=4,0,IF($F74=3,0,IF(OR(6&gt;$R74,AX74&lt;=$I74),AX74,AX74-MIN(INT(ROUND(IF($F74=1,$C74*$J74,IF(EW74&gt;0,EW74*$K74,AX74*$J74))*IF(6=$R74,$S74,12)/12,6)+$B$4),AX74-$I74)))))</f>
        <v/>
      </c>
      <c r="AZ74" s="68">
        <f>IF($U74=0,0,IF($F74=4,0,IF($F74=3,0,IF(OR(7&gt;$R74,AY74&lt;=$I74),AY74,AY74-MIN(INT(ROUND(IF($F74=1,$C74*$J74,IF(EX74&gt;0,EX74*$K74,AY74*$J74))*IF(7=$R74,$S74,12)/12,6)+$B$4),AY74-$I74)))))</f>
        <v/>
      </c>
      <c r="BA74" s="68">
        <f>IF($U74=0,0,IF($F74=4,0,IF($F74=3,0,IF(OR(8&gt;$R74,AZ74&lt;=$I74),AZ74,AZ74-MIN(INT(ROUND(IF($F74=1,$C74*$J74,IF(EY74&gt;0,EY74*$K74,AZ74*$J74))*IF(8=$R74,$S74,12)/12,6)+$B$4),AZ74-$I74)))))</f>
        <v/>
      </c>
      <c r="BB74" s="68">
        <f>IF($U74=0,0,IF($F74=4,0,IF($F74=3,0,IF(OR(9&gt;$R74,BA74&lt;=$I74),BA74,BA74-MIN(INT(ROUND(IF($F74=1,$C74*$J74,IF(EZ74&gt;0,EZ74*$K74,BA74*$J74))*IF(9=$R74,$S74,12)/12,6)+$B$4),BA74-$I74)))))</f>
        <v/>
      </c>
      <c r="BC74" s="68">
        <f>IF($U74=0,0,IF($F74=4,0,IF($F74=3,0,IF(OR(10&gt;$R74,BB74&lt;=$I74),BB74,BB74-MIN(INT(ROUND(IF($F74=1,$C74*$J74,IF(FA74&gt;0,FA74*$K74,BB74*$J74))*IF(10=$R74,$S74,12)/12,6)+$B$4),BB74-$I74)))))</f>
        <v/>
      </c>
      <c r="BD74" s="68">
        <f>IF($U74=0,0,IF($F74=4,0,IF($F74=3,0,IF(OR(11&gt;$R74,BC74&lt;=$I74),BC74,BC74-MIN(INT(ROUND(IF($F74=1,$C74*$J74,IF(FB74&gt;0,FB74*$K74,BC74*$J74))*IF(11=$R74,$S74,12)/12,6)+$B$4),BC74-$I74)))))</f>
        <v/>
      </c>
      <c r="BE74" s="68">
        <f>IF($U74=0,0,IF($F74=4,0,IF($F74=3,0,IF(OR(12&gt;$R74,BD74&lt;=$I74),BD74,BD74-MIN(INT(ROUND(IF($F74=1,$C74*$J74,IF(FC74&gt;0,FC74*$K74,BD74*$J74))*IF(12=$R74,$S74,12)/12,6)+$B$4),BD74-$I74)))))</f>
        <v/>
      </c>
      <c r="BF74" s="68">
        <f>IF($U74=0,0,IF($F74=4,0,IF($F74=3,0,IF(OR(13&gt;$R74,BE74&lt;=$I74),BE74,BE74-MIN(INT(ROUND(IF($F74=1,$C74*$J74,IF(FD74&gt;0,FD74*$K74,BE74*$J74))*IF(13=$R74,$S74,12)/12,6)+$B$4),BE74-$I74)))))</f>
        <v/>
      </c>
      <c r="BG74" s="68">
        <f>IF($U74=0,0,IF($F74=4,0,IF($F74=3,0,IF(OR(14&gt;$R74,BF74&lt;=$I74),BF74,BF74-MIN(INT(ROUND(IF($F74=1,$C74*$J74,IF(FE74&gt;0,FE74*$K74,BF74*$J74))*IF(14=$R74,$S74,12)/12,6)+$B$4),BF74-$I74)))))</f>
        <v/>
      </c>
      <c r="BH74" s="68">
        <f>IF($U74=0,0,IF($F74=4,0,IF($F74=3,0,IF(OR(15&gt;$R74,BG74&lt;=$I74),BG74,BG74-MIN(INT(ROUND(IF($F74=1,$C74*$J74,IF(FF74&gt;0,FF74*$K74,BG74*$J74))*IF(15=$R74,$S74,12)/12,6)+$B$4),BG74-$I74)))))</f>
        <v/>
      </c>
      <c r="BI74" s="68">
        <f>IF($U74=0,0,IF($F74=4,0,IF($F74=3,0,IF(OR(16&gt;$R74,BH74&lt;=$I74),BH74,BH74-MIN(INT(ROUND(IF($F74=1,$C74*$J74,IF(FG74&gt;0,FG74*$K74,BH74*$J74))*IF(16=$R74,$S74,12)/12,6)+$B$4),BH74-$I74)))))</f>
        <v/>
      </c>
      <c r="BJ74" s="68">
        <f>IF($U74=0,0,IF($F74=4,0,IF($F74=3,0,IF(OR(17&gt;$R74,BI74&lt;=$I74),BI74,BI74-MIN(INT(ROUND(IF($F74=1,$C74*$J74,IF(FH74&gt;0,FH74*$K74,BI74*$J74))*IF(17=$R74,$S74,12)/12,6)+$B$4),BI74-$I74)))))</f>
        <v/>
      </c>
      <c r="BK74" s="68">
        <f>IF($U74=0,0,IF($F74=4,0,IF($F74=3,0,IF(OR(18&gt;$R74,BJ74&lt;=$I74),BJ74,BJ74-MIN(INT(ROUND(IF($F74=1,$C74*$J74,IF(FI74&gt;0,FI74*$K74,BJ74*$J74))*IF(18=$R74,$S74,12)/12,6)+$B$4),BJ74-$I74)))))</f>
        <v/>
      </c>
      <c r="BL74" s="68">
        <f>IF($U74=0,0,IF($F74=4,0,IF($F74=3,0,IF(OR(19&gt;$R74,BK74&lt;=$I74),BK74,BK74-MIN(INT(ROUND(IF($F74=1,$C74*$J74,IF(FJ74&gt;0,FJ74*$K74,BK74*$J74))*IF(19=$R74,$S74,12)/12,6)+$B$4),BK74-$I74)))))</f>
        <v/>
      </c>
      <c r="BM74" s="68">
        <f>IF($U74=0,0,IF($F74=4,0,IF($F74=3,0,IF(OR(20&gt;$R74,BL74&lt;=$I74),BL74,BL74-MIN(INT(ROUND(IF($F74=1,$C74*$J74,IF(FK74&gt;0,FK74*$K74,BL74*$J74))*IF(20=$R74,$S74,12)/12,6)+$B$4),BL74-$I74)))))</f>
        <v/>
      </c>
      <c r="BN74" s="68">
        <f>IF($U74=0,0,IF($F74=4,0,IF($F74=3,0,IF(OR(21&gt;$R74,BM74&lt;=$I74),BM74,BM74-MIN(INT(ROUND(IF($F74=1,$C74*$J74,IF(FL74&gt;0,FL74*$K74,BM74*$J74))*IF(21=$R74,$S74,12)/12,6)+$B$4),BM74-$I74)))))</f>
        <v/>
      </c>
      <c r="BO74" s="68">
        <f>IF($U74=0,0,IF($F74=4,0,IF($F74=3,0,IF(OR(22&gt;$R74,BN74&lt;=$I74),BN74,BN74-MIN(INT(ROUND(IF($F74=1,$C74*$J74,IF(FM74&gt;0,FM74*$K74,BN74*$J74))*IF(22=$R74,$S74,12)/12,6)+$B$4),BN74-$I74)))))</f>
        <v/>
      </c>
      <c r="BP74" s="68">
        <f>IF($U74=0,0,IF($F74=4,0,IF($F74=3,0,IF(OR(23&gt;$R74,BO74&lt;=$I74),BO74,BO74-MIN(INT(ROUND(IF($F74=1,$C74*$J74,IF(FN74&gt;0,FN74*$K74,BO74*$J74))*IF(23=$R74,$S74,12)/12,6)+$B$4),BO74-$I74)))))</f>
        <v/>
      </c>
      <c r="BQ74" s="68">
        <f>IF($U74=0,0,IF($F74=4,0,IF($F74=3,0,IF(OR(24&gt;$R74,BP74&lt;=$I74),BP74,BP74-MIN(INT(ROUND(IF($F74=1,$C74*$J74,IF(FO74&gt;0,FO74*$K74,BP74*$J74))*IF(24=$R74,$S74,12)/12,6)+$B$4),BP74-$I74)))))</f>
        <v/>
      </c>
      <c r="BR74" s="68">
        <f>IF($U74=0,0,IF($F74=4,0,IF($F74=3,0,IF(OR(25&gt;$R74,BQ74&lt;=$I74),BQ74,BQ74-MIN(INT(ROUND(IF($F74=1,$C74*$J74,IF(FP74&gt;0,FP74*$K74,BQ74*$J74))*IF(25=$R74,$S74,12)/12,6)+$B$4),BQ74-$I74)))))</f>
        <v/>
      </c>
      <c r="BS74" s="68">
        <f>IF($U74=0,0,IF($F74=4,0,IF($F74=3,0,IF(OR(26&gt;$R74,BR74&lt;=$I74),BR74,BR74-MIN(INT(ROUND(IF($F74=1,$C74*$J74,IF(FQ74&gt;0,FQ74*$K74,BR74*$J74))*IF(26=$R74,$S74,12)/12,6)+$B$4),BR74-$I74)))))</f>
        <v/>
      </c>
      <c r="BT74" s="68">
        <f>IF($U74=0,0,IF($F74=4,0,IF($F74=3,0,IF(OR(27&gt;$R74,BS74&lt;=$I74),BS74,BS74-MIN(INT(ROUND(IF($F74=1,$C74*$J74,IF(FR74&gt;0,FR74*$K74,BS74*$J74))*IF(27=$R74,$S74,12)/12,6)+$B$4),BS74-$I74)))))</f>
        <v/>
      </c>
      <c r="BU74" s="68">
        <f>IF($U74=0,0,IF($F74=4,0,IF($F74=3,0,IF(OR(28&gt;$R74,BT74&lt;=$I74),BT74,BT74-MIN(INT(ROUND(IF($F74=1,$C74*$J74,IF(FS74&gt;0,FS74*$K74,BT74*$J74))*IF(28=$R74,$S74,12)/12,6)+$B$4),BT74-$I74)))))</f>
        <v/>
      </c>
      <c r="BV74" s="68">
        <f>IF($U74=0,0,IF($F74=4,0,IF($F74=3,0,IF(OR(29&gt;$R74,BU74&lt;=$I74),BU74,BU74-MIN(INT(ROUND(IF($F74=1,$C74*$J74,IF(FT74&gt;0,FT74*$K74,BU74*$J74))*IF(29=$R74,$S74,12)/12,6)+$B$4),BU74-$I74)))))</f>
        <v/>
      </c>
      <c r="BW74" s="68">
        <f>IF($U74=0,0,IF($F74=4,0,IF($F74=3,0,IF(OR(30&gt;$R74,BV74&lt;=$I74),BV74,BV74-MIN(INT(ROUND(IF($F74=1,$C74*$J74,IF(FU74&gt;0,FU74*$K74,BV74*$J74))*IF(30=$R74,$S74,12)/12,6)+$B$4),BV74-$I74)))))</f>
        <v/>
      </c>
      <c r="BX74" s="68">
        <f>IF($U74=0,0,IF($F74=4,0,IF($F74=3,0,IF(OR(31&gt;$R74,BW74&lt;=$I74),BW74,BW74-MIN(INT(ROUND(IF($F74=1,$C74*$J74,IF(FV74&gt;0,FV74*$K74,BW74*$J74))*IF(31=$R74,$S74,12)/12,6)+$B$4),BW74-$I74)))))</f>
        <v/>
      </c>
      <c r="BY74" s="68">
        <f>IF($U74=0,0,IF($F74=4,0,IF($F74=3,0,IF(OR(32&gt;$R74,BX74&lt;=$I74),BX74,BX74-MIN(INT(ROUND(IF($F74=1,$C74*$J74,IF(FW74&gt;0,FW74*$K74,BX74*$J74))*IF(32=$R74,$S74,12)/12,6)+$B$4),BX74-$I74)))))</f>
        <v/>
      </c>
      <c r="BZ74" s="68">
        <f>IF($U74=0,0,IF($F74=4,0,IF($F74=3,0,IF(OR(33&gt;$R74,BY74&lt;=$I74),BY74,BY74-MIN(INT(ROUND(IF($F74=1,$C74*$J74,IF(FX74&gt;0,FX74*$K74,BY74*$J74))*IF(33=$R74,$S74,12)/12,6)+$B$4),BY74-$I74)))))</f>
        <v/>
      </c>
      <c r="CA74" s="68">
        <f>IF($U74=0,0,IF($F74=4,0,IF($F74=3,0,IF(OR(34&gt;$R74,BZ74&lt;=$I74),BZ74,BZ74-MIN(INT(ROUND(IF($F74=1,$C74*$J74,IF(FY74&gt;0,FY74*$K74,BZ74*$J74))*IF(34=$R74,$S74,12)/12,6)+$B$4),BZ74-$I74)))))</f>
        <v/>
      </c>
      <c r="CB74" s="68">
        <f>IF($U74=0,0,IF($F74=4,0,IF($F74=3,0,IF(OR(35&gt;$R74,CA74&lt;=$I74),CA74,CA74-MIN(INT(ROUND(IF($F74=1,$C74*$J74,IF(FZ74&gt;0,FZ74*$K74,CA74*$J74))*IF(35=$R74,$S74,12)/12,6)+$B$4),CA74-$I74)))))</f>
        <v/>
      </c>
      <c r="CC74" s="68">
        <f>IF($U74=0,0,IF($F74=4,0,IF($F74=3,0,IF(OR(36&gt;$R74,CB74&lt;=$I74),CB74,CB74-MIN(INT(ROUND(IF($F74=1,$C74*$J74,IF(GA74&gt;0,GA74*$K74,CB74*$J74))*IF(36=$R74,$S74,12)/12,6)+$B$4),CB74-$I74)))))</f>
        <v/>
      </c>
      <c r="CD74" s="68">
        <f>IF($U74=0,0,IF($F74=4,0,IF($F74=3,0,IF(OR(37&gt;$R74,CC74&lt;=$I74),CC74,CC74-MIN(INT(ROUND(IF($F74=1,$C74*$J74,IF(GB74&gt;0,GB74*$K74,CC74*$J74))*IF(37=$R74,$S74,12)/12,6)+$B$4),CC74-$I74)))))</f>
        <v/>
      </c>
      <c r="CE74" s="68">
        <f>IF($U74=0,0,IF($F74=4,0,IF($F74=3,0,IF(OR(38&gt;$R74,CD74&lt;=$I74),CD74,CD74-MIN(INT(ROUND(IF($F74=1,$C74*$J74,IF(GC74&gt;0,GC74*$K74,CD74*$J74))*IF(38=$R74,$S74,12)/12,6)+$B$4),CD74-$I74)))))</f>
        <v/>
      </c>
      <c r="CF74" s="68">
        <f>IF($U74=0,0,IF($F74=4,0,IF($F74=3,0,IF(OR(39&gt;$R74,CE74&lt;=$I74),CE74,CE74-MIN(INT(ROUND(IF($F74=1,$C74*$J74,IF(GD74&gt;0,GD74*$K74,CE74*$J74))*IF(39=$R74,$S74,12)/12,6)+$B$4),CE74-$I74)))))</f>
        <v/>
      </c>
      <c r="CG74" s="68">
        <f>IF($U74=0,0,IF($F74=4,0,IF($F74=3,0,IF(OR(40&gt;$R74,CF74&lt;=$I74),CF74,CF74-MIN(INT(ROUND(IF($F74=1,$C74*$J74,IF(GE74&gt;0,GE74*$K74,CF74*$J74))*IF(40=$R74,$S74,12)/12,6)+$B$4),CF74-$I74)))))</f>
        <v/>
      </c>
      <c r="CH74" s="68">
        <f>IF($U74=0,0,IF($F74=4,0,IF($F74=3,0,IF(OR(41&gt;$R74,CG74&lt;=$I74),CG74,CG74-MIN(INT(ROUND(IF($F74=1,$C74*$J74,IF(GF74&gt;0,GF74*$K74,CG74*$J74))*IF(41=$R74,$S74,12)/12,6)+$B$4),CG74-$I74)))))</f>
        <v/>
      </c>
      <c r="CI74" s="68">
        <f>IF($U74=0,0,IF($F74=4,0,IF($F74=3,0,IF(OR(42&gt;$R74,CH74&lt;=$I74),CH74,CH74-MIN(INT(ROUND(IF($F74=1,$C74*$J74,IF(GG74&gt;0,GG74*$K74,CH74*$J74))*IF(42=$R74,$S74,12)/12,6)+$B$4),CH74-$I74)))))</f>
        <v/>
      </c>
      <c r="CJ74" s="68">
        <f>IF($U74=0,0,IF($F74=4,0,IF($F74=3,0,IF(OR(43&gt;$R74,CI74&lt;=$I74),CI74,CI74-MIN(INT(ROUND(IF($F74=1,$C74*$J74,IF(GH74&gt;0,GH74*$K74,CI74*$J74))*IF(43=$R74,$S74,12)/12,6)+$B$4),CI74-$I74)))))</f>
        <v/>
      </c>
      <c r="CK74" s="68">
        <f>IF($U74=0,0,IF($F74=4,0,IF($F74=3,0,IF(OR(44&gt;$R74,CJ74&lt;=$I74),CJ74,CJ74-MIN(INT(ROUND(IF($F74=1,$C74*$J74,IF(GI74&gt;0,GI74*$K74,CJ74*$J74))*IF(44=$R74,$S74,12)/12,6)+$B$4),CJ74-$I74)))))</f>
        <v/>
      </c>
      <c r="CL74" s="68">
        <f>IF($U74=0,0,IF($F74=4,0,IF($F74=3,0,IF(OR(45&gt;$R74,CK74&lt;=$I74),CK74,CK74-MIN(INT(ROUND(IF($F74=1,$C74*$J74,IF(GJ74&gt;0,GJ74*$K74,CK74*$J74))*IF(45=$R74,$S74,12)/12,6)+$B$4),CK74-$I74)))))</f>
        <v/>
      </c>
      <c r="CM74" s="68">
        <f>IF($U74=0,0,IF($F74=4,0,IF($F74=3,0,IF(OR(46&gt;$R74,CL74&lt;=$I74),CL74,CL74-MIN(INT(ROUND(IF($F74=1,$C74*$J74,IF(GK74&gt;0,GK74*$K74,CL74*$J74))*IF(46=$R74,$S74,12)/12,6)+$B$4),CL74-$I74)))))</f>
        <v/>
      </c>
      <c r="CN74" s="68">
        <f>IF($U74=0,0,IF($F74=4,0,IF($F74=3,0,IF(OR(47&gt;$R74,CM74&lt;=$I74),CM74,CM74-MIN(INT(ROUND(IF($F74=1,$C74*$J74,IF(GL74&gt;0,GL74*$K74,CM74*$J74))*IF(47=$R74,$S74,12)/12,6)+$B$4),CM74-$I74)))))</f>
        <v/>
      </c>
      <c r="CO74" s="68">
        <f>IF($U74=0,0,IF($F74=4,0,IF($F74=3,0,IF(OR(48&gt;$R74,CN74&lt;=$I74),CN74,CN74-MIN(INT(ROUND(IF($F74=1,$C74*$J74,IF(GM74&gt;0,GM74*$K74,CN74*$J74))*IF(48=$R74,$S74,12)/12,6)+$B$4),CN74-$I74)))))</f>
        <v/>
      </c>
      <c r="CP74" s="68">
        <f>IF($U74=0,0,IF($F74=4,0,IF($F74=3,0,IF(OR(49&gt;$R74,CO74&lt;=$I74),CO74,CO74-MIN(INT(ROUND(IF($F74=1,$C74*$J74,IF(GN74&gt;0,GN74*$K74,CO74*$J74))*IF(49=$R74,$S74,12)/12,6)+$B$4),CO74-$I74)))))</f>
        <v/>
      </c>
      <c r="CQ74" s="68">
        <f>IF($U74=0,0,IF($F74=4,0,IF($F74=3,0,IF(OR(50&gt;$R74,CP74&lt;=$I74),CP74,CP74-MIN(INT(ROUND(IF($F74=1,$C74*$J74,IF(GO74&gt;0,GO74*$K74,CP74*$J74))*IF(50=$R74,$S74,12)/12,6)+$B$4),CP74-$I74)))))</f>
        <v/>
      </c>
      <c r="CR74" s="68">
        <f>IF($U74=0,0,IF($F74=4,0,IF($F74=3,0,IF(OR(51&gt;$R74,CQ74&lt;=$I74),CQ74,CQ74-MIN(INT(ROUND(IF($F74=1,$C74*$J74,IF(GP74&gt;0,GP74*$K74,CQ74*$J74))*IF(51=$R74,$S74,12)/12,6)+$B$4),CQ74-$I74)))))</f>
        <v/>
      </c>
      <c r="CS74" s="68">
        <f>IF($U74=0,0,IF($F74=4,0,IF($F74=3,0,IF(OR(52&gt;$R74,CR74&lt;=$I74),CR74,CR74-MIN(INT(ROUND(IF($F74=1,$C74*$J74,IF(GQ74&gt;0,GQ74*$K74,CR74*$J74))*IF(52=$R74,$S74,12)/12,6)+$B$4),CR74-$I74)))))</f>
        <v/>
      </c>
      <c r="CT74" s="68">
        <f>IF($U74=0,0,IF($F74=4,0,IF($F74=3,0,IF(OR(53&gt;$R74,CS74&lt;=$I74),CS74,CS74-MIN(INT(ROUND(IF($F74=1,$C74*$J74,IF(GR74&gt;0,GR74*$K74,CS74*$J74))*IF(53=$R74,$S74,12)/12,6)+$B$4),CS74-$I74)))))</f>
        <v/>
      </c>
      <c r="CU74" s="68">
        <f>IF($U74=0,0,IF($F74=4,0,IF($F74=3,0,IF(OR(54&gt;$R74,CT74&lt;=$I74),CT74,CT74-MIN(INT(ROUND(IF($F74=1,$C74*$J74,IF(GS74&gt;0,GS74*$K74,CT74*$J74))*IF(54=$R74,$S74,12)/12,6)+$B$4),CT74-$I74)))))</f>
        <v/>
      </c>
      <c r="CV74" s="68">
        <f>IF($U74=0,0,IF($F74=4,0,IF($F74=3,0,IF(OR(55&gt;$R74,CU74&lt;=$I74),CU74,CU74-MIN(INT(ROUND(IF($F74=1,$C74*$J74,IF(GT74&gt;0,GT74*$K74,CU74*$J74))*IF(55=$R74,$S74,12)/12,6)+$B$4),CU74-$I74)))))</f>
        <v/>
      </c>
      <c r="CW74" s="68">
        <f>IF($U74=0,0,IF($F74=4,0,IF($F74=3,0,IF(OR(56&gt;$R74,CV74&lt;=$I74),CV74,CV74-MIN(INT(ROUND(IF($F74=1,$C74*$J74,IF(GU74&gt;0,GU74*$K74,CV74*$J74))*IF(56=$R74,$S74,12)/12,6)+$B$4),CV74-$I74)))))</f>
        <v/>
      </c>
      <c r="CX74" s="68">
        <f>IF($U74=0,0,IF($F74=4,0,IF($F74=3,0,IF(OR(57&gt;$R74,CW74&lt;=$I74),CW74,CW74-MIN(INT(ROUND(IF($F74=1,$C74*$J74,IF(GV74&gt;0,GV74*$K74,CW74*$J74))*IF(57=$R74,$S74,12)/12,6)+$B$4),CW74-$I74)))))</f>
        <v/>
      </c>
      <c r="CY74" s="68">
        <f>IF($U74=0,0,IF($F74=4,0,IF($F74=3,0,IF(OR(58&gt;$R74,CX74&lt;=$I74),CX74,CX74-MIN(INT(ROUND(IF($F74=1,$C74*$J74,IF(GW74&gt;0,GW74*$K74,CX74*$J74))*IF(58=$R74,$S74,12)/12,6)+$B$4),CX74-$I74)))))</f>
        <v/>
      </c>
      <c r="CZ74" s="68">
        <f>IF($U74=0,0,IF($F74=4,0,IF($F74=3,0,IF(OR(59&gt;$R74,CY74&lt;=$I74),CY74,CY74-MIN(INT(ROUND(IF($F74=1,$C74*$J74,IF(GX74&gt;0,GX74*$K74,CY74*$J74))*IF(59=$R74,$S74,12)/12,6)+$B$4),CY74-$I74)))))</f>
        <v/>
      </c>
      <c r="DA74" s="68">
        <f>IF($U74=0,0,IF($F74=4,0,IF($F74=3,0,IF(OR(60&gt;$R74,CZ74&lt;=$I74),CZ74,CZ74-MIN(INT(ROUND(IF($F74=1,$C74*$J74,IF(GY74&gt;0,GY74*$K74,CZ74*$J74))*IF(60=$R74,$S74,12)/12,6)+$B$4),CZ74-$I74)))))</f>
        <v/>
      </c>
      <c r="DB74" s="68">
        <f>IF($U74=0,0,IF($F74=4,0,IF($F74=3,0,IF(OR(61&gt;$R74,DA74&lt;=$I74),DA74,DA74-MIN(INT(ROUND(IF($F74=1,$C74*$J74,IF(GZ74&gt;0,GZ74*$K74,DA74*$J74))*IF(61=$R74,$S74,12)/12,6)+$B$4),DA74-$I74)))))</f>
        <v/>
      </c>
      <c r="DC74" s="68">
        <f>IF($U74=0,0,IF($F74=4,0,IF($F74=3,0,IF(OR(62&gt;$R74,DB74&lt;=$I74),DB74,DB74-MIN(INT(ROUND(IF($F74=1,$C74*$J74,IF(HA74&gt;0,HA74*$K74,DB74*$J74))*IF(62=$R74,$S74,12)/12,6)+$B$4),DB74-$I74)))))</f>
        <v/>
      </c>
      <c r="DD74" s="68">
        <f>IF($U74=0,0,IF($F74=4,0,IF($F74=3,0,IF(OR(63&gt;$R74,DC74&lt;=$I74),DC74,DC74-MIN(INT(ROUND(IF($F74=1,$C74*$J74,IF(HB74&gt;0,HB74*$K74,DC74*$J74))*IF(63=$R74,$S74,12)/12,6)+$B$4),DC74-$I74)))))</f>
        <v/>
      </c>
      <c r="DE74" s="68">
        <f>IF($U74=0,0,IF($F74=4,0,IF($F74=3,0,IF(OR(64&gt;$R74,DD74&lt;=$I74),DD74,DD74-MIN(INT(ROUND(IF($F74=1,$C74*$J74,IF(HC74&gt;0,HC74*$K74,DD74*$J74))*IF(64=$R74,$S74,12)/12,6)+$B$4),DD74-$I74)))))</f>
        <v/>
      </c>
      <c r="DF74" s="68">
        <f>IF($U74=0,0,IF($F74=4,0,IF($F74=3,0,IF(OR(65&gt;$R74,DE74&lt;=$I74),DE74,DE74-MIN(INT(ROUND(IF($F74=1,$C74*$J74,IF(HD74&gt;0,HD74*$K74,DE74*$J74))*IF(65=$R74,$S74,12)/12,6)+$B$4),DE74-$I74)))))</f>
        <v/>
      </c>
      <c r="DG74" s="68">
        <f>IF($U74=0,0,IF($F74=4,0,IF($F74=3,0,IF(OR(66&gt;$R74,DF74&lt;=$I74),DF74,DF74-MIN(INT(ROUND(IF($F74=1,$C74*$J74,IF(HE74&gt;0,HE74*$K74,DF74*$J74))*IF(66=$R74,$S74,12)/12,6)+$B$4),DF74-$I74)))))</f>
        <v/>
      </c>
      <c r="DH74" s="68">
        <f>IF($U74=0,0,IF($F74=4,0,IF($F74=3,0,IF(OR(67&gt;$R74,DG74&lt;=$I74),DG74,DG74-MIN(INT(ROUND(IF($F74=1,$C74*$J74,IF(HF74&gt;0,HF74*$K74,DG74*$J74))*IF(67=$R74,$S74,12)/12,6)+$B$4),DG74-$I74)))))</f>
        <v/>
      </c>
      <c r="DI74" s="68">
        <f>IF($U74=0,0,IF($F74=4,0,IF($F74=3,0,IF(OR(68&gt;$R74,DH74&lt;=$I74),DH74,DH74-MIN(INT(ROUND(IF($F74=1,$C74*$J74,IF(HG74&gt;0,HG74*$K74,DH74*$J74))*IF(68=$R74,$S74,12)/12,6)+$B$4),DH74-$I74)))))</f>
        <v/>
      </c>
      <c r="DJ74" s="68">
        <f>IF($U74=0,0,IF($F74=4,0,IF($F74=3,0,IF(OR(69&gt;$R74,DI74&lt;=$I74),DI74,DI74-MIN(INT(ROUND(IF($F74=1,$C74*$J74,IF(HH74&gt;0,HH74*$K74,DI74*$J74))*IF(69=$R74,$S74,12)/12,6)+$B$4),DI74-$I74)))))</f>
        <v/>
      </c>
      <c r="DK74" s="68">
        <f>IF($U74=0,0,IF($F74=4,0,IF($F74=3,0,IF(OR(70&gt;$R74,DJ74&lt;=$I74),DJ74,DJ74-MIN(INT(ROUND(IF($F74=1,$C74*$J74,IF(HI74&gt;0,HI74*$K74,DJ74*$J74))*IF(70=$R74,$S74,12)/12,6)+$B$4),DJ74-$I74)))))</f>
        <v/>
      </c>
      <c r="DL74" s="68">
        <f>IF($U74=0,0,IF($F74=4,0,IF($F74=3,0,IF(OR(71&gt;$R74,DK74&lt;=$I74),DK74,DK74-MIN(INT(ROUND(IF($F74=1,$C74*$J74,IF(HJ74&gt;0,HJ74*$K74,DK74*$J74))*IF(71=$R74,$S74,12)/12,6)+$B$4),DK74-$I74)))))</f>
        <v/>
      </c>
      <c r="DM74" s="68">
        <f>IF($U74=0,0,IF($F74=4,0,IF($F74=3,0,IF(OR(72&gt;$R74,DL74&lt;=$I74),DL74,DL74-MIN(INT(ROUND(IF($F74=1,$C74*$J74,IF(HK74&gt;0,HK74*$K74,DL74*$J74))*IF(72=$R74,$S74,12)/12,6)+$B$4),DL74-$I74)))))</f>
        <v/>
      </c>
      <c r="DN74" s="68">
        <f>IF($U74=0,0,IF($F74=4,0,IF($F74=3,0,IF(OR(73&gt;$R74,DM74&lt;=$I74),DM74,DM74-MIN(INT(ROUND(IF($F74=1,$C74*$J74,IF(HL74&gt;0,HL74*$K74,DM74*$J74))*IF(73=$R74,$S74,12)/12,6)+$B$4),DM74-$I74)))))</f>
        <v/>
      </c>
      <c r="DO74" s="68">
        <f>IF($U74=0,0,IF($F74=4,0,IF($F74=3,0,IF(OR(74&gt;$R74,DN74&lt;=$I74),DN74,DN74-MIN(INT(ROUND(IF($F74=1,$C74*$J74,IF(HM74&gt;0,HM74*$K74,DN74*$J74))*IF(74=$R74,$S74,12)/12,6)+$B$4),DN74-$I74)))))</f>
        <v/>
      </c>
      <c r="DP74" s="68">
        <f>IF($U74=0,0,IF($F74=4,0,IF($F74=3,0,IF(OR(75&gt;$R74,DO74&lt;=$I74),DO74,DO74-MIN(INT(ROUND(IF($F74=1,$C74*$J74,IF(HN74&gt;0,HN74*$K74,DO74*$J74))*IF(75=$R74,$S74,12)/12,6)+$B$4),DO74-$I74)))))</f>
        <v/>
      </c>
      <c r="DQ74" s="68">
        <f>IF($U74=0,0,IF($F74=4,0,IF($F74=3,0,IF(OR(76&gt;$R74,DP74&lt;=$I74),DP74,DP74-MIN(INT(ROUND(IF($F74=1,$C74*$J74,IF(HO74&gt;0,HO74*$K74,DP74*$J74))*IF(76=$R74,$S74,12)/12,6)+$B$4),DP74-$I74)))))</f>
        <v/>
      </c>
      <c r="DR74" s="68">
        <f>IF($U74=0,0,IF($F74=4,0,IF($F74=3,0,IF(OR(77&gt;$R74,DQ74&lt;=$I74),DQ74,DQ74-MIN(INT(ROUND(IF($F74=1,$C74*$J74,IF(HP74&gt;0,HP74*$K74,DQ74*$J74))*IF(77=$R74,$S74,12)/12,6)+$B$4),DQ74-$I74)))))</f>
        <v/>
      </c>
      <c r="DS74" s="68">
        <f>IF($U74=0,0,IF($F74=4,0,IF($F74=3,0,IF(OR(78&gt;$R74,DR74&lt;=$I74),DR74,DR74-MIN(INT(ROUND(IF($F74=1,$C74*$J74,IF(HQ74&gt;0,HQ74*$K74,DR74*$J74))*IF(78=$R74,$S74,12)/12,6)+$B$4),DR74-$I74)))))</f>
        <v/>
      </c>
      <c r="DT74" s="68">
        <f>IF($U74=0,0,IF($F74=4,0,IF($F74=3,0,IF(OR(79&gt;$R74,DS74&lt;=$I74),DS74,DS74-MIN(INT(ROUND(IF($F74=1,$C74*$J74,IF(HR74&gt;0,HR74*$K74,DS74*$J74))*IF(79=$R74,$S74,12)/12,6)+$B$4),DS74-$I74)))))</f>
        <v/>
      </c>
      <c r="DU74" s="68">
        <f>IF($U74=0,0,IF($F74=4,0,IF($F74=3,0,IF(OR(80&gt;$R74,DT74&lt;=$I74),DT74,DT74-MIN(INT(ROUND(IF($F74=1,$C74*$J74,IF(HS74&gt;0,HS74*$K74,DT74*$J74))*IF(80=$R74,$S74,12)/12,6)+$B$4),DT74-$I74)))))</f>
        <v/>
      </c>
      <c r="DV74" s="68">
        <f>IF($U74=0,0,IF($F74=4,0,IF($F74=3,0,IF(OR(81&gt;$R74,DU74&lt;=$I74),DU74,DU74-MIN(INT(ROUND(IF($F74=1,$C74*$J74,IF(HT74&gt;0,HT74*$K74,DU74*$J74))*IF(81=$R74,$S74,12)/12,6)+$B$4),DU74-$I74)))))</f>
        <v/>
      </c>
      <c r="DW74" s="68">
        <f>IF($U74=0,0,IF($F74=4,0,IF($F74=3,0,IF(OR(82&gt;$R74,DV74&lt;=$I74),DV74,DV74-MIN(INT(ROUND(IF($F74=1,$C74*$J74,IF(HU74&gt;0,HU74*$K74,DV74*$J74))*IF(82=$R74,$S74,12)/12,6)+$B$4),DV74-$I74)))))</f>
        <v/>
      </c>
      <c r="DX74" s="68">
        <f>IF($U74=0,0,IF($F74=4,0,IF($F74=3,0,IF(OR(83&gt;$R74,DW74&lt;=$I74),DW74,DW74-MIN(INT(ROUND(IF($F74=1,$C74*$J74,IF(HV74&gt;0,HV74*$K74,DW74*$J74))*IF(83=$R74,$S74,12)/12,6)+$B$4),DW74-$I74)))))</f>
        <v/>
      </c>
      <c r="DY74" s="68">
        <f>IF($U74=0,0,IF($F74=4,0,IF($F74=3,0,IF(OR(84&gt;$R74,DX74&lt;=$I74),DX74,DX74-MIN(INT(ROUND(IF($F74=1,$C74*$J74,IF(HW74&gt;0,HW74*$K74,DX74*$J74))*IF(84=$R74,$S74,12)/12,6)+$B$4),DX74-$I74)))))</f>
        <v/>
      </c>
      <c r="DZ74" s="68">
        <f>IF($U74=0,0,IF($F74=4,0,IF($F74=3,0,IF(OR(85&gt;$R74,DY74&lt;=$I74),DY74,DY74-MIN(INT(ROUND(IF($F74=1,$C74*$J74,IF(HX74&gt;0,HX74*$K74,DY74*$J74))*IF(85=$R74,$S74,12)/12,6)+$B$4),DY74-$I74)))))</f>
        <v/>
      </c>
      <c r="EA74" s="68">
        <f>IF($U74=0,0,IF($F74=4,0,IF($F74=3,0,IF(OR(86&gt;$R74,DZ74&lt;=$I74),DZ74,DZ74-MIN(INT(ROUND(IF($F74=1,$C74*$J74,IF(HY74&gt;0,HY74*$K74,DZ74*$J74))*IF(86=$R74,$S74,12)/12,6)+$B$4),DZ74-$I74)))))</f>
        <v/>
      </c>
      <c r="EB74" s="68">
        <f>IF($U74=0,0,IF($F74=4,0,IF($F74=3,0,IF(OR(87&gt;$R74,EA74&lt;=$I74),EA74,EA74-MIN(INT(ROUND(IF($F74=1,$C74*$J74,IF(HZ74&gt;0,HZ74*$K74,EA74*$J74))*IF(87=$R74,$S74,12)/12,6)+$B$4),EA74-$I74)))))</f>
        <v/>
      </c>
      <c r="EC74" s="68">
        <f>IF($U74=0,0,IF($F74=4,0,IF($F74=3,0,IF(OR(88&gt;$R74,EB74&lt;=$I74),EB74,EB74-MIN(INT(ROUND(IF($F74=1,$C74*$J74,IF(IA74&gt;0,IA74*$K74,EB74*$J74))*IF(88=$R74,$S74,12)/12,6)+$B$4),EB74-$I74)))))</f>
        <v/>
      </c>
      <c r="ED74" s="68">
        <f>IF($U74=0,0,IF($F74=4,0,IF($F74=3,0,IF(OR(89&gt;$R74,EC74&lt;=$I74),EC74,EC74-MIN(INT(ROUND(IF($F74=1,$C74*$J74,IF(IB74&gt;0,IB74*$K74,EC74*$J74))*IF(89=$R74,$S74,12)/12,6)+$B$4),EC74-$I74)))))</f>
        <v/>
      </c>
      <c r="EE74" s="68">
        <f>IF($U74=0,0,IF($F74=4,0,IF($F74=3,0,IF(OR(90&gt;$R74,ED74&lt;=$I74),ED74,ED74-MIN(INT(ROUND(IF($F74=1,$C74*$J74,IF(IC74&gt;0,IC74*$K74,ED74*$J74))*IF(90=$R74,$S74,12)/12,6)+$B$4),ED74-$I74)))))</f>
        <v/>
      </c>
      <c r="EF74" s="68">
        <f>IF($U74=0,0,IF($F74=4,0,IF($F74=3,0,IF(OR(91&gt;$R74,EE74&lt;=$I74),EE74,EE74-MIN(INT(ROUND(IF($F74=1,$C74*$J74,IF(ID74&gt;0,ID74*$K74,EE74*$J74))*IF(91=$R74,$S74,12)/12,6)+$B$4),EE74-$I74)))))</f>
        <v/>
      </c>
      <c r="EG74" s="68">
        <f>IF($U74=0,0,IF($F74=4,0,IF($F74=3,0,IF(OR(92&gt;$R74,EF74&lt;=$I74),EF74,EF74-MIN(INT(ROUND(IF($F74=1,$C74*$J74,IF(IE74&gt;0,IE74*$K74,EF74*$J74))*IF(92=$R74,$S74,12)/12,6)+$B$4),EF74-$I74)))))</f>
        <v/>
      </c>
      <c r="EH74" s="68">
        <f>IF($U74=0,0,IF($F74=4,0,IF($F74=3,0,IF(OR(93&gt;$R74,EG74&lt;=$I74),EG74,EG74-MIN(INT(ROUND(IF($F74=1,$C74*$J74,IF(IF74&gt;0,IF74*$K74,EG74*$J74))*IF(93=$R74,$S74,12)/12,6)+$B$4),EG74-$I74)))))</f>
        <v/>
      </c>
      <c r="EI74" s="68">
        <f>IF($U74=0,0,IF($F74=4,0,IF($F74=3,0,IF(OR(94&gt;$R74,EH74&lt;=$I74),EH74,EH74-MIN(INT(ROUND(IF($F74=1,$C74*$J74,IF(IG74&gt;0,IG74*$K74,EH74*$J74))*IF(94=$R74,$S74,12)/12,6)+$B$4),EH74-$I74)))))</f>
        <v/>
      </c>
      <c r="EJ74" s="68">
        <f>IF($U74=0,0,IF($F74=4,0,IF($F74=3,0,IF(OR(95&gt;$R74,EI74&lt;=$I74),EI74,EI74-MIN(INT(ROUND(IF($F74=1,$C74*$J74,IF(IH74&gt;0,IH74*$K74,EI74*$J74))*IF(95=$R74,$S74,12)/12,6)+$B$4),EI74-$I74)))))</f>
        <v/>
      </c>
      <c r="EK74" s="68">
        <f>IF($U74=0,0,IF($F74=4,0,IF($F74=3,0,IF(OR(96&gt;$R74,EJ74&lt;=$I74),EJ74,EJ74-MIN(INT(ROUND(IF($F74=1,$C74*$J74,IF(II74&gt;0,II74*$K74,EJ74*$J74))*IF(96=$R74,$S74,12)/12,6)+$B$4),EJ74-$I74)))))</f>
        <v/>
      </c>
      <c r="EL74" s="68">
        <f>IF($U74=0,0,IF($F74=4,0,IF($F74=3,0,IF(OR(97&gt;$R74,EK74&lt;=$I74),EK74,EK74-MIN(INT(ROUND(IF($F74=1,$C74*$J74,IF(IJ74&gt;0,IJ74*$K74,EK74*$J74))*IF(97=$R74,$S74,12)/12,6)+$B$4),EK74-$I74)))))</f>
        <v/>
      </c>
      <c r="EM74" s="68">
        <f>IF($U74=0,0,IF($F74=4,0,IF($F74=3,0,IF(OR(98&gt;$R74,EL74&lt;=$I74),EL74,EL74-MIN(INT(ROUND(IF($F74=1,$C74*$J74,IF(IK74&gt;0,IK74*$K74,EL74*$J74))*IF(98=$R74,$S74,12)/12,6)+$B$4),EL74-$I74)))))</f>
        <v/>
      </c>
      <c r="EN74" s="68">
        <f>IF($U74=0,0,IF($F74=4,0,IF($F74=3,0,IF(OR(99&gt;$R74,EM74&lt;=$I74),EM74,EM74-MIN(INT(ROUND(IF($F74=1,$C74*$J74,IF(IL74&gt;0,IL74*$K74,EM74*$J74))*IF(99=$R74,$S74,12)/12,6)+$B$4),EM74-$I74)))))</f>
        <v/>
      </c>
      <c r="EO74" s="68">
        <f>IF($U74=0,0,IF($F74=4,0,IF($F74=3,0,IF(OR(100&gt;$R74,EN74&lt;=$I74),EN74,EN74-MIN(INT(ROUND(IF($F74=1,$C74*$J74,IF(IM74&gt;0,IM74*$K74,EN74*$J74))*IF(100=$R74,$S74,12)/12,6)+$B$4),EN74-$I74)))))</f>
        <v/>
      </c>
      <c r="EP74" s="68">
        <f>IF($U74=0,0,IF($F74=4,0,IF($F74=3,0,IF(OR(101&gt;$R74,EO74&lt;=$I74),EO74,EO74-MIN(INT(ROUND(IF($F74=1,$C74*$J74,IF(IN74&gt;0,IN74*$K74,EO74*$J74))*IF(101=$R74,$S74,12)/12,6)+$B$4),EO74-$I74)))))</f>
        <v/>
      </c>
      <c r="EQ74" s="68" t="n"/>
      <c r="ER74" s="68">
        <f>IF(OR($U74=0,$F74&lt;&gt;2),0,IF(ROUND(AS74*$J74,6)&lt;ROUND($M74,6),AS74,0))</f>
        <v/>
      </c>
      <c r="ES74" s="68">
        <f>IF(OR($U74=0,$F74&lt;&gt;2),0,IF(ER74&gt;0,ER74,IF(ROUND(AT74*$J74,6)&lt;ROUND($M74,6),AT74,0)))</f>
        <v/>
      </c>
      <c r="ET74" s="68">
        <f>IF(OR($U74=0,$F74&lt;&gt;2),0,IF(ES74&gt;0,ES74,IF(ROUND(AU74*$J74,6)&lt;ROUND($M74,6),AU74,0)))</f>
        <v/>
      </c>
      <c r="EU74" s="68">
        <f>IF(OR($U74=0,$F74&lt;&gt;2),0,IF(ET74&gt;0,ET74,IF(ROUND(AV74*$J74,6)&lt;ROUND($M74,6),AV74,0)))</f>
        <v/>
      </c>
      <c r="EV74" s="68">
        <f>IF(OR($U74=0,$F74&lt;&gt;2),0,IF(EU74&gt;0,EU74,IF(ROUND(AW74*$J74,6)&lt;ROUND($M74,6),AW74,0)))</f>
        <v/>
      </c>
      <c r="EW74" s="68">
        <f>IF(OR($U74=0,$F74&lt;&gt;2),0,IF(EV74&gt;0,EV74,IF(ROUND(AX74*$J74,6)&lt;ROUND($M74,6),AX74,0)))</f>
        <v/>
      </c>
      <c r="EX74" s="68">
        <f>IF(OR($U74=0,$F74&lt;&gt;2),0,IF(EW74&gt;0,EW74,IF(ROUND(AY74*$J74,6)&lt;ROUND($M74,6),AY74,0)))</f>
        <v/>
      </c>
      <c r="EY74" s="68">
        <f>IF(OR($U74=0,$F74&lt;&gt;2),0,IF(EX74&gt;0,EX74,IF(ROUND(AZ74*$J74,6)&lt;ROUND($M74,6),AZ74,0)))</f>
        <v/>
      </c>
      <c r="EZ74" s="68">
        <f>IF(OR($U74=0,$F74&lt;&gt;2),0,IF(EY74&gt;0,EY74,IF(ROUND(BA74*$J74,6)&lt;ROUND($M74,6),BA74,0)))</f>
        <v/>
      </c>
      <c r="FA74" s="68">
        <f>IF(OR($U74=0,$F74&lt;&gt;2),0,IF(EZ74&gt;0,EZ74,IF(ROUND(BB74*$J74,6)&lt;ROUND($M74,6),BB74,0)))</f>
        <v/>
      </c>
      <c r="FB74" s="68">
        <f>IF(OR($U74=0,$F74&lt;&gt;2),0,IF(FA74&gt;0,FA74,IF(ROUND(BC74*$J74,6)&lt;ROUND($M74,6),BC74,0)))</f>
        <v/>
      </c>
      <c r="FC74" s="68">
        <f>IF(OR($U74=0,$F74&lt;&gt;2),0,IF(FB74&gt;0,FB74,IF(ROUND(BD74*$J74,6)&lt;ROUND($M74,6),BD74,0)))</f>
        <v/>
      </c>
      <c r="FD74" s="68">
        <f>IF(OR($U74=0,$F74&lt;&gt;2),0,IF(FC74&gt;0,FC74,IF(ROUND(BE74*$J74,6)&lt;ROUND($M74,6),BE74,0)))</f>
        <v/>
      </c>
      <c r="FE74" s="68">
        <f>IF(OR($U74=0,$F74&lt;&gt;2),0,IF(FD74&gt;0,FD74,IF(ROUND(BF74*$J74,6)&lt;ROUND($M74,6),BF74,0)))</f>
        <v/>
      </c>
      <c r="FF74" s="68">
        <f>IF(OR($U74=0,$F74&lt;&gt;2),0,IF(FE74&gt;0,FE74,IF(ROUND(BG74*$J74,6)&lt;ROUND($M74,6),BG74,0)))</f>
        <v/>
      </c>
      <c r="FG74" s="68">
        <f>IF(OR($U74=0,$F74&lt;&gt;2),0,IF(FF74&gt;0,FF74,IF(ROUND(BH74*$J74,6)&lt;ROUND($M74,6),BH74,0)))</f>
        <v/>
      </c>
      <c r="FH74" s="68">
        <f>IF(OR($U74=0,$F74&lt;&gt;2),0,IF(FG74&gt;0,FG74,IF(ROUND(BI74*$J74,6)&lt;ROUND($M74,6),BI74,0)))</f>
        <v/>
      </c>
      <c r="FI74" s="68">
        <f>IF(OR($U74=0,$F74&lt;&gt;2),0,IF(FH74&gt;0,FH74,IF(ROUND(BJ74*$J74,6)&lt;ROUND($M74,6),BJ74,0)))</f>
        <v/>
      </c>
      <c r="FJ74" s="68">
        <f>IF(OR($U74=0,$F74&lt;&gt;2),0,IF(FI74&gt;0,FI74,IF(ROUND(BK74*$J74,6)&lt;ROUND($M74,6),BK74,0)))</f>
        <v/>
      </c>
      <c r="FK74" s="68">
        <f>IF(OR($U74=0,$F74&lt;&gt;2),0,IF(FJ74&gt;0,FJ74,IF(ROUND(BL74*$J74,6)&lt;ROUND($M74,6),BL74,0)))</f>
        <v/>
      </c>
      <c r="FL74" s="68">
        <f>IF(OR($U74=0,$F74&lt;&gt;2),0,IF(FK74&gt;0,FK74,IF(ROUND(BM74*$J74,6)&lt;ROUND($M74,6),BM74,0)))</f>
        <v/>
      </c>
      <c r="FM74" s="68">
        <f>IF(OR($U74=0,$F74&lt;&gt;2),0,IF(FL74&gt;0,FL74,IF(ROUND(BN74*$J74,6)&lt;ROUND($M74,6),BN74,0)))</f>
        <v/>
      </c>
      <c r="FN74" s="68">
        <f>IF(OR($U74=0,$F74&lt;&gt;2),0,IF(FM74&gt;0,FM74,IF(ROUND(BO74*$J74,6)&lt;ROUND($M74,6),BO74,0)))</f>
        <v/>
      </c>
      <c r="FO74" s="68">
        <f>IF(OR($U74=0,$F74&lt;&gt;2),0,IF(FN74&gt;0,FN74,IF(ROUND(BP74*$J74,6)&lt;ROUND($M74,6),BP74,0)))</f>
        <v/>
      </c>
      <c r="FP74" s="68">
        <f>IF(OR($U74=0,$F74&lt;&gt;2),0,IF(FO74&gt;0,FO74,IF(ROUND(BQ74*$J74,6)&lt;ROUND($M74,6),BQ74,0)))</f>
        <v/>
      </c>
      <c r="FQ74" s="68">
        <f>IF(OR($U74=0,$F74&lt;&gt;2),0,IF(FP74&gt;0,FP74,IF(ROUND(BR74*$J74,6)&lt;ROUND($M74,6),BR74,0)))</f>
        <v/>
      </c>
      <c r="FR74" s="68">
        <f>IF(OR($U74=0,$F74&lt;&gt;2),0,IF(FQ74&gt;0,FQ74,IF(ROUND(BS74*$J74,6)&lt;ROUND($M74,6),BS74,0)))</f>
        <v/>
      </c>
      <c r="FS74" s="68">
        <f>IF(OR($U74=0,$F74&lt;&gt;2),0,IF(FR74&gt;0,FR74,IF(ROUND(BT74*$J74,6)&lt;ROUND($M74,6),BT74,0)))</f>
        <v/>
      </c>
      <c r="FT74" s="68">
        <f>IF(OR($U74=0,$F74&lt;&gt;2),0,IF(FS74&gt;0,FS74,IF(ROUND(BU74*$J74,6)&lt;ROUND($M74,6),BU74,0)))</f>
        <v/>
      </c>
      <c r="FU74" s="68">
        <f>IF(OR($U74=0,$F74&lt;&gt;2),0,IF(FT74&gt;0,FT74,IF(ROUND(BV74*$J74,6)&lt;ROUND($M74,6),BV74,0)))</f>
        <v/>
      </c>
      <c r="FV74" s="68">
        <f>IF(OR($U74=0,$F74&lt;&gt;2),0,IF(FU74&gt;0,FU74,IF(ROUND(BW74*$J74,6)&lt;ROUND($M74,6),BW74,0)))</f>
        <v/>
      </c>
      <c r="FW74" s="68">
        <f>IF(OR($U74=0,$F74&lt;&gt;2),0,IF(FV74&gt;0,FV74,IF(ROUND(BX74*$J74,6)&lt;ROUND($M74,6),BX74,0)))</f>
        <v/>
      </c>
      <c r="FX74" s="68">
        <f>IF(OR($U74=0,$F74&lt;&gt;2),0,IF(FW74&gt;0,FW74,IF(ROUND(BY74*$J74,6)&lt;ROUND($M74,6),BY74,0)))</f>
        <v/>
      </c>
      <c r="FY74" s="68">
        <f>IF(OR($U74=0,$F74&lt;&gt;2),0,IF(FX74&gt;0,FX74,IF(ROUND(BZ74*$J74,6)&lt;ROUND($M74,6),BZ74,0)))</f>
        <v/>
      </c>
      <c r="FZ74" s="68">
        <f>IF(OR($U74=0,$F74&lt;&gt;2),0,IF(FY74&gt;0,FY74,IF(ROUND(CA74*$J74,6)&lt;ROUND($M74,6),CA74,0)))</f>
        <v/>
      </c>
      <c r="GA74" s="68">
        <f>IF(OR($U74=0,$F74&lt;&gt;2),0,IF(FZ74&gt;0,FZ74,IF(ROUND(CB74*$J74,6)&lt;ROUND($M74,6),CB74,0)))</f>
        <v/>
      </c>
      <c r="GB74" s="68">
        <f>IF(OR($U74=0,$F74&lt;&gt;2),0,IF(GA74&gt;0,GA74,IF(ROUND(CC74*$J74,6)&lt;ROUND($M74,6),CC74,0)))</f>
        <v/>
      </c>
      <c r="GC74" s="68">
        <f>IF(OR($U74=0,$F74&lt;&gt;2),0,IF(GB74&gt;0,GB74,IF(ROUND(CD74*$J74,6)&lt;ROUND($M74,6),CD74,0)))</f>
        <v/>
      </c>
      <c r="GD74" s="68">
        <f>IF(OR($U74=0,$F74&lt;&gt;2),0,IF(GC74&gt;0,GC74,IF(ROUND(CE74*$J74,6)&lt;ROUND($M74,6),CE74,0)))</f>
        <v/>
      </c>
      <c r="GE74" s="68">
        <f>IF(OR($U74=0,$F74&lt;&gt;2),0,IF(GD74&gt;0,GD74,IF(ROUND(CF74*$J74,6)&lt;ROUND($M74,6),CF74,0)))</f>
        <v/>
      </c>
      <c r="GF74" s="68">
        <f>IF(OR($U74=0,$F74&lt;&gt;2),0,IF(GE74&gt;0,GE74,IF(ROUND(CG74*$J74,6)&lt;ROUND($M74,6),CG74,0)))</f>
        <v/>
      </c>
      <c r="GG74" s="68">
        <f>IF(OR($U74=0,$F74&lt;&gt;2),0,IF(GF74&gt;0,GF74,IF(ROUND(CH74*$J74,6)&lt;ROUND($M74,6),CH74,0)))</f>
        <v/>
      </c>
      <c r="GH74" s="68">
        <f>IF(OR($U74=0,$F74&lt;&gt;2),0,IF(GG74&gt;0,GG74,IF(ROUND(CI74*$J74,6)&lt;ROUND($M74,6),CI74,0)))</f>
        <v/>
      </c>
      <c r="GI74" s="68">
        <f>IF(OR($U74=0,$F74&lt;&gt;2),0,IF(GH74&gt;0,GH74,IF(ROUND(CJ74*$J74,6)&lt;ROUND($M74,6),CJ74,0)))</f>
        <v/>
      </c>
      <c r="GJ74" s="68">
        <f>IF(OR($U74=0,$F74&lt;&gt;2),0,IF(GI74&gt;0,GI74,IF(ROUND(CK74*$J74,6)&lt;ROUND($M74,6),CK74,0)))</f>
        <v/>
      </c>
      <c r="GK74" s="68">
        <f>IF(OR($U74=0,$F74&lt;&gt;2),0,IF(GJ74&gt;0,GJ74,IF(ROUND(CL74*$J74,6)&lt;ROUND($M74,6),CL74,0)))</f>
        <v/>
      </c>
      <c r="GL74" s="68">
        <f>IF(OR($U74=0,$F74&lt;&gt;2),0,IF(GK74&gt;0,GK74,IF(ROUND(CM74*$J74,6)&lt;ROUND($M74,6),CM74,0)))</f>
        <v/>
      </c>
      <c r="GM74" s="68">
        <f>IF(OR($U74=0,$F74&lt;&gt;2),0,IF(GL74&gt;0,GL74,IF(ROUND(CN74*$J74,6)&lt;ROUND($M74,6),CN74,0)))</f>
        <v/>
      </c>
      <c r="GN74" s="68">
        <f>IF(OR($U74=0,$F74&lt;&gt;2),0,IF(GM74&gt;0,GM74,IF(ROUND(CO74*$J74,6)&lt;ROUND($M74,6),CO74,0)))</f>
        <v/>
      </c>
      <c r="GO74" s="68">
        <f>IF(OR($U74=0,$F74&lt;&gt;2),0,IF(GN74&gt;0,GN74,IF(ROUND(CP74*$J74,6)&lt;ROUND($M74,6),CP74,0)))</f>
        <v/>
      </c>
      <c r="GP74" s="68">
        <f>IF(OR($U74=0,$F74&lt;&gt;2),0,IF(GO74&gt;0,GO74,IF(ROUND(CQ74*$J74,6)&lt;ROUND($M74,6),CQ74,0)))</f>
        <v/>
      </c>
      <c r="GQ74" s="68">
        <f>IF(OR($U74=0,$F74&lt;&gt;2),0,IF(GP74&gt;0,GP74,IF(ROUND(CR74*$J74,6)&lt;ROUND($M74,6),CR74,0)))</f>
        <v/>
      </c>
      <c r="GR74" s="68">
        <f>IF(OR($U74=0,$F74&lt;&gt;2),0,IF(GQ74&gt;0,GQ74,IF(ROUND(CS74*$J74,6)&lt;ROUND($M74,6),CS74,0)))</f>
        <v/>
      </c>
      <c r="GS74" s="68">
        <f>IF(OR($U74=0,$F74&lt;&gt;2),0,IF(GR74&gt;0,GR74,IF(ROUND(CT74*$J74,6)&lt;ROUND($M74,6),CT74,0)))</f>
        <v/>
      </c>
      <c r="GT74" s="68">
        <f>IF(OR($U74=0,$F74&lt;&gt;2),0,IF(GS74&gt;0,GS74,IF(ROUND(CU74*$J74,6)&lt;ROUND($M74,6),CU74,0)))</f>
        <v/>
      </c>
      <c r="GU74" s="68">
        <f>IF(OR($U74=0,$F74&lt;&gt;2),0,IF(GT74&gt;0,GT74,IF(ROUND(CV74*$J74,6)&lt;ROUND($M74,6),CV74,0)))</f>
        <v/>
      </c>
      <c r="GV74" s="68">
        <f>IF(OR($U74=0,$F74&lt;&gt;2),0,IF(GU74&gt;0,GU74,IF(ROUND(CW74*$J74,6)&lt;ROUND($M74,6),CW74,0)))</f>
        <v/>
      </c>
      <c r="GW74" s="68">
        <f>IF(OR($U74=0,$F74&lt;&gt;2),0,IF(GV74&gt;0,GV74,IF(ROUND(CX74*$J74,6)&lt;ROUND($M74,6),CX74,0)))</f>
        <v/>
      </c>
      <c r="GX74" s="68">
        <f>IF(OR($U74=0,$F74&lt;&gt;2),0,IF(GW74&gt;0,GW74,IF(ROUND(CY74*$J74,6)&lt;ROUND($M74,6),CY74,0)))</f>
        <v/>
      </c>
      <c r="GY74" s="68">
        <f>IF(OR($U74=0,$F74&lt;&gt;2),0,IF(GX74&gt;0,GX74,IF(ROUND(CZ74*$J74,6)&lt;ROUND($M74,6),CZ74,0)))</f>
        <v/>
      </c>
      <c r="GZ74" s="68">
        <f>IF(OR($U74=0,$F74&lt;&gt;2),0,IF(GY74&gt;0,GY74,IF(ROUND(DA74*$J74,6)&lt;ROUND($M74,6),DA74,0)))</f>
        <v/>
      </c>
      <c r="HA74" s="68">
        <f>IF(OR($U74=0,$F74&lt;&gt;2),0,IF(GZ74&gt;0,GZ74,IF(ROUND(DB74*$J74,6)&lt;ROUND($M74,6),DB74,0)))</f>
        <v/>
      </c>
      <c r="HB74" s="68">
        <f>IF(OR($U74=0,$F74&lt;&gt;2),0,IF(HA74&gt;0,HA74,IF(ROUND(DC74*$J74,6)&lt;ROUND($M74,6),DC74,0)))</f>
        <v/>
      </c>
      <c r="HC74" s="68">
        <f>IF(OR($U74=0,$F74&lt;&gt;2),0,IF(HB74&gt;0,HB74,IF(ROUND(DD74*$J74,6)&lt;ROUND($M74,6),DD74,0)))</f>
        <v/>
      </c>
      <c r="HD74" s="68">
        <f>IF(OR($U74=0,$F74&lt;&gt;2),0,IF(HC74&gt;0,HC74,IF(ROUND(DE74*$J74,6)&lt;ROUND($M74,6),DE74,0)))</f>
        <v/>
      </c>
      <c r="HE74" s="68">
        <f>IF(OR($U74=0,$F74&lt;&gt;2),0,IF(HD74&gt;0,HD74,IF(ROUND(DF74*$J74,6)&lt;ROUND($M74,6),DF74,0)))</f>
        <v/>
      </c>
      <c r="HF74" s="68">
        <f>IF(OR($U74=0,$F74&lt;&gt;2),0,IF(HE74&gt;0,HE74,IF(ROUND(DG74*$J74,6)&lt;ROUND($M74,6),DG74,0)))</f>
        <v/>
      </c>
      <c r="HG74" s="68">
        <f>IF(OR($U74=0,$F74&lt;&gt;2),0,IF(HF74&gt;0,HF74,IF(ROUND(DH74*$J74,6)&lt;ROUND($M74,6),DH74,0)))</f>
        <v/>
      </c>
      <c r="HH74" s="68">
        <f>IF(OR($U74=0,$F74&lt;&gt;2),0,IF(HG74&gt;0,HG74,IF(ROUND(DI74*$J74,6)&lt;ROUND($M74,6),DI74,0)))</f>
        <v/>
      </c>
      <c r="HI74" s="68">
        <f>IF(OR($U74=0,$F74&lt;&gt;2),0,IF(HH74&gt;0,HH74,IF(ROUND(DJ74*$J74,6)&lt;ROUND($M74,6),DJ74,0)))</f>
        <v/>
      </c>
      <c r="HJ74" s="68">
        <f>IF(OR($U74=0,$F74&lt;&gt;2),0,IF(HI74&gt;0,HI74,IF(ROUND(DK74*$J74,6)&lt;ROUND($M74,6),DK74,0)))</f>
        <v/>
      </c>
      <c r="HK74" s="68">
        <f>IF(OR($U74=0,$F74&lt;&gt;2),0,IF(HJ74&gt;0,HJ74,IF(ROUND(DL74*$J74,6)&lt;ROUND($M74,6),DL74,0)))</f>
        <v/>
      </c>
      <c r="HL74" s="68">
        <f>IF(OR($U74=0,$F74&lt;&gt;2),0,IF(HK74&gt;0,HK74,IF(ROUND(DM74*$J74,6)&lt;ROUND($M74,6),DM74,0)))</f>
        <v/>
      </c>
      <c r="HM74" s="68">
        <f>IF(OR($U74=0,$F74&lt;&gt;2),0,IF(HL74&gt;0,HL74,IF(ROUND(DN74*$J74,6)&lt;ROUND($M74,6),DN74,0)))</f>
        <v/>
      </c>
      <c r="HN74" s="68">
        <f>IF(OR($U74=0,$F74&lt;&gt;2),0,IF(HM74&gt;0,HM74,IF(ROUND(DO74*$J74,6)&lt;ROUND($M74,6),DO74,0)))</f>
        <v/>
      </c>
      <c r="HO74" s="68">
        <f>IF(OR($U74=0,$F74&lt;&gt;2),0,IF(HN74&gt;0,HN74,IF(ROUND(DP74*$J74,6)&lt;ROUND($M74,6),DP74,0)))</f>
        <v/>
      </c>
      <c r="HP74" s="68">
        <f>IF(OR($U74=0,$F74&lt;&gt;2),0,IF(HO74&gt;0,HO74,IF(ROUND(DQ74*$J74,6)&lt;ROUND($M74,6),DQ74,0)))</f>
        <v/>
      </c>
      <c r="HQ74" s="68">
        <f>IF(OR($U74=0,$F74&lt;&gt;2),0,IF(HP74&gt;0,HP74,IF(ROUND(DR74*$J74,6)&lt;ROUND($M74,6),DR74,0)))</f>
        <v/>
      </c>
      <c r="HR74" s="68">
        <f>IF(OR($U74=0,$F74&lt;&gt;2),0,IF(HQ74&gt;0,HQ74,IF(ROUND(DS74*$J74,6)&lt;ROUND($M74,6),DS74,0)))</f>
        <v/>
      </c>
      <c r="HS74" s="68">
        <f>IF(OR($U74=0,$F74&lt;&gt;2),0,IF(HR74&gt;0,HR74,IF(ROUND(DT74*$J74,6)&lt;ROUND($M74,6),DT74,0)))</f>
        <v/>
      </c>
      <c r="HT74" s="68">
        <f>IF(OR($U74=0,$F74&lt;&gt;2),0,IF(HS74&gt;0,HS74,IF(ROUND(DU74*$J74,6)&lt;ROUND($M74,6),DU74,0)))</f>
        <v/>
      </c>
      <c r="HU74" s="68">
        <f>IF(OR($U74=0,$F74&lt;&gt;2),0,IF(HT74&gt;0,HT74,IF(ROUND(DV74*$J74,6)&lt;ROUND($M74,6),DV74,0)))</f>
        <v/>
      </c>
      <c r="HV74" s="68">
        <f>IF(OR($U74=0,$F74&lt;&gt;2),0,IF(HU74&gt;0,HU74,IF(ROUND(DW74*$J74,6)&lt;ROUND($M74,6),DW74,0)))</f>
        <v/>
      </c>
      <c r="HW74" s="68">
        <f>IF(OR($U74=0,$F74&lt;&gt;2),0,IF(HV74&gt;0,HV74,IF(ROUND(DX74*$J74,6)&lt;ROUND($M74,6),DX74,0)))</f>
        <v/>
      </c>
      <c r="HX74" s="68">
        <f>IF(OR($U74=0,$F74&lt;&gt;2),0,IF(HW74&gt;0,HW74,IF(ROUND(DY74*$J74,6)&lt;ROUND($M74,6),DY74,0)))</f>
        <v/>
      </c>
      <c r="HY74" s="68">
        <f>IF(OR($U74=0,$F74&lt;&gt;2),0,IF(HX74&gt;0,HX74,IF(ROUND(DZ74*$J74,6)&lt;ROUND($M74,6),DZ74,0)))</f>
        <v/>
      </c>
      <c r="HZ74" s="68">
        <f>IF(OR($U74=0,$F74&lt;&gt;2),0,IF(HY74&gt;0,HY74,IF(ROUND(EA74*$J74,6)&lt;ROUND($M74,6),EA74,0)))</f>
        <v/>
      </c>
      <c r="IA74" s="68">
        <f>IF(OR($U74=0,$F74&lt;&gt;2),0,IF(HZ74&gt;0,HZ74,IF(ROUND(EB74*$J74,6)&lt;ROUND($M74,6),EB74,0)))</f>
        <v/>
      </c>
      <c r="IB74" s="68">
        <f>IF(OR($U74=0,$F74&lt;&gt;2),0,IF(IA74&gt;0,IA74,IF(ROUND(EC74*$J74,6)&lt;ROUND($M74,6),EC74,0)))</f>
        <v/>
      </c>
      <c r="IC74" s="68">
        <f>IF(OR($U74=0,$F74&lt;&gt;2),0,IF(IB74&gt;0,IB74,IF(ROUND(ED74*$J74,6)&lt;ROUND($M74,6),ED74,0)))</f>
        <v/>
      </c>
      <c r="ID74" s="68">
        <f>IF(OR($U74=0,$F74&lt;&gt;2),0,IF(IC74&gt;0,IC74,IF(ROUND(EE74*$J74,6)&lt;ROUND($M74,6),EE74,0)))</f>
        <v/>
      </c>
      <c r="IE74" s="68">
        <f>IF(OR($U74=0,$F74&lt;&gt;2),0,IF(ID74&gt;0,ID74,IF(ROUND(EF74*$J74,6)&lt;ROUND($M74,6),EF74,0)))</f>
        <v/>
      </c>
      <c r="IF74" s="68">
        <f>IF(OR($U74=0,$F74&lt;&gt;2),0,IF(IE74&gt;0,IE74,IF(ROUND(EG74*$J74,6)&lt;ROUND($M74,6),EG74,0)))</f>
        <v/>
      </c>
      <c r="IG74" s="68">
        <f>IF(OR($U74=0,$F74&lt;&gt;2),0,IF(IF74&gt;0,IF74,IF(ROUND(EH74*$J74,6)&lt;ROUND($M74,6),EH74,0)))</f>
        <v/>
      </c>
      <c r="IH74" s="68">
        <f>IF(OR($U74=0,$F74&lt;&gt;2),0,IF(IG74&gt;0,IG74,IF(ROUND(EI74*$J74,6)&lt;ROUND($M74,6),EI74,0)))</f>
        <v/>
      </c>
      <c r="II74" s="68">
        <f>IF(OR($U74=0,$F74&lt;&gt;2),0,IF(IH74&gt;0,IH74,IF(ROUND(EJ74*$J74,6)&lt;ROUND($M74,6),EJ74,0)))</f>
        <v/>
      </c>
      <c r="IJ74" s="68">
        <f>IF(OR($U74=0,$F74&lt;&gt;2),0,IF(II74&gt;0,II74,IF(ROUND(EK74*$J74,6)&lt;ROUND($M74,6),EK74,0)))</f>
        <v/>
      </c>
      <c r="IK74" s="68">
        <f>IF(OR($U74=0,$F74&lt;&gt;2),0,IF(IJ74&gt;0,IJ74,IF(ROUND(EL74*$J74,6)&lt;ROUND($M74,6),EL74,0)))</f>
        <v/>
      </c>
      <c r="IL74" s="68">
        <f>IF(OR($U74=0,$F74&lt;&gt;2),0,IF(IK74&gt;0,IK74,IF(ROUND(EM74*$J74,6)&lt;ROUND($M74,6),EM74,0)))</f>
        <v/>
      </c>
      <c r="IM74" s="68">
        <f>IF(OR($U74=0,$F74&lt;&gt;2),0,IF(IL74&gt;0,IL74,IF(ROUND(EN74*$J74,6)&lt;ROUND($M74,6),EN74,0)))</f>
        <v/>
      </c>
      <c r="IN74" s="68">
        <f>IF(OR($U74=0,$F74&lt;&gt;2),0,IF(IM74&gt;0,IM74,IF(ROUND(EO74*$J74,6)&lt;ROUND($M74,6),EO74,0)))</f>
        <v/>
      </c>
    </row>
    <row r="75">
      <c r="A75" s="68" t="n">
        <v>70</v>
      </c>
      <c r="B75" s="68">
        <f>IF(OR(TRIM('固定資産台帳'!$B75)&lt;&gt;"",'固定資産台帳'!$E75&lt;&gt;"",'固定資産台帳'!$G75&lt;&gt;"",'固定資産台帳'!$H75&lt;&gt;""),1,0)</f>
        <v/>
      </c>
      <c r="C75" s="68">
        <f>IF(ISNUMBER('固定資産台帳'!$G75),MAX(ROUND('固定資産台帳'!$G75,0),0),0)</f>
        <v/>
      </c>
      <c r="D75" s="84">
        <f>IF(ISNUMBER('固定資産台帳'!$E75),INT('固定資産台帳'!$E75),0)</f>
        <v/>
      </c>
      <c r="E75" s="84">
        <f>IF(ISNUMBER('固定資産台帳'!$F75),INT('固定資産台帳'!$F75),$D75)</f>
        <v/>
      </c>
      <c r="F75" s="68">
        <f>IF('固定資産台帳'!$H75="定額法",1,IF(OR('固定資産台帳'!$H75="定率法",'固定資産台帳'!$H75="定率法（200%）",'固定資産台帳'!$H75="定率法（250%）"),2,IF('固定資産台帳'!$H75="一括償却（3年）",3,IF('固定資産台帳'!$H75="少額特例",4,0))))</f>
        <v/>
      </c>
      <c r="G75" s="68">
        <f>IF('固定資産台帳'!$H75="定率法（250%）",250,IF('固定資産台帳'!$H75="定率法（200%）",200,IF($D75&gt;=DATE(2012,4,1),200,250)))</f>
        <v/>
      </c>
      <c r="H75" s="68">
        <f>IF(ISNUMBER('固定資産台帳'!$I75),IF(AND('固定資産台帳'!$I75&gt;=2,'固定資産台帳'!$I75&lt;=100,'固定資産台帳'!$I75=INT('固定資産台帳'!$I75)),'固定資産台帳'!$I75,0),0)</f>
        <v/>
      </c>
      <c r="I75" s="68">
        <f>IF('固定資産台帳'!$C75="無形固定資産",0,1)</f>
        <v/>
      </c>
      <c r="J75" s="68">
        <f>IF(OR($H75=0,$F75=0,$F75&gt;2),0,IF($F75=1,INDEX('償却率表'!$B$6:$B$104,$H75-1),IF($G75=200,INDEX('償却率表'!$C$6:$C$104,$H75-1),INDEX('償却率表'!$F$6:$F$104,$H75-1))))</f>
        <v/>
      </c>
      <c r="K75" s="68">
        <f>IF(AND($F75=2,$H75&gt;0),IF($G75=200,INDEX('償却率表'!$D$6:$D$104,$H75-1),INDEX('償却率表'!$G$6:$G$104,$H75-1)),0)</f>
        <v/>
      </c>
      <c r="L75" s="68">
        <f>IF(AND($F75=2,$H75&gt;0),IF($G75=200,INDEX('償却率表'!$E$6:$E$104,$H75-1),INDEX('償却率表'!$H$6:$H$104,$H75-1)),0)</f>
        <v/>
      </c>
      <c r="M75" s="68">
        <f>$C75*$L75</f>
        <v/>
      </c>
      <c r="N75" s="68">
        <f>IF($B$1=1,1,IF('固定資産台帳'!$J75="",1,IF(ISNUMBER('固定資産台帳'!$J75),IF(AND('固定資産台帳'!$J75&gt;0,'固定資産台帳'!$J75&lt;=1),'固定資産台帳'!$J75,0),0)))</f>
        <v/>
      </c>
      <c r="O75" s="68">
        <f>IF($E75=0,0,YEAR($E75)-IF(MONTH($E75)&lt;$B$2,1,0))</f>
        <v/>
      </c>
      <c r="P75" s="68">
        <f>IF($E75=0,0,12-MOD(MONTH($E75)-$B$2,12))</f>
        <v/>
      </c>
      <c r="Q75" s="84">
        <f>IF(ISNUMBER('固定資産台帳'!$K75),INT('固定資産台帳'!$K75),0)</f>
        <v/>
      </c>
      <c r="R75" s="68">
        <f>IF(OR($Q75=0,$E75=0),999,YEAR($Q75)-IF(MONTH($Q75)&lt;$B$2,1,0)-$O75)</f>
        <v/>
      </c>
      <c r="S75" s="68">
        <f>IF($R75=999,0,MOD(MONTH($Q75)-$B$2,12)+1-IF($R75=0,12-$P75,0))</f>
        <v/>
      </c>
      <c r="T75" s="68">
        <f>IF($B75=0,0,IF($C75&lt;=0,1,IF($D75=0,2,IF($F75=0,3,IF(AND($F75&lt;=2,$H75=0),4,IF(AND($F75&lt;=2,$D75&lt;DATE(2007,4,1)),5,IF($E75&lt;$D75,6,IF(AND($Q75&gt;0,$Q75&lt;$E75),7,IF($N75=0,8,IF($B$3=0,9,0))))))))))</f>
        <v/>
      </c>
      <c r="U75" s="68">
        <f>IF(AND($B75=1,$T75=0),1,0)</f>
        <v/>
      </c>
      <c r="V75" s="68">
        <f>$B$3-$O75</f>
        <v/>
      </c>
      <c r="W75" s="68">
        <f>IF(AND($U75=1,$V75&gt;=0),1,0)</f>
        <v/>
      </c>
      <c r="X75" s="68">
        <f>IF($W75=0,0,IF($V75=0,$C75,INDEX($AS75:$EP75,MIN($V75,102))))</f>
        <v/>
      </c>
      <c r="Y75" s="68">
        <f>IF($W75=0,0,INDEX($AS75:$EP75,MIN($V75,101)+1))</f>
        <v/>
      </c>
      <c r="Z75" s="68">
        <f>$X75-$Y75</f>
        <v/>
      </c>
      <c r="AA75" s="68">
        <f>IF(AND($W75=1,$F75=2,$V75&gt;=1),INDEX($ER75:$IN75,MIN($V75,101)),0)</f>
        <v/>
      </c>
      <c r="AB75" s="68">
        <f>IF(OR($W75=0,$F75&gt;2,$Z75=0),0,IF($V75=0,IF($R75=0,$S75,$P75),IF($V75=$R75,$S75,12)))</f>
        <v/>
      </c>
      <c r="AC75" s="68">
        <f>IF($W75=0,0,INT(ROUND($Z75*$N75,6)+$B$4))</f>
        <v/>
      </c>
      <c r="AD75" s="68">
        <f>IF(AND($W75=1,$F75&lt;=2,$V75=$R75),1,0)</f>
        <v/>
      </c>
      <c r="AE75" s="68">
        <f>IF(AND($W75=1,$F75&lt;=2,$V75&gt;$R75),1,0)</f>
        <v/>
      </c>
      <c r="AF75" s="68">
        <f>IF(AND($W75=1,$AE75=0,OR($Z75&gt;0,$AD75=1)),1,0)</f>
        <v/>
      </c>
      <c r="AG75" s="68">
        <f>IF($AF75=1,SUM($AF$6:$AF75),0)</f>
        <v/>
      </c>
      <c r="AH75" s="68">
        <f>IF($T75=0,"",CHOOSE($T75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75" s="68">
        <f>IF(AND($F75=2,OR('固定資産台帳'!$C75="建物",'固定資産台帳'!$C75="無形固定資産",AND(OR('固定資産台帳'!$C75="建物附属設備",'固定資産台帳'!$C75="構築物"),$D75&gt;=DATE(2016,4,1)))),"この資産は定額法だけです（定率法は使えません）。","")&amp;IF(AND($F75=3,$C75&gt;=200000),"一括償却は20万円未満の資産だけです。","")&amp;IF(AND($F75=3,$B$1=0,$C75&lt;100000),"10万円未満は一括償却にせず、全額をその年の経費にします。","")&amp;IF(AND($F75=4,$C75&lt;100000),"10万円未満は少額特例ではなく、全額をその年の経費にします。","")&amp;IF(AND($F75=4,$D75&lt;DATE(2026,4,1),$C75&gt;=300000),"2026年3月31日までの取得で少額特例が使えるのは30万円未満です。","")&amp;IF(AND($F75=4,$D75&gt;=DATE(2026,4,1),$C75&gt;=400000),"少額特例は40万円未満の資産だけです。","")&amp;IF(AND($F75=4,OR($D75&lt;DATE(2006,4,1),$D75&gt;DATE(2029,3,31))),"少額特例は2006年4月1日〜2029年3月31日に取得した資産だけです。","")&amp;IF(AND($F75=2,$G75=250,$D75&gt;DATE(2012,12,31)),"250%定率法は2012年12月31日までの取得だけです。","")</f>
        <v/>
      </c>
      <c r="AJ75" s="68">
        <f>IF(AND($F75=2,'固定資産台帳'!$H75="定率法（200%）",$D75&lt;DATE(2012,4,1)),"2012年3月31日までの取得に200%を使うのは、経過措置の届出をした場合です。","")&amp;IF(AND($F75=2,'固定資産台帳'!$H75="定率法（250%）",$D75&gt;=DATE(2012,4,1),$D75&lt;=DATE(2012,12,31)),"2012年4〜12月の取得に250%を使うのは、経過措置を選んだ場合です。","")</f>
        <v/>
      </c>
      <c r="AK75" s="68">
        <f>IF($U75=0,"",IF($V75&lt;0,"表示している年より後に使い始める資産です。",IF($AE75=1,"売却・除却済みです。",IF($AD75=1,"この年に売却・除却。期末の帳簿価額 "&amp;TEXT($Y75,"#,##0")&amp;"円を帳簿から外します。",IF($F75=4,IF($V75=0,"少額特例：この年に全額を経費にします。","少額特例で経費にした資産です。"),IF($F75=3,IF($V75&gt;2,"一括償却は終わっています。","一括償却 "&amp;($V75+1)&amp;"年目（3年のうち）。"),IF($Z75=0,"償却済み（帳簿価額 "&amp;TEXT($Y75,"#,##0")&amp;"円）。",IF($AA75&gt;0,"改定償却率で計算（改定取得価額 "&amp;TEXT($AA75,"#,##0")&amp;"円）。",IF($V75=0,"この年に使い始め（"&amp;$AB75&amp;"か月分）。","")))))))))</f>
        <v/>
      </c>
      <c r="AL75" s="68">
        <f>IF(AND($U75=1,$F75=4,$V75=0),$C75,0)</f>
        <v/>
      </c>
      <c r="AM75" s="68">
        <f>IF($F75=2,INT(ROUND($M75,6)+$B$4),0)</f>
        <v/>
      </c>
      <c r="AN75" s="68">
        <f>IF($W75=0,0,IF($F75=2,IF($AA75&gt;0,$AA75,$X75),$C75))</f>
        <v/>
      </c>
      <c r="AO75" s="68">
        <f>IF($W75=0,"",IF($F75=3,"1/3",IF($F75=4,"―",IF($AA75&gt;0,$K75,$J75))))</f>
        <v/>
      </c>
      <c r="AP75" s="68" t="n"/>
      <c r="AQ75" s="68" t="n"/>
      <c r="AR75" s="68" t="n"/>
      <c r="AS75" s="68">
        <f>IF($U75=0,0,IF($F75=4,0,IF($F75=3,MAX($C75-INT(ROUND($C75/3,6)+$B$4),0),$C75-MIN(INT(ROUND($C75*$J75*IF($R75=0,$S75,$P75)/12,6)+$B$4),MAX($C75-$I75,0)))))</f>
        <v/>
      </c>
      <c r="AT75" s="68">
        <f>IF($U75=0,0,IF($F75=4,0,IF($F75=3,AS75-MIN(INT(ROUND($C75/3,6)+$B$4),AS75),IF(OR(1&gt;$R75,AS75&lt;=$I75),AS75,AS75-MIN(INT(ROUND(IF($F75=1,$C75*$J75,IF(ER75&gt;0,ER75*$K75,AS75*$J75))*IF(1=$R75,$S75,12)/12,6)+$B$4),AS75-$I75)))))</f>
        <v/>
      </c>
      <c r="AU75" s="68">
        <f>IF($U75=0,0,IF($F75=4,0,IF($F75=3,0,IF(OR(2&gt;$R75,AT75&lt;=$I75),AT75,AT75-MIN(INT(ROUND(IF($F75=1,$C75*$J75,IF(ES75&gt;0,ES75*$K75,AT75*$J75))*IF(2=$R75,$S75,12)/12,6)+$B$4),AT75-$I75)))))</f>
        <v/>
      </c>
      <c r="AV75" s="68">
        <f>IF($U75=0,0,IF($F75=4,0,IF($F75=3,0,IF(OR(3&gt;$R75,AU75&lt;=$I75),AU75,AU75-MIN(INT(ROUND(IF($F75=1,$C75*$J75,IF(ET75&gt;0,ET75*$K75,AU75*$J75))*IF(3=$R75,$S75,12)/12,6)+$B$4),AU75-$I75)))))</f>
        <v/>
      </c>
      <c r="AW75" s="68">
        <f>IF($U75=0,0,IF($F75=4,0,IF($F75=3,0,IF(OR(4&gt;$R75,AV75&lt;=$I75),AV75,AV75-MIN(INT(ROUND(IF($F75=1,$C75*$J75,IF(EU75&gt;0,EU75*$K75,AV75*$J75))*IF(4=$R75,$S75,12)/12,6)+$B$4),AV75-$I75)))))</f>
        <v/>
      </c>
      <c r="AX75" s="68">
        <f>IF($U75=0,0,IF($F75=4,0,IF($F75=3,0,IF(OR(5&gt;$R75,AW75&lt;=$I75),AW75,AW75-MIN(INT(ROUND(IF($F75=1,$C75*$J75,IF(EV75&gt;0,EV75*$K75,AW75*$J75))*IF(5=$R75,$S75,12)/12,6)+$B$4),AW75-$I75)))))</f>
        <v/>
      </c>
      <c r="AY75" s="68">
        <f>IF($U75=0,0,IF($F75=4,0,IF($F75=3,0,IF(OR(6&gt;$R75,AX75&lt;=$I75),AX75,AX75-MIN(INT(ROUND(IF($F75=1,$C75*$J75,IF(EW75&gt;0,EW75*$K75,AX75*$J75))*IF(6=$R75,$S75,12)/12,6)+$B$4),AX75-$I75)))))</f>
        <v/>
      </c>
      <c r="AZ75" s="68">
        <f>IF($U75=0,0,IF($F75=4,0,IF($F75=3,0,IF(OR(7&gt;$R75,AY75&lt;=$I75),AY75,AY75-MIN(INT(ROUND(IF($F75=1,$C75*$J75,IF(EX75&gt;0,EX75*$K75,AY75*$J75))*IF(7=$R75,$S75,12)/12,6)+$B$4),AY75-$I75)))))</f>
        <v/>
      </c>
      <c r="BA75" s="68">
        <f>IF($U75=0,0,IF($F75=4,0,IF($F75=3,0,IF(OR(8&gt;$R75,AZ75&lt;=$I75),AZ75,AZ75-MIN(INT(ROUND(IF($F75=1,$C75*$J75,IF(EY75&gt;0,EY75*$K75,AZ75*$J75))*IF(8=$R75,$S75,12)/12,6)+$B$4),AZ75-$I75)))))</f>
        <v/>
      </c>
      <c r="BB75" s="68">
        <f>IF($U75=0,0,IF($F75=4,0,IF($F75=3,0,IF(OR(9&gt;$R75,BA75&lt;=$I75),BA75,BA75-MIN(INT(ROUND(IF($F75=1,$C75*$J75,IF(EZ75&gt;0,EZ75*$K75,BA75*$J75))*IF(9=$R75,$S75,12)/12,6)+$B$4),BA75-$I75)))))</f>
        <v/>
      </c>
      <c r="BC75" s="68">
        <f>IF($U75=0,0,IF($F75=4,0,IF($F75=3,0,IF(OR(10&gt;$R75,BB75&lt;=$I75),BB75,BB75-MIN(INT(ROUND(IF($F75=1,$C75*$J75,IF(FA75&gt;0,FA75*$K75,BB75*$J75))*IF(10=$R75,$S75,12)/12,6)+$B$4),BB75-$I75)))))</f>
        <v/>
      </c>
      <c r="BD75" s="68">
        <f>IF($U75=0,0,IF($F75=4,0,IF($F75=3,0,IF(OR(11&gt;$R75,BC75&lt;=$I75),BC75,BC75-MIN(INT(ROUND(IF($F75=1,$C75*$J75,IF(FB75&gt;0,FB75*$K75,BC75*$J75))*IF(11=$R75,$S75,12)/12,6)+$B$4),BC75-$I75)))))</f>
        <v/>
      </c>
      <c r="BE75" s="68">
        <f>IF($U75=0,0,IF($F75=4,0,IF($F75=3,0,IF(OR(12&gt;$R75,BD75&lt;=$I75),BD75,BD75-MIN(INT(ROUND(IF($F75=1,$C75*$J75,IF(FC75&gt;0,FC75*$K75,BD75*$J75))*IF(12=$R75,$S75,12)/12,6)+$B$4),BD75-$I75)))))</f>
        <v/>
      </c>
      <c r="BF75" s="68">
        <f>IF($U75=0,0,IF($F75=4,0,IF($F75=3,0,IF(OR(13&gt;$R75,BE75&lt;=$I75),BE75,BE75-MIN(INT(ROUND(IF($F75=1,$C75*$J75,IF(FD75&gt;0,FD75*$K75,BE75*$J75))*IF(13=$R75,$S75,12)/12,6)+$B$4),BE75-$I75)))))</f>
        <v/>
      </c>
      <c r="BG75" s="68">
        <f>IF($U75=0,0,IF($F75=4,0,IF($F75=3,0,IF(OR(14&gt;$R75,BF75&lt;=$I75),BF75,BF75-MIN(INT(ROUND(IF($F75=1,$C75*$J75,IF(FE75&gt;0,FE75*$K75,BF75*$J75))*IF(14=$R75,$S75,12)/12,6)+$B$4),BF75-$I75)))))</f>
        <v/>
      </c>
      <c r="BH75" s="68">
        <f>IF($U75=0,0,IF($F75=4,0,IF($F75=3,0,IF(OR(15&gt;$R75,BG75&lt;=$I75),BG75,BG75-MIN(INT(ROUND(IF($F75=1,$C75*$J75,IF(FF75&gt;0,FF75*$K75,BG75*$J75))*IF(15=$R75,$S75,12)/12,6)+$B$4),BG75-$I75)))))</f>
        <v/>
      </c>
      <c r="BI75" s="68">
        <f>IF($U75=0,0,IF($F75=4,0,IF($F75=3,0,IF(OR(16&gt;$R75,BH75&lt;=$I75),BH75,BH75-MIN(INT(ROUND(IF($F75=1,$C75*$J75,IF(FG75&gt;0,FG75*$K75,BH75*$J75))*IF(16=$R75,$S75,12)/12,6)+$B$4),BH75-$I75)))))</f>
        <v/>
      </c>
      <c r="BJ75" s="68">
        <f>IF($U75=0,0,IF($F75=4,0,IF($F75=3,0,IF(OR(17&gt;$R75,BI75&lt;=$I75),BI75,BI75-MIN(INT(ROUND(IF($F75=1,$C75*$J75,IF(FH75&gt;0,FH75*$K75,BI75*$J75))*IF(17=$R75,$S75,12)/12,6)+$B$4),BI75-$I75)))))</f>
        <v/>
      </c>
      <c r="BK75" s="68">
        <f>IF($U75=0,0,IF($F75=4,0,IF($F75=3,0,IF(OR(18&gt;$R75,BJ75&lt;=$I75),BJ75,BJ75-MIN(INT(ROUND(IF($F75=1,$C75*$J75,IF(FI75&gt;0,FI75*$K75,BJ75*$J75))*IF(18=$R75,$S75,12)/12,6)+$B$4),BJ75-$I75)))))</f>
        <v/>
      </c>
      <c r="BL75" s="68">
        <f>IF($U75=0,0,IF($F75=4,0,IF($F75=3,0,IF(OR(19&gt;$R75,BK75&lt;=$I75),BK75,BK75-MIN(INT(ROUND(IF($F75=1,$C75*$J75,IF(FJ75&gt;0,FJ75*$K75,BK75*$J75))*IF(19=$R75,$S75,12)/12,6)+$B$4),BK75-$I75)))))</f>
        <v/>
      </c>
      <c r="BM75" s="68">
        <f>IF($U75=0,0,IF($F75=4,0,IF($F75=3,0,IF(OR(20&gt;$R75,BL75&lt;=$I75),BL75,BL75-MIN(INT(ROUND(IF($F75=1,$C75*$J75,IF(FK75&gt;0,FK75*$K75,BL75*$J75))*IF(20=$R75,$S75,12)/12,6)+$B$4),BL75-$I75)))))</f>
        <v/>
      </c>
      <c r="BN75" s="68">
        <f>IF($U75=0,0,IF($F75=4,0,IF($F75=3,0,IF(OR(21&gt;$R75,BM75&lt;=$I75),BM75,BM75-MIN(INT(ROUND(IF($F75=1,$C75*$J75,IF(FL75&gt;0,FL75*$K75,BM75*$J75))*IF(21=$R75,$S75,12)/12,6)+$B$4),BM75-$I75)))))</f>
        <v/>
      </c>
      <c r="BO75" s="68">
        <f>IF($U75=0,0,IF($F75=4,0,IF($F75=3,0,IF(OR(22&gt;$R75,BN75&lt;=$I75),BN75,BN75-MIN(INT(ROUND(IF($F75=1,$C75*$J75,IF(FM75&gt;0,FM75*$K75,BN75*$J75))*IF(22=$R75,$S75,12)/12,6)+$B$4),BN75-$I75)))))</f>
        <v/>
      </c>
      <c r="BP75" s="68">
        <f>IF($U75=0,0,IF($F75=4,0,IF($F75=3,0,IF(OR(23&gt;$R75,BO75&lt;=$I75),BO75,BO75-MIN(INT(ROUND(IF($F75=1,$C75*$J75,IF(FN75&gt;0,FN75*$K75,BO75*$J75))*IF(23=$R75,$S75,12)/12,6)+$B$4),BO75-$I75)))))</f>
        <v/>
      </c>
      <c r="BQ75" s="68">
        <f>IF($U75=0,0,IF($F75=4,0,IF($F75=3,0,IF(OR(24&gt;$R75,BP75&lt;=$I75),BP75,BP75-MIN(INT(ROUND(IF($F75=1,$C75*$J75,IF(FO75&gt;0,FO75*$K75,BP75*$J75))*IF(24=$R75,$S75,12)/12,6)+$B$4),BP75-$I75)))))</f>
        <v/>
      </c>
      <c r="BR75" s="68">
        <f>IF($U75=0,0,IF($F75=4,0,IF($F75=3,0,IF(OR(25&gt;$R75,BQ75&lt;=$I75),BQ75,BQ75-MIN(INT(ROUND(IF($F75=1,$C75*$J75,IF(FP75&gt;0,FP75*$K75,BQ75*$J75))*IF(25=$R75,$S75,12)/12,6)+$B$4),BQ75-$I75)))))</f>
        <v/>
      </c>
      <c r="BS75" s="68">
        <f>IF($U75=0,0,IF($F75=4,0,IF($F75=3,0,IF(OR(26&gt;$R75,BR75&lt;=$I75),BR75,BR75-MIN(INT(ROUND(IF($F75=1,$C75*$J75,IF(FQ75&gt;0,FQ75*$K75,BR75*$J75))*IF(26=$R75,$S75,12)/12,6)+$B$4),BR75-$I75)))))</f>
        <v/>
      </c>
      <c r="BT75" s="68">
        <f>IF($U75=0,0,IF($F75=4,0,IF($F75=3,0,IF(OR(27&gt;$R75,BS75&lt;=$I75),BS75,BS75-MIN(INT(ROUND(IF($F75=1,$C75*$J75,IF(FR75&gt;0,FR75*$K75,BS75*$J75))*IF(27=$R75,$S75,12)/12,6)+$B$4),BS75-$I75)))))</f>
        <v/>
      </c>
      <c r="BU75" s="68">
        <f>IF($U75=0,0,IF($F75=4,0,IF($F75=3,0,IF(OR(28&gt;$R75,BT75&lt;=$I75),BT75,BT75-MIN(INT(ROUND(IF($F75=1,$C75*$J75,IF(FS75&gt;0,FS75*$K75,BT75*$J75))*IF(28=$R75,$S75,12)/12,6)+$B$4),BT75-$I75)))))</f>
        <v/>
      </c>
      <c r="BV75" s="68">
        <f>IF($U75=0,0,IF($F75=4,0,IF($F75=3,0,IF(OR(29&gt;$R75,BU75&lt;=$I75),BU75,BU75-MIN(INT(ROUND(IF($F75=1,$C75*$J75,IF(FT75&gt;0,FT75*$K75,BU75*$J75))*IF(29=$R75,$S75,12)/12,6)+$B$4),BU75-$I75)))))</f>
        <v/>
      </c>
      <c r="BW75" s="68">
        <f>IF($U75=0,0,IF($F75=4,0,IF($F75=3,0,IF(OR(30&gt;$R75,BV75&lt;=$I75),BV75,BV75-MIN(INT(ROUND(IF($F75=1,$C75*$J75,IF(FU75&gt;0,FU75*$K75,BV75*$J75))*IF(30=$R75,$S75,12)/12,6)+$B$4),BV75-$I75)))))</f>
        <v/>
      </c>
      <c r="BX75" s="68">
        <f>IF($U75=0,0,IF($F75=4,0,IF($F75=3,0,IF(OR(31&gt;$R75,BW75&lt;=$I75),BW75,BW75-MIN(INT(ROUND(IF($F75=1,$C75*$J75,IF(FV75&gt;0,FV75*$K75,BW75*$J75))*IF(31=$R75,$S75,12)/12,6)+$B$4),BW75-$I75)))))</f>
        <v/>
      </c>
      <c r="BY75" s="68">
        <f>IF($U75=0,0,IF($F75=4,0,IF($F75=3,0,IF(OR(32&gt;$R75,BX75&lt;=$I75),BX75,BX75-MIN(INT(ROUND(IF($F75=1,$C75*$J75,IF(FW75&gt;0,FW75*$K75,BX75*$J75))*IF(32=$R75,$S75,12)/12,6)+$B$4),BX75-$I75)))))</f>
        <v/>
      </c>
      <c r="BZ75" s="68">
        <f>IF($U75=0,0,IF($F75=4,0,IF($F75=3,0,IF(OR(33&gt;$R75,BY75&lt;=$I75),BY75,BY75-MIN(INT(ROUND(IF($F75=1,$C75*$J75,IF(FX75&gt;0,FX75*$K75,BY75*$J75))*IF(33=$R75,$S75,12)/12,6)+$B$4),BY75-$I75)))))</f>
        <v/>
      </c>
      <c r="CA75" s="68">
        <f>IF($U75=0,0,IF($F75=4,0,IF($F75=3,0,IF(OR(34&gt;$R75,BZ75&lt;=$I75),BZ75,BZ75-MIN(INT(ROUND(IF($F75=1,$C75*$J75,IF(FY75&gt;0,FY75*$K75,BZ75*$J75))*IF(34=$R75,$S75,12)/12,6)+$B$4),BZ75-$I75)))))</f>
        <v/>
      </c>
      <c r="CB75" s="68">
        <f>IF($U75=0,0,IF($F75=4,0,IF($F75=3,0,IF(OR(35&gt;$R75,CA75&lt;=$I75),CA75,CA75-MIN(INT(ROUND(IF($F75=1,$C75*$J75,IF(FZ75&gt;0,FZ75*$K75,CA75*$J75))*IF(35=$R75,$S75,12)/12,6)+$B$4),CA75-$I75)))))</f>
        <v/>
      </c>
      <c r="CC75" s="68">
        <f>IF($U75=0,0,IF($F75=4,0,IF($F75=3,0,IF(OR(36&gt;$R75,CB75&lt;=$I75),CB75,CB75-MIN(INT(ROUND(IF($F75=1,$C75*$J75,IF(GA75&gt;0,GA75*$K75,CB75*$J75))*IF(36=$R75,$S75,12)/12,6)+$B$4),CB75-$I75)))))</f>
        <v/>
      </c>
      <c r="CD75" s="68">
        <f>IF($U75=0,0,IF($F75=4,0,IF($F75=3,0,IF(OR(37&gt;$R75,CC75&lt;=$I75),CC75,CC75-MIN(INT(ROUND(IF($F75=1,$C75*$J75,IF(GB75&gt;0,GB75*$K75,CC75*$J75))*IF(37=$R75,$S75,12)/12,6)+$B$4),CC75-$I75)))))</f>
        <v/>
      </c>
      <c r="CE75" s="68">
        <f>IF($U75=0,0,IF($F75=4,0,IF($F75=3,0,IF(OR(38&gt;$R75,CD75&lt;=$I75),CD75,CD75-MIN(INT(ROUND(IF($F75=1,$C75*$J75,IF(GC75&gt;0,GC75*$K75,CD75*$J75))*IF(38=$R75,$S75,12)/12,6)+$B$4),CD75-$I75)))))</f>
        <v/>
      </c>
      <c r="CF75" s="68">
        <f>IF($U75=0,0,IF($F75=4,0,IF($F75=3,0,IF(OR(39&gt;$R75,CE75&lt;=$I75),CE75,CE75-MIN(INT(ROUND(IF($F75=1,$C75*$J75,IF(GD75&gt;0,GD75*$K75,CE75*$J75))*IF(39=$R75,$S75,12)/12,6)+$B$4),CE75-$I75)))))</f>
        <v/>
      </c>
      <c r="CG75" s="68">
        <f>IF($U75=0,0,IF($F75=4,0,IF($F75=3,0,IF(OR(40&gt;$R75,CF75&lt;=$I75),CF75,CF75-MIN(INT(ROUND(IF($F75=1,$C75*$J75,IF(GE75&gt;0,GE75*$K75,CF75*$J75))*IF(40=$R75,$S75,12)/12,6)+$B$4),CF75-$I75)))))</f>
        <v/>
      </c>
      <c r="CH75" s="68">
        <f>IF($U75=0,0,IF($F75=4,0,IF($F75=3,0,IF(OR(41&gt;$R75,CG75&lt;=$I75),CG75,CG75-MIN(INT(ROUND(IF($F75=1,$C75*$J75,IF(GF75&gt;0,GF75*$K75,CG75*$J75))*IF(41=$R75,$S75,12)/12,6)+$B$4),CG75-$I75)))))</f>
        <v/>
      </c>
      <c r="CI75" s="68">
        <f>IF($U75=0,0,IF($F75=4,0,IF($F75=3,0,IF(OR(42&gt;$R75,CH75&lt;=$I75),CH75,CH75-MIN(INT(ROUND(IF($F75=1,$C75*$J75,IF(GG75&gt;0,GG75*$K75,CH75*$J75))*IF(42=$R75,$S75,12)/12,6)+$B$4),CH75-$I75)))))</f>
        <v/>
      </c>
      <c r="CJ75" s="68">
        <f>IF($U75=0,0,IF($F75=4,0,IF($F75=3,0,IF(OR(43&gt;$R75,CI75&lt;=$I75),CI75,CI75-MIN(INT(ROUND(IF($F75=1,$C75*$J75,IF(GH75&gt;0,GH75*$K75,CI75*$J75))*IF(43=$R75,$S75,12)/12,6)+$B$4),CI75-$I75)))))</f>
        <v/>
      </c>
      <c r="CK75" s="68">
        <f>IF($U75=0,0,IF($F75=4,0,IF($F75=3,0,IF(OR(44&gt;$R75,CJ75&lt;=$I75),CJ75,CJ75-MIN(INT(ROUND(IF($F75=1,$C75*$J75,IF(GI75&gt;0,GI75*$K75,CJ75*$J75))*IF(44=$R75,$S75,12)/12,6)+$B$4),CJ75-$I75)))))</f>
        <v/>
      </c>
      <c r="CL75" s="68">
        <f>IF($U75=0,0,IF($F75=4,0,IF($F75=3,0,IF(OR(45&gt;$R75,CK75&lt;=$I75),CK75,CK75-MIN(INT(ROUND(IF($F75=1,$C75*$J75,IF(GJ75&gt;0,GJ75*$K75,CK75*$J75))*IF(45=$R75,$S75,12)/12,6)+$B$4),CK75-$I75)))))</f>
        <v/>
      </c>
      <c r="CM75" s="68">
        <f>IF($U75=0,0,IF($F75=4,0,IF($F75=3,0,IF(OR(46&gt;$R75,CL75&lt;=$I75),CL75,CL75-MIN(INT(ROUND(IF($F75=1,$C75*$J75,IF(GK75&gt;0,GK75*$K75,CL75*$J75))*IF(46=$R75,$S75,12)/12,6)+$B$4),CL75-$I75)))))</f>
        <v/>
      </c>
      <c r="CN75" s="68">
        <f>IF($U75=0,0,IF($F75=4,0,IF($F75=3,0,IF(OR(47&gt;$R75,CM75&lt;=$I75),CM75,CM75-MIN(INT(ROUND(IF($F75=1,$C75*$J75,IF(GL75&gt;0,GL75*$K75,CM75*$J75))*IF(47=$R75,$S75,12)/12,6)+$B$4),CM75-$I75)))))</f>
        <v/>
      </c>
      <c r="CO75" s="68">
        <f>IF($U75=0,0,IF($F75=4,0,IF($F75=3,0,IF(OR(48&gt;$R75,CN75&lt;=$I75),CN75,CN75-MIN(INT(ROUND(IF($F75=1,$C75*$J75,IF(GM75&gt;0,GM75*$K75,CN75*$J75))*IF(48=$R75,$S75,12)/12,6)+$B$4),CN75-$I75)))))</f>
        <v/>
      </c>
      <c r="CP75" s="68">
        <f>IF($U75=0,0,IF($F75=4,0,IF($F75=3,0,IF(OR(49&gt;$R75,CO75&lt;=$I75),CO75,CO75-MIN(INT(ROUND(IF($F75=1,$C75*$J75,IF(GN75&gt;0,GN75*$K75,CO75*$J75))*IF(49=$R75,$S75,12)/12,6)+$B$4),CO75-$I75)))))</f>
        <v/>
      </c>
      <c r="CQ75" s="68">
        <f>IF($U75=0,0,IF($F75=4,0,IF($F75=3,0,IF(OR(50&gt;$R75,CP75&lt;=$I75),CP75,CP75-MIN(INT(ROUND(IF($F75=1,$C75*$J75,IF(GO75&gt;0,GO75*$K75,CP75*$J75))*IF(50=$R75,$S75,12)/12,6)+$B$4),CP75-$I75)))))</f>
        <v/>
      </c>
      <c r="CR75" s="68">
        <f>IF($U75=0,0,IF($F75=4,0,IF($F75=3,0,IF(OR(51&gt;$R75,CQ75&lt;=$I75),CQ75,CQ75-MIN(INT(ROUND(IF($F75=1,$C75*$J75,IF(GP75&gt;0,GP75*$K75,CQ75*$J75))*IF(51=$R75,$S75,12)/12,6)+$B$4),CQ75-$I75)))))</f>
        <v/>
      </c>
      <c r="CS75" s="68">
        <f>IF($U75=0,0,IF($F75=4,0,IF($F75=3,0,IF(OR(52&gt;$R75,CR75&lt;=$I75),CR75,CR75-MIN(INT(ROUND(IF($F75=1,$C75*$J75,IF(GQ75&gt;0,GQ75*$K75,CR75*$J75))*IF(52=$R75,$S75,12)/12,6)+$B$4),CR75-$I75)))))</f>
        <v/>
      </c>
      <c r="CT75" s="68">
        <f>IF($U75=0,0,IF($F75=4,0,IF($F75=3,0,IF(OR(53&gt;$R75,CS75&lt;=$I75),CS75,CS75-MIN(INT(ROUND(IF($F75=1,$C75*$J75,IF(GR75&gt;0,GR75*$K75,CS75*$J75))*IF(53=$R75,$S75,12)/12,6)+$B$4),CS75-$I75)))))</f>
        <v/>
      </c>
      <c r="CU75" s="68">
        <f>IF($U75=0,0,IF($F75=4,0,IF($F75=3,0,IF(OR(54&gt;$R75,CT75&lt;=$I75),CT75,CT75-MIN(INT(ROUND(IF($F75=1,$C75*$J75,IF(GS75&gt;0,GS75*$K75,CT75*$J75))*IF(54=$R75,$S75,12)/12,6)+$B$4),CT75-$I75)))))</f>
        <v/>
      </c>
      <c r="CV75" s="68">
        <f>IF($U75=0,0,IF($F75=4,0,IF($F75=3,0,IF(OR(55&gt;$R75,CU75&lt;=$I75),CU75,CU75-MIN(INT(ROUND(IF($F75=1,$C75*$J75,IF(GT75&gt;0,GT75*$K75,CU75*$J75))*IF(55=$R75,$S75,12)/12,6)+$B$4),CU75-$I75)))))</f>
        <v/>
      </c>
      <c r="CW75" s="68">
        <f>IF($U75=0,0,IF($F75=4,0,IF($F75=3,0,IF(OR(56&gt;$R75,CV75&lt;=$I75),CV75,CV75-MIN(INT(ROUND(IF($F75=1,$C75*$J75,IF(GU75&gt;0,GU75*$K75,CV75*$J75))*IF(56=$R75,$S75,12)/12,6)+$B$4),CV75-$I75)))))</f>
        <v/>
      </c>
      <c r="CX75" s="68">
        <f>IF($U75=0,0,IF($F75=4,0,IF($F75=3,0,IF(OR(57&gt;$R75,CW75&lt;=$I75),CW75,CW75-MIN(INT(ROUND(IF($F75=1,$C75*$J75,IF(GV75&gt;0,GV75*$K75,CW75*$J75))*IF(57=$R75,$S75,12)/12,6)+$B$4),CW75-$I75)))))</f>
        <v/>
      </c>
      <c r="CY75" s="68">
        <f>IF($U75=0,0,IF($F75=4,0,IF($F75=3,0,IF(OR(58&gt;$R75,CX75&lt;=$I75),CX75,CX75-MIN(INT(ROUND(IF($F75=1,$C75*$J75,IF(GW75&gt;0,GW75*$K75,CX75*$J75))*IF(58=$R75,$S75,12)/12,6)+$B$4),CX75-$I75)))))</f>
        <v/>
      </c>
      <c r="CZ75" s="68">
        <f>IF($U75=0,0,IF($F75=4,0,IF($F75=3,0,IF(OR(59&gt;$R75,CY75&lt;=$I75),CY75,CY75-MIN(INT(ROUND(IF($F75=1,$C75*$J75,IF(GX75&gt;0,GX75*$K75,CY75*$J75))*IF(59=$R75,$S75,12)/12,6)+$B$4),CY75-$I75)))))</f>
        <v/>
      </c>
      <c r="DA75" s="68">
        <f>IF($U75=0,0,IF($F75=4,0,IF($F75=3,0,IF(OR(60&gt;$R75,CZ75&lt;=$I75),CZ75,CZ75-MIN(INT(ROUND(IF($F75=1,$C75*$J75,IF(GY75&gt;0,GY75*$K75,CZ75*$J75))*IF(60=$R75,$S75,12)/12,6)+$B$4),CZ75-$I75)))))</f>
        <v/>
      </c>
      <c r="DB75" s="68">
        <f>IF($U75=0,0,IF($F75=4,0,IF($F75=3,0,IF(OR(61&gt;$R75,DA75&lt;=$I75),DA75,DA75-MIN(INT(ROUND(IF($F75=1,$C75*$J75,IF(GZ75&gt;0,GZ75*$K75,DA75*$J75))*IF(61=$R75,$S75,12)/12,6)+$B$4),DA75-$I75)))))</f>
        <v/>
      </c>
      <c r="DC75" s="68">
        <f>IF($U75=0,0,IF($F75=4,0,IF($F75=3,0,IF(OR(62&gt;$R75,DB75&lt;=$I75),DB75,DB75-MIN(INT(ROUND(IF($F75=1,$C75*$J75,IF(HA75&gt;0,HA75*$K75,DB75*$J75))*IF(62=$R75,$S75,12)/12,6)+$B$4),DB75-$I75)))))</f>
        <v/>
      </c>
      <c r="DD75" s="68">
        <f>IF($U75=0,0,IF($F75=4,0,IF($F75=3,0,IF(OR(63&gt;$R75,DC75&lt;=$I75),DC75,DC75-MIN(INT(ROUND(IF($F75=1,$C75*$J75,IF(HB75&gt;0,HB75*$K75,DC75*$J75))*IF(63=$R75,$S75,12)/12,6)+$B$4),DC75-$I75)))))</f>
        <v/>
      </c>
      <c r="DE75" s="68">
        <f>IF($U75=0,0,IF($F75=4,0,IF($F75=3,0,IF(OR(64&gt;$R75,DD75&lt;=$I75),DD75,DD75-MIN(INT(ROUND(IF($F75=1,$C75*$J75,IF(HC75&gt;0,HC75*$K75,DD75*$J75))*IF(64=$R75,$S75,12)/12,6)+$B$4),DD75-$I75)))))</f>
        <v/>
      </c>
      <c r="DF75" s="68">
        <f>IF($U75=0,0,IF($F75=4,0,IF($F75=3,0,IF(OR(65&gt;$R75,DE75&lt;=$I75),DE75,DE75-MIN(INT(ROUND(IF($F75=1,$C75*$J75,IF(HD75&gt;0,HD75*$K75,DE75*$J75))*IF(65=$R75,$S75,12)/12,6)+$B$4),DE75-$I75)))))</f>
        <v/>
      </c>
      <c r="DG75" s="68">
        <f>IF($U75=0,0,IF($F75=4,0,IF($F75=3,0,IF(OR(66&gt;$R75,DF75&lt;=$I75),DF75,DF75-MIN(INT(ROUND(IF($F75=1,$C75*$J75,IF(HE75&gt;0,HE75*$K75,DF75*$J75))*IF(66=$R75,$S75,12)/12,6)+$B$4),DF75-$I75)))))</f>
        <v/>
      </c>
      <c r="DH75" s="68">
        <f>IF($U75=0,0,IF($F75=4,0,IF($F75=3,0,IF(OR(67&gt;$R75,DG75&lt;=$I75),DG75,DG75-MIN(INT(ROUND(IF($F75=1,$C75*$J75,IF(HF75&gt;0,HF75*$K75,DG75*$J75))*IF(67=$R75,$S75,12)/12,6)+$B$4),DG75-$I75)))))</f>
        <v/>
      </c>
      <c r="DI75" s="68">
        <f>IF($U75=0,0,IF($F75=4,0,IF($F75=3,0,IF(OR(68&gt;$R75,DH75&lt;=$I75),DH75,DH75-MIN(INT(ROUND(IF($F75=1,$C75*$J75,IF(HG75&gt;0,HG75*$K75,DH75*$J75))*IF(68=$R75,$S75,12)/12,6)+$B$4),DH75-$I75)))))</f>
        <v/>
      </c>
      <c r="DJ75" s="68">
        <f>IF($U75=0,0,IF($F75=4,0,IF($F75=3,0,IF(OR(69&gt;$R75,DI75&lt;=$I75),DI75,DI75-MIN(INT(ROUND(IF($F75=1,$C75*$J75,IF(HH75&gt;0,HH75*$K75,DI75*$J75))*IF(69=$R75,$S75,12)/12,6)+$B$4),DI75-$I75)))))</f>
        <v/>
      </c>
      <c r="DK75" s="68">
        <f>IF($U75=0,0,IF($F75=4,0,IF($F75=3,0,IF(OR(70&gt;$R75,DJ75&lt;=$I75),DJ75,DJ75-MIN(INT(ROUND(IF($F75=1,$C75*$J75,IF(HI75&gt;0,HI75*$K75,DJ75*$J75))*IF(70=$R75,$S75,12)/12,6)+$B$4),DJ75-$I75)))))</f>
        <v/>
      </c>
      <c r="DL75" s="68">
        <f>IF($U75=0,0,IF($F75=4,0,IF($F75=3,0,IF(OR(71&gt;$R75,DK75&lt;=$I75),DK75,DK75-MIN(INT(ROUND(IF($F75=1,$C75*$J75,IF(HJ75&gt;0,HJ75*$K75,DK75*$J75))*IF(71=$R75,$S75,12)/12,6)+$B$4),DK75-$I75)))))</f>
        <v/>
      </c>
      <c r="DM75" s="68">
        <f>IF($U75=0,0,IF($F75=4,0,IF($F75=3,0,IF(OR(72&gt;$R75,DL75&lt;=$I75),DL75,DL75-MIN(INT(ROUND(IF($F75=1,$C75*$J75,IF(HK75&gt;0,HK75*$K75,DL75*$J75))*IF(72=$R75,$S75,12)/12,6)+$B$4),DL75-$I75)))))</f>
        <v/>
      </c>
      <c r="DN75" s="68">
        <f>IF($U75=0,0,IF($F75=4,0,IF($F75=3,0,IF(OR(73&gt;$R75,DM75&lt;=$I75),DM75,DM75-MIN(INT(ROUND(IF($F75=1,$C75*$J75,IF(HL75&gt;0,HL75*$K75,DM75*$J75))*IF(73=$R75,$S75,12)/12,6)+$B$4),DM75-$I75)))))</f>
        <v/>
      </c>
      <c r="DO75" s="68">
        <f>IF($U75=0,0,IF($F75=4,0,IF($F75=3,0,IF(OR(74&gt;$R75,DN75&lt;=$I75),DN75,DN75-MIN(INT(ROUND(IF($F75=1,$C75*$J75,IF(HM75&gt;0,HM75*$K75,DN75*$J75))*IF(74=$R75,$S75,12)/12,6)+$B$4),DN75-$I75)))))</f>
        <v/>
      </c>
      <c r="DP75" s="68">
        <f>IF($U75=0,0,IF($F75=4,0,IF($F75=3,0,IF(OR(75&gt;$R75,DO75&lt;=$I75),DO75,DO75-MIN(INT(ROUND(IF($F75=1,$C75*$J75,IF(HN75&gt;0,HN75*$K75,DO75*$J75))*IF(75=$R75,$S75,12)/12,6)+$B$4),DO75-$I75)))))</f>
        <v/>
      </c>
      <c r="DQ75" s="68">
        <f>IF($U75=0,0,IF($F75=4,0,IF($F75=3,0,IF(OR(76&gt;$R75,DP75&lt;=$I75),DP75,DP75-MIN(INT(ROUND(IF($F75=1,$C75*$J75,IF(HO75&gt;0,HO75*$K75,DP75*$J75))*IF(76=$R75,$S75,12)/12,6)+$B$4),DP75-$I75)))))</f>
        <v/>
      </c>
      <c r="DR75" s="68">
        <f>IF($U75=0,0,IF($F75=4,0,IF($F75=3,0,IF(OR(77&gt;$R75,DQ75&lt;=$I75),DQ75,DQ75-MIN(INT(ROUND(IF($F75=1,$C75*$J75,IF(HP75&gt;0,HP75*$K75,DQ75*$J75))*IF(77=$R75,$S75,12)/12,6)+$B$4),DQ75-$I75)))))</f>
        <v/>
      </c>
      <c r="DS75" s="68">
        <f>IF($U75=0,0,IF($F75=4,0,IF($F75=3,0,IF(OR(78&gt;$R75,DR75&lt;=$I75),DR75,DR75-MIN(INT(ROUND(IF($F75=1,$C75*$J75,IF(HQ75&gt;0,HQ75*$K75,DR75*$J75))*IF(78=$R75,$S75,12)/12,6)+$B$4),DR75-$I75)))))</f>
        <v/>
      </c>
      <c r="DT75" s="68">
        <f>IF($U75=0,0,IF($F75=4,0,IF($F75=3,0,IF(OR(79&gt;$R75,DS75&lt;=$I75),DS75,DS75-MIN(INT(ROUND(IF($F75=1,$C75*$J75,IF(HR75&gt;0,HR75*$K75,DS75*$J75))*IF(79=$R75,$S75,12)/12,6)+$B$4),DS75-$I75)))))</f>
        <v/>
      </c>
      <c r="DU75" s="68">
        <f>IF($U75=0,0,IF($F75=4,0,IF($F75=3,0,IF(OR(80&gt;$R75,DT75&lt;=$I75),DT75,DT75-MIN(INT(ROUND(IF($F75=1,$C75*$J75,IF(HS75&gt;0,HS75*$K75,DT75*$J75))*IF(80=$R75,$S75,12)/12,6)+$B$4),DT75-$I75)))))</f>
        <v/>
      </c>
      <c r="DV75" s="68">
        <f>IF($U75=0,0,IF($F75=4,0,IF($F75=3,0,IF(OR(81&gt;$R75,DU75&lt;=$I75),DU75,DU75-MIN(INT(ROUND(IF($F75=1,$C75*$J75,IF(HT75&gt;0,HT75*$K75,DU75*$J75))*IF(81=$R75,$S75,12)/12,6)+$B$4),DU75-$I75)))))</f>
        <v/>
      </c>
      <c r="DW75" s="68">
        <f>IF($U75=0,0,IF($F75=4,0,IF($F75=3,0,IF(OR(82&gt;$R75,DV75&lt;=$I75),DV75,DV75-MIN(INT(ROUND(IF($F75=1,$C75*$J75,IF(HU75&gt;0,HU75*$K75,DV75*$J75))*IF(82=$R75,$S75,12)/12,6)+$B$4),DV75-$I75)))))</f>
        <v/>
      </c>
      <c r="DX75" s="68">
        <f>IF($U75=0,0,IF($F75=4,0,IF($F75=3,0,IF(OR(83&gt;$R75,DW75&lt;=$I75),DW75,DW75-MIN(INT(ROUND(IF($F75=1,$C75*$J75,IF(HV75&gt;0,HV75*$K75,DW75*$J75))*IF(83=$R75,$S75,12)/12,6)+$B$4),DW75-$I75)))))</f>
        <v/>
      </c>
      <c r="DY75" s="68">
        <f>IF($U75=0,0,IF($F75=4,0,IF($F75=3,0,IF(OR(84&gt;$R75,DX75&lt;=$I75),DX75,DX75-MIN(INT(ROUND(IF($F75=1,$C75*$J75,IF(HW75&gt;0,HW75*$K75,DX75*$J75))*IF(84=$R75,$S75,12)/12,6)+$B$4),DX75-$I75)))))</f>
        <v/>
      </c>
      <c r="DZ75" s="68">
        <f>IF($U75=0,0,IF($F75=4,0,IF($F75=3,0,IF(OR(85&gt;$R75,DY75&lt;=$I75),DY75,DY75-MIN(INT(ROUND(IF($F75=1,$C75*$J75,IF(HX75&gt;0,HX75*$K75,DY75*$J75))*IF(85=$R75,$S75,12)/12,6)+$B$4),DY75-$I75)))))</f>
        <v/>
      </c>
      <c r="EA75" s="68">
        <f>IF($U75=0,0,IF($F75=4,0,IF($F75=3,0,IF(OR(86&gt;$R75,DZ75&lt;=$I75),DZ75,DZ75-MIN(INT(ROUND(IF($F75=1,$C75*$J75,IF(HY75&gt;0,HY75*$K75,DZ75*$J75))*IF(86=$R75,$S75,12)/12,6)+$B$4),DZ75-$I75)))))</f>
        <v/>
      </c>
      <c r="EB75" s="68">
        <f>IF($U75=0,0,IF($F75=4,0,IF($F75=3,0,IF(OR(87&gt;$R75,EA75&lt;=$I75),EA75,EA75-MIN(INT(ROUND(IF($F75=1,$C75*$J75,IF(HZ75&gt;0,HZ75*$K75,EA75*$J75))*IF(87=$R75,$S75,12)/12,6)+$B$4),EA75-$I75)))))</f>
        <v/>
      </c>
      <c r="EC75" s="68">
        <f>IF($U75=0,0,IF($F75=4,0,IF($F75=3,0,IF(OR(88&gt;$R75,EB75&lt;=$I75),EB75,EB75-MIN(INT(ROUND(IF($F75=1,$C75*$J75,IF(IA75&gt;0,IA75*$K75,EB75*$J75))*IF(88=$R75,$S75,12)/12,6)+$B$4),EB75-$I75)))))</f>
        <v/>
      </c>
      <c r="ED75" s="68">
        <f>IF($U75=0,0,IF($F75=4,0,IF($F75=3,0,IF(OR(89&gt;$R75,EC75&lt;=$I75),EC75,EC75-MIN(INT(ROUND(IF($F75=1,$C75*$J75,IF(IB75&gt;0,IB75*$K75,EC75*$J75))*IF(89=$R75,$S75,12)/12,6)+$B$4),EC75-$I75)))))</f>
        <v/>
      </c>
      <c r="EE75" s="68">
        <f>IF($U75=0,0,IF($F75=4,0,IF($F75=3,0,IF(OR(90&gt;$R75,ED75&lt;=$I75),ED75,ED75-MIN(INT(ROUND(IF($F75=1,$C75*$J75,IF(IC75&gt;0,IC75*$K75,ED75*$J75))*IF(90=$R75,$S75,12)/12,6)+$B$4),ED75-$I75)))))</f>
        <v/>
      </c>
      <c r="EF75" s="68">
        <f>IF($U75=0,0,IF($F75=4,0,IF($F75=3,0,IF(OR(91&gt;$R75,EE75&lt;=$I75),EE75,EE75-MIN(INT(ROUND(IF($F75=1,$C75*$J75,IF(ID75&gt;0,ID75*$K75,EE75*$J75))*IF(91=$R75,$S75,12)/12,6)+$B$4),EE75-$I75)))))</f>
        <v/>
      </c>
      <c r="EG75" s="68">
        <f>IF($U75=0,0,IF($F75=4,0,IF($F75=3,0,IF(OR(92&gt;$R75,EF75&lt;=$I75),EF75,EF75-MIN(INT(ROUND(IF($F75=1,$C75*$J75,IF(IE75&gt;0,IE75*$K75,EF75*$J75))*IF(92=$R75,$S75,12)/12,6)+$B$4),EF75-$I75)))))</f>
        <v/>
      </c>
      <c r="EH75" s="68">
        <f>IF($U75=0,0,IF($F75=4,0,IF($F75=3,0,IF(OR(93&gt;$R75,EG75&lt;=$I75),EG75,EG75-MIN(INT(ROUND(IF($F75=1,$C75*$J75,IF(IF75&gt;0,IF75*$K75,EG75*$J75))*IF(93=$R75,$S75,12)/12,6)+$B$4),EG75-$I75)))))</f>
        <v/>
      </c>
      <c r="EI75" s="68">
        <f>IF($U75=0,0,IF($F75=4,0,IF($F75=3,0,IF(OR(94&gt;$R75,EH75&lt;=$I75),EH75,EH75-MIN(INT(ROUND(IF($F75=1,$C75*$J75,IF(IG75&gt;0,IG75*$K75,EH75*$J75))*IF(94=$R75,$S75,12)/12,6)+$B$4),EH75-$I75)))))</f>
        <v/>
      </c>
      <c r="EJ75" s="68">
        <f>IF($U75=0,0,IF($F75=4,0,IF($F75=3,0,IF(OR(95&gt;$R75,EI75&lt;=$I75),EI75,EI75-MIN(INT(ROUND(IF($F75=1,$C75*$J75,IF(IH75&gt;0,IH75*$K75,EI75*$J75))*IF(95=$R75,$S75,12)/12,6)+$B$4),EI75-$I75)))))</f>
        <v/>
      </c>
      <c r="EK75" s="68">
        <f>IF($U75=0,0,IF($F75=4,0,IF($F75=3,0,IF(OR(96&gt;$R75,EJ75&lt;=$I75),EJ75,EJ75-MIN(INT(ROUND(IF($F75=1,$C75*$J75,IF(II75&gt;0,II75*$K75,EJ75*$J75))*IF(96=$R75,$S75,12)/12,6)+$B$4),EJ75-$I75)))))</f>
        <v/>
      </c>
      <c r="EL75" s="68">
        <f>IF($U75=0,0,IF($F75=4,0,IF($F75=3,0,IF(OR(97&gt;$R75,EK75&lt;=$I75),EK75,EK75-MIN(INT(ROUND(IF($F75=1,$C75*$J75,IF(IJ75&gt;0,IJ75*$K75,EK75*$J75))*IF(97=$R75,$S75,12)/12,6)+$B$4),EK75-$I75)))))</f>
        <v/>
      </c>
      <c r="EM75" s="68">
        <f>IF($U75=0,0,IF($F75=4,0,IF($F75=3,0,IF(OR(98&gt;$R75,EL75&lt;=$I75),EL75,EL75-MIN(INT(ROUND(IF($F75=1,$C75*$J75,IF(IK75&gt;0,IK75*$K75,EL75*$J75))*IF(98=$R75,$S75,12)/12,6)+$B$4),EL75-$I75)))))</f>
        <v/>
      </c>
      <c r="EN75" s="68">
        <f>IF($U75=0,0,IF($F75=4,0,IF($F75=3,0,IF(OR(99&gt;$R75,EM75&lt;=$I75),EM75,EM75-MIN(INT(ROUND(IF($F75=1,$C75*$J75,IF(IL75&gt;0,IL75*$K75,EM75*$J75))*IF(99=$R75,$S75,12)/12,6)+$B$4),EM75-$I75)))))</f>
        <v/>
      </c>
      <c r="EO75" s="68">
        <f>IF($U75=0,0,IF($F75=4,0,IF($F75=3,0,IF(OR(100&gt;$R75,EN75&lt;=$I75),EN75,EN75-MIN(INT(ROUND(IF($F75=1,$C75*$J75,IF(IM75&gt;0,IM75*$K75,EN75*$J75))*IF(100=$R75,$S75,12)/12,6)+$B$4),EN75-$I75)))))</f>
        <v/>
      </c>
      <c r="EP75" s="68">
        <f>IF($U75=0,0,IF($F75=4,0,IF($F75=3,0,IF(OR(101&gt;$R75,EO75&lt;=$I75),EO75,EO75-MIN(INT(ROUND(IF($F75=1,$C75*$J75,IF(IN75&gt;0,IN75*$K75,EO75*$J75))*IF(101=$R75,$S75,12)/12,6)+$B$4),EO75-$I75)))))</f>
        <v/>
      </c>
      <c r="EQ75" s="68" t="n"/>
      <c r="ER75" s="68">
        <f>IF(OR($U75=0,$F75&lt;&gt;2),0,IF(ROUND(AS75*$J75,6)&lt;ROUND($M75,6),AS75,0))</f>
        <v/>
      </c>
      <c r="ES75" s="68">
        <f>IF(OR($U75=0,$F75&lt;&gt;2),0,IF(ER75&gt;0,ER75,IF(ROUND(AT75*$J75,6)&lt;ROUND($M75,6),AT75,0)))</f>
        <v/>
      </c>
      <c r="ET75" s="68">
        <f>IF(OR($U75=0,$F75&lt;&gt;2),0,IF(ES75&gt;0,ES75,IF(ROUND(AU75*$J75,6)&lt;ROUND($M75,6),AU75,0)))</f>
        <v/>
      </c>
      <c r="EU75" s="68">
        <f>IF(OR($U75=0,$F75&lt;&gt;2),0,IF(ET75&gt;0,ET75,IF(ROUND(AV75*$J75,6)&lt;ROUND($M75,6),AV75,0)))</f>
        <v/>
      </c>
      <c r="EV75" s="68">
        <f>IF(OR($U75=0,$F75&lt;&gt;2),0,IF(EU75&gt;0,EU75,IF(ROUND(AW75*$J75,6)&lt;ROUND($M75,6),AW75,0)))</f>
        <v/>
      </c>
      <c r="EW75" s="68">
        <f>IF(OR($U75=0,$F75&lt;&gt;2),0,IF(EV75&gt;0,EV75,IF(ROUND(AX75*$J75,6)&lt;ROUND($M75,6),AX75,0)))</f>
        <v/>
      </c>
      <c r="EX75" s="68">
        <f>IF(OR($U75=0,$F75&lt;&gt;2),0,IF(EW75&gt;0,EW75,IF(ROUND(AY75*$J75,6)&lt;ROUND($M75,6),AY75,0)))</f>
        <v/>
      </c>
      <c r="EY75" s="68">
        <f>IF(OR($U75=0,$F75&lt;&gt;2),0,IF(EX75&gt;0,EX75,IF(ROUND(AZ75*$J75,6)&lt;ROUND($M75,6),AZ75,0)))</f>
        <v/>
      </c>
      <c r="EZ75" s="68">
        <f>IF(OR($U75=0,$F75&lt;&gt;2),0,IF(EY75&gt;0,EY75,IF(ROUND(BA75*$J75,6)&lt;ROUND($M75,6),BA75,0)))</f>
        <v/>
      </c>
      <c r="FA75" s="68">
        <f>IF(OR($U75=0,$F75&lt;&gt;2),0,IF(EZ75&gt;0,EZ75,IF(ROUND(BB75*$J75,6)&lt;ROUND($M75,6),BB75,0)))</f>
        <v/>
      </c>
      <c r="FB75" s="68">
        <f>IF(OR($U75=0,$F75&lt;&gt;2),0,IF(FA75&gt;0,FA75,IF(ROUND(BC75*$J75,6)&lt;ROUND($M75,6),BC75,0)))</f>
        <v/>
      </c>
      <c r="FC75" s="68">
        <f>IF(OR($U75=0,$F75&lt;&gt;2),0,IF(FB75&gt;0,FB75,IF(ROUND(BD75*$J75,6)&lt;ROUND($M75,6),BD75,0)))</f>
        <v/>
      </c>
      <c r="FD75" s="68">
        <f>IF(OR($U75=0,$F75&lt;&gt;2),0,IF(FC75&gt;0,FC75,IF(ROUND(BE75*$J75,6)&lt;ROUND($M75,6),BE75,0)))</f>
        <v/>
      </c>
      <c r="FE75" s="68">
        <f>IF(OR($U75=0,$F75&lt;&gt;2),0,IF(FD75&gt;0,FD75,IF(ROUND(BF75*$J75,6)&lt;ROUND($M75,6),BF75,0)))</f>
        <v/>
      </c>
      <c r="FF75" s="68">
        <f>IF(OR($U75=0,$F75&lt;&gt;2),0,IF(FE75&gt;0,FE75,IF(ROUND(BG75*$J75,6)&lt;ROUND($M75,6),BG75,0)))</f>
        <v/>
      </c>
      <c r="FG75" s="68">
        <f>IF(OR($U75=0,$F75&lt;&gt;2),0,IF(FF75&gt;0,FF75,IF(ROUND(BH75*$J75,6)&lt;ROUND($M75,6),BH75,0)))</f>
        <v/>
      </c>
      <c r="FH75" s="68">
        <f>IF(OR($U75=0,$F75&lt;&gt;2),0,IF(FG75&gt;0,FG75,IF(ROUND(BI75*$J75,6)&lt;ROUND($M75,6),BI75,0)))</f>
        <v/>
      </c>
      <c r="FI75" s="68">
        <f>IF(OR($U75=0,$F75&lt;&gt;2),0,IF(FH75&gt;0,FH75,IF(ROUND(BJ75*$J75,6)&lt;ROUND($M75,6),BJ75,0)))</f>
        <v/>
      </c>
      <c r="FJ75" s="68">
        <f>IF(OR($U75=0,$F75&lt;&gt;2),0,IF(FI75&gt;0,FI75,IF(ROUND(BK75*$J75,6)&lt;ROUND($M75,6),BK75,0)))</f>
        <v/>
      </c>
      <c r="FK75" s="68">
        <f>IF(OR($U75=0,$F75&lt;&gt;2),0,IF(FJ75&gt;0,FJ75,IF(ROUND(BL75*$J75,6)&lt;ROUND($M75,6),BL75,0)))</f>
        <v/>
      </c>
      <c r="FL75" s="68">
        <f>IF(OR($U75=0,$F75&lt;&gt;2),0,IF(FK75&gt;0,FK75,IF(ROUND(BM75*$J75,6)&lt;ROUND($M75,6),BM75,0)))</f>
        <v/>
      </c>
      <c r="FM75" s="68">
        <f>IF(OR($U75=0,$F75&lt;&gt;2),0,IF(FL75&gt;0,FL75,IF(ROUND(BN75*$J75,6)&lt;ROUND($M75,6),BN75,0)))</f>
        <v/>
      </c>
      <c r="FN75" s="68">
        <f>IF(OR($U75=0,$F75&lt;&gt;2),0,IF(FM75&gt;0,FM75,IF(ROUND(BO75*$J75,6)&lt;ROUND($M75,6),BO75,0)))</f>
        <v/>
      </c>
      <c r="FO75" s="68">
        <f>IF(OR($U75=0,$F75&lt;&gt;2),0,IF(FN75&gt;0,FN75,IF(ROUND(BP75*$J75,6)&lt;ROUND($M75,6),BP75,0)))</f>
        <v/>
      </c>
      <c r="FP75" s="68">
        <f>IF(OR($U75=0,$F75&lt;&gt;2),0,IF(FO75&gt;0,FO75,IF(ROUND(BQ75*$J75,6)&lt;ROUND($M75,6),BQ75,0)))</f>
        <v/>
      </c>
      <c r="FQ75" s="68">
        <f>IF(OR($U75=0,$F75&lt;&gt;2),0,IF(FP75&gt;0,FP75,IF(ROUND(BR75*$J75,6)&lt;ROUND($M75,6),BR75,0)))</f>
        <v/>
      </c>
      <c r="FR75" s="68">
        <f>IF(OR($U75=0,$F75&lt;&gt;2),0,IF(FQ75&gt;0,FQ75,IF(ROUND(BS75*$J75,6)&lt;ROUND($M75,6),BS75,0)))</f>
        <v/>
      </c>
      <c r="FS75" s="68">
        <f>IF(OR($U75=0,$F75&lt;&gt;2),0,IF(FR75&gt;0,FR75,IF(ROUND(BT75*$J75,6)&lt;ROUND($M75,6),BT75,0)))</f>
        <v/>
      </c>
      <c r="FT75" s="68">
        <f>IF(OR($U75=0,$F75&lt;&gt;2),0,IF(FS75&gt;0,FS75,IF(ROUND(BU75*$J75,6)&lt;ROUND($M75,6),BU75,0)))</f>
        <v/>
      </c>
      <c r="FU75" s="68">
        <f>IF(OR($U75=0,$F75&lt;&gt;2),0,IF(FT75&gt;0,FT75,IF(ROUND(BV75*$J75,6)&lt;ROUND($M75,6),BV75,0)))</f>
        <v/>
      </c>
      <c r="FV75" s="68">
        <f>IF(OR($U75=0,$F75&lt;&gt;2),0,IF(FU75&gt;0,FU75,IF(ROUND(BW75*$J75,6)&lt;ROUND($M75,6),BW75,0)))</f>
        <v/>
      </c>
      <c r="FW75" s="68">
        <f>IF(OR($U75=0,$F75&lt;&gt;2),0,IF(FV75&gt;0,FV75,IF(ROUND(BX75*$J75,6)&lt;ROUND($M75,6),BX75,0)))</f>
        <v/>
      </c>
      <c r="FX75" s="68">
        <f>IF(OR($U75=0,$F75&lt;&gt;2),0,IF(FW75&gt;0,FW75,IF(ROUND(BY75*$J75,6)&lt;ROUND($M75,6),BY75,0)))</f>
        <v/>
      </c>
      <c r="FY75" s="68">
        <f>IF(OR($U75=0,$F75&lt;&gt;2),0,IF(FX75&gt;0,FX75,IF(ROUND(BZ75*$J75,6)&lt;ROUND($M75,6),BZ75,0)))</f>
        <v/>
      </c>
      <c r="FZ75" s="68">
        <f>IF(OR($U75=0,$F75&lt;&gt;2),0,IF(FY75&gt;0,FY75,IF(ROUND(CA75*$J75,6)&lt;ROUND($M75,6),CA75,0)))</f>
        <v/>
      </c>
      <c r="GA75" s="68">
        <f>IF(OR($U75=0,$F75&lt;&gt;2),0,IF(FZ75&gt;0,FZ75,IF(ROUND(CB75*$J75,6)&lt;ROUND($M75,6),CB75,0)))</f>
        <v/>
      </c>
      <c r="GB75" s="68">
        <f>IF(OR($U75=0,$F75&lt;&gt;2),0,IF(GA75&gt;0,GA75,IF(ROUND(CC75*$J75,6)&lt;ROUND($M75,6),CC75,0)))</f>
        <v/>
      </c>
      <c r="GC75" s="68">
        <f>IF(OR($U75=0,$F75&lt;&gt;2),0,IF(GB75&gt;0,GB75,IF(ROUND(CD75*$J75,6)&lt;ROUND($M75,6),CD75,0)))</f>
        <v/>
      </c>
      <c r="GD75" s="68">
        <f>IF(OR($U75=0,$F75&lt;&gt;2),0,IF(GC75&gt;0,GC75,IF(ROUND(CE75*$J75,6)&lt;ROUND($M75,6),CE75,0)))</f>
        <v/>
      </c>
      <c r="GE75" s="68">
        <f>IF(OR($U75=0,$F75&lt;&gt;2),0,IF(GD75&gt;0,GD75,IF(ROUND(CF75*$J75,6)&lt;ROUND($M75,6),CF75,0)))</f>
        <v/>
      </c>
      <c r="GF75" s="68">
        <f>IF(OR($U75=0,$F75&lt;&gt;2),0,IF(GE75&gt;0,GE75,IF(ROUND(CG75*$J75,6)&lt;ROUND($M75,6),CG75,0)))</f>
        <v/>
      </c>
      <c r="GG75" s="68">
        <f>IF(OR($U75=0,$F75&lt;&gt;2),0,IF(GF75&gt;0,GF75,IF(ROUND(CH75*$J75,6)&lt;ROUND($M75,6),CH75,0)))</f>
        <v/>
      </c>
      <c r="GH75" s="68">
        <f>IF(OR($U75=0,$F75&lt;&gt;2),0,IF(GG75&gt;0,GG75,IF(ROUND(CI75*$J75,6)&lt;ROUND($M75,6),CI75,0)))</f>
        <v/>
      </c>
      <c r="GI75" s="68">
        <f>IF(OR($U75=0,$F75&lt;&gt;2),0,IF(GH75&gt;0,GH75,IF(ROUND(CJ75*$J75,6)&lt;ROUND($M75,6),CJ75,0)))</f>
        <v/>
      </c>
      <c r="GJ75" s="68">
        <f>IF(OR($U75=0,$F75&lt;&gt;2),0,IF(GI75&gt;0,GI75,IF(ROUND(CK75*$J75,6)&lt;ROUND($M75,6),CK75,0)))</f>
        <v/>
      </c>
      <c r="GK75" s="68">
        <f>IF(OR($U75=0,$F75&lt;&gt;2),0,IF(GJ75&gt;0,GJ75,IF(ROUND(CL75*$J75,6)&lt;ROUND($M75,6),CL75,0)))</f>
        <v/>
      </c>
      <c r="GL75" s="68">
        <f>IF(OR($U75=0,$F75&lt;&gt;2),0,IF(GK75&gt;0,GK75,IF(ROUND(CM75*$J75,6)&lt;ROUND($M75,6),CM75,0)))</f>
        <v/>
      </c>
      <c r="GM75" s="68">
        <f>IF(OR($U75=0,$F75&lt;&gt;2),0,IF(GL75&gt;0,GL75,IF(ROUND(CN75*$J75,6)&lt;ROUND($M75,6),CN75,0)))</f>
        <v/>
      </c>
      <c r="GN75" s="68">
        <f>IF(OR($U75=0,$F75&lt;&gt;2),0,IF(GM75&gt;0,GM75,IF(ROUND(CO75*$J75,6)&lt;ROUND($M75,6),CO75,0)))</f>
        <v/>
      </c>
      <c r="GO75" s="68">
        <f>IF(OR($U75=0,$F75&lt;&gt;2),0,IF(GN75&gt;0,GN75,IF(ROUND(CP75*$J75,6)&lt;ROUND($M75,6),CP75,0)))</f>
        <v/>
      </c>
      <c r="GP75" s="68">
        <f>IF(OR($U75=0,$F75&lt;&gt;2),0,IF(GO75&gt;0,GO75,IF(ROUND(CQ75*$J75,6)&lt;ROUND($M75,6),CQ75,0)))</f>
        <v/>
      </c>
      <c r="GQ75" s="68">
        <f>IF(OR($U75=0,$F75&lt;&gt;2),0,IF(GP75&gt;0,GP75,IF(ROUND(CR75*$J75,6)&lt;ROUND($M75,6),CR75,0)))</f>
        <v/>
      </c>
      <c r="GR75" s="68">
        <f>IF(OR($U75=0,$F75&lt;&gt;2),0,IF(GQ75&gt;0,GQ75,IF(ROUND(CS75*$J75,6)&lt;ROUND($M75,6),CS75,0)))</f>
        <v/>
      </c>
      <c r="GS75" s="68">
        <f>IF(OR($U75=0,$F75&lt;&gt;2),0,IF(GR75&gt;0,GR75,IF(ROUND(CT75*$J75,6)&lt;ROUND($M75,6),CT75,0)))</f>
        <v/>
      </c>
      <c r="GT75" s="68">
        <f>IF(OR($U75=0,$F75&lt;&gt;2),0,IF(GS75&gt;0,GS75,IF(ROUND(CU75*$J75,6)&lt;ROUND($M75,6),CU75,0)))</f>
        <v/>
      </c>
      <c r="GU75" s="68">
        <f>IF(OR($U75=0,$F75&lt;&gt;2),0,IF(GT75&gt;0,GT75,IF(ROUND(CV75*$J75,6)&lt;ROUND($M75,6),CV75,0)))</f>
        <v/>
      </c>
      <c r="GV75" s="68">
        <f>IF(OR($U75=0,$F75&lt;&gt;2),0,IF(GU75&gt;0,GU75,IF(ROUND(CW75*$J75,6)&lt;ROUND($M75,6),CW75,0)))</f>
        <v/>
      </c>
      <c r="GW75" s="68">
        <f>IF(OR($U75=0,$F75&lt;&gt;2),0,IF(GV75&gt;0,GV75,IF(ROUND(CX75*$J75,6)&lt;ROUND($M75,6),CX75,0)))</f>
        <v/>
      </c>
      <c r="GX75" s="68">
        <f>IF(OR($U75=0,$F75&lt;&gt;2),0,IF(GW75&gt;0,GW75,IF(ROUND(CY75*$J75,6)&lt;ROUND($M75,6),CY75,0)))</f>
        <v/>
      </c>
      <c r="GY75" s="68">
        <f>IF(OR($U75=0,$F75&lt;&gt;2),0,IF(GX75&gt;0,GX75,IF(ROUND(CZ75*$J75,6)&lt;ROUND($M75,6),CZ75,0)))</f>
        <v/>
      </c>
      <c r="GZ75" s="68">
        <f>IF(OR($U75=0,$F75&lt;&gt;2),0,IF(GY75&gt;0,GY75,IF(ROUND(DA75*$J75,6)&lt;ROUND($M75,6),DA75,0)))</f>
        <v/>
      </c>
      <c r="HA75" s="68">
        <f>IF(OR($U75=0,$F75&lt;&gt;2),0,IF(GZ75&gt;0,GZ75,IF(ROUND(DB75*$J75,6)&lt;ROUND($M75,6),DB75,0)))</f>
        <v/>
      </c>
      <c r="HB75" s="68">
        <f>IF(OR($U75=0,$F75&lt;&gt;2),0,IF(HA75&gt;0,HA75,IF(ROUND(DC75*$J75,6)&lt;ROUND($M75,6),DC75,0)))</f>
        <v/>
      </c>
      <c r="HC75" s="68">
        <f>IF(OR($U75=0,$F75&lt;&gt;2),0,IF(HB75&gt;0,HB75,IF(ROUND(DD75*$J75,6)&lt;ROUND($M75,6),DD75,0)))</f>
        <v/>
      </c>
      <c r="HD75" s="68">
        <f>IF(OR($U75=0,$F75&lt;&gt;2),0,IF(HC75&gt;0,HC75,IF(ROUND(DE75*$J75,6)&lt;ROUND($M75,6),DE75,0)))</f>
        <v/>
      </c>
      <c r="HE75" s="68">
        <f>IF(OR($U75=0,$F75&lt;&gt;2),0,IF(HD75&gt;0,HD75,IF(ROUND(DF75*$J75,6)&lt;ROUND($M75,6),DF75,0)))</f>
        <v/>
      </c>
      <c r="HF75" s="68">
        <f>IF(OR($U75=0,$F75&lt;&gt;2),0,IF(HE75&gt;0,HE75,IF(ROUND(DG75*$J75,6)&lt;ROUND($M75,6),DG75,0)))</f>
        <v/>
      </c>
      <c r="HG75" s="68">
        <f>IF(OR($U75=0,$F75&lt;&gt;2),0,IF(HF75&gt;0,HF75,IF(ROUND(DH75*$J75,6)&lt;ROUND($M75,6),DH75,0)))</f>
        <v/>
      </c>
      <c r="HH75" s="68">
        <f>IF(OR($U75=0,$F75&lt;&gt;2),0,IF(HG75&gt;0,HG75,IF(ROUND(DI75*$J75,6)&lt;ROUND($M75,6),DI75,0)))</f>
        <v/>
      </c>
      <c r="HI75" s="68">
        <f>IF(OR($U75=0,$F75&lt;&gt;2),0,IF(HH75&gt;0,HH75,IF(ROUND(DJ75*$J75,6)&lt;ROUND($M75,6),DJ75,0)))</f>
        <v/>
      </c>
      <c r="HJ75" s="68">
        <f>IF(OR($U75=0,$F75&lt;&gt;2),0,IF(HI75&gt;0,HI75,IF(ROUND(DK75*$J75,6)&lt;ROUND($M75,6),DK75,0)))</f>
        <v/>
      </c>
      <c r="HK75" s="68">
        <f>IF(OR($U75=0,$F75&lt;&gt;2),0,IF(HJ75&gt;0,HJ75,IF(ROUND(DL75*$J75,6)&lt;ROUND($M75,6),DL75,0)))</f>
        <v/>
      </c>
      <c r="HL75" s="68">
        <f>IF(OR($U75=0,$F75&lt;&gt;2),0,IF(HK75&gt;0,HK75,IF(ROUND(DM75*$J75,6)&lt;ROUND($M75,6),DM75,0)))</f>
        <v/>
      </c>
      <c r="HM75" s="68">
        <f>IF(OR($U75=0,$F75&lt;&gt;2),0,IF(HL75&gt;0,HL75,IF(ROUND(DN75*$J75,6)&lt;ROUND($M75,6),DN75,0)))</f>
        <v/>
      </c>
      <c r="HN75" s="68">
        <f>IF(OR($U75=0,$F75&lt;&gt;2),0,IF(HM75&gt;0,HM75,IF(ROUND(DO75*$J75,6)&lt;ROUND($M75,6),DO75,0)))</f>
        <v/>
      </c>
      <c r="HO75" s="68">
        <f>IF(OR($U75=0,$F75&lt;&gt;2),0,IF(HN75&gt;0,HN75,IF(ROUND(DP75*$J75,6)&lt;ROUND($M75,6),DP75,0)))</f>
        <v/>
      </c>
      <c r="HP75" s="68">
        <f>IF(OR($U75=0,$F75&lt;&gt;2),0,IF(HO75&gt;0,HO75,IF(ROUND(DQ75*$J75,6)&lt;ROUND($M75,6),DQ75,0)))</f>
        <v/>
      </c>
      <c r="HQ75" s="68">
        <f>IF(OR($U75=0,$F75&lt;&gt;2),0,IF(HP75&gt;0,HP75,IF(ROUND(DR75*$J75,6)&lt;ROUND($M75,6),DR75,0)))</f>
        <v/>
      </c>
      <c r="HR75" s="68">
        <f>IF(OR($U75=0,$F75&lt;&gt;2),0,IF(HQ75&gt;0,HQ75,IF(ROUND(DS75*$J75,6)&lt;ROUND($M75,6),DS75,0)))</f>
        <v/>
      </c>
      <c r="HS75" s="68">
        <f>IF(OR($U75=0,$F75&lt;&gt;2),0,IF(HR75&gt;0,HR75,IF(ROUND(DT75*$J75,6)&lt;ROUND($M75,6),DT75,0)))</f>
        <v/>
      </c>
      <c r="HT75" s="68">
        <f>IF(OR($U75=0,$F75&lt;&gt;2),0,IF(HS75&gt;0,HS75,IF(ROUND(DU75*$J75,6)&lt;ROUND($M75,6),DU75,0)))</f>
        <v/>
      </c>
      <c r="HU75" s="68">
        <f>IF(OR($U75=0,$F75&lt;&gt;2),0,IF(HT75&gt;0,HT75,IF(ROUND(DV75*$J75,6)&lt;ROUND($M75,6),DV75,0)))</f>
        <v/>
      </c>
      <c r="HV75" s="68">
        <f>IF(OR($U75=0,$F75&lt;&gt;2),0,IF(HU75&gt;0,HU75,IF(ROUND(DW75*$J75,6)&lt;ROUND($M75,6),DW75,0)))</f>
        <v/>
      </c>
      <c r="HW75" s="68">
        <f>IF(OR($U75=0,$F75&lt;&gt;2),0,IF(HV75&gt;0,HV75,IF(ROUND(DX75*$J75,6)&lt;ROUND($M75,6),DX75,0)))</f>
        <v/>
      </c>
      <c r="HX75" s="68">
        <f>IF(OR($U75=0,$F75&lt;&gt;2),0,IF(HW75&gt;0,HW75,IF(ROUND(DY75*$J75,6)&lt;ROUND($M75,6),DY75,0)))</f>
        <v/>
      </c>
      <c r="HY75" s="68">
        <f>IF(OR($U75=0,$F75&lt;&gt;2),0,IF(HX75&gt;0,HX75,IF(ROUND(DZ75*$J75,6)&lt;ROUND($M75,6),DZ75,0)))</f>
        <v/>
      </c>
      <c r="HZ75" s="68">
        <f>IF(OR($U75=0,$F75&lt;&gt;2),0,IF(HY75&gt;0,HY75,IF(ROUND(EA75*$J75,6)&lt;ROUND($M75,6),EA75,0)))</f>
        <v/>
      </c>
      <c r="IA75" s="68">
        <f>IF(OR($U75=0,$F75&lt;&gt;2),0,IF(HZ75&gt;0,HZ75,IF(ROUND(EB75*$J75,6)&lt;ROUND($M75,6),EB75,0)))</f>
        <v/>
      </c>
      <c r="IB75" s="68">
        <f>IF(OR($U75=0,$F75&lt;&gt;2),0,IF(IA75&gt;0,IA75,IF(ROUND(EC75*$J75,6)&lt;ROUND($M75,6),EC75,0)))</f>
        <v/>
      </c>
      <c r="IC75" s="68">
        <f>IF(OR($U75=0,$F75&lt;&gt;2),0,IF(IB75&gt;0,IB75,IF(ROUND(ED75*$J75,6)&lt;ROUND($M75,6),ED75,0)))</f>
        <v/>
      </c>
      <c r="ID75" s="68">
        <f>IF(OR($U75=0,$F75&lt;&gt;2),0,IF(IC75&gt;0,IC75,IF(ROUND(EE75*$J75,6)&lt;ROUND($M75,6),EE75,0)))</f>
        <v/>
      </c>
      <c r="IE75" s="68">
        <f>IF(OR($U75=0,$F75&lt;&gt;2),0,IF(ID75&gt;0,ID75,IF(ROUND(EF75*$J75,6)&lt;ROUND($M75,6),EF75,0)))</f>
        <v/>
      </c>
      <c r="IF75" s="68">
        <f>IF(OR($U75=0,$F75&lt;&gt;2),0,IF(IE75&gt;0,IE75,IF(ROUND(EG75*$J75,6)&lt;ROUND($M75,6),EG75,0)))</f>
        <v/>
      </c>
      <c r="IG75" s="68">
        <f>IF(OR($U75=0,$F75&lt;&gt;2),0,IF(IF75&gt;0,IF75,IF(ROUND(EH75*$J75,6)&lt;ROUND($M75,6),EH75,0)))</f>
        <v/>
      </c>
      <c r="IH75" s="68">
        <f>IF(OR($U75=0,$F75&lt;&gt;2),0,IF(IG75&gt;0,IG75,IF(ROUND(EI75*$J75,6)&lt;ROUND($M75,6),EI75,0)))</f>
        <v/>
      </c>
      <c r="II75" s="68">
        <f>IF(OR($U75=0,$F75&lt;&gt;2),0,IF(IH75&gt;0,IH75,IF(ROUND(EJ75*$J75,6)&lt;ROUND($M75,6),EJ75,0)))</f>
        <v/>
      </c>
      <c r="IJ75" s="68">
        <f>IF(OR($U75=0,$F75&lt;&gt;2),0,IF(II75&gt;0,II75,IF(ROUND(EK75*$J75,6)&lt;ROUND($M75,6),EK75,0)))</f>
        <v/>
      </c>
      <c r="IK75" s="68">
        <f>IF(OR($U75=0,$F75&lt;&gt;2),0,IF(IJ75&gt;0,IJ75,IF(ROUND(EL75*$J75,6)&lt;ROUND($M75,6),EL75,0)))</f>
        <v/>
      </c>
      <c r="IL75" s="68">
        <f>IF(OR($U75=0,$F75&lt;&gt;2),0,IF(IK75&gt;0,IK75,IF(ROUND(EM75*$J75,6)&lt;ROUND($M75,6),EM75,0)))</f>
        <v/>
      </c>
      <c r="IM75" s="68">
        <f>IF(OR($U75=0,$F75&lt;&gt;2),0,IF(IL75&gt;0,IL75,IF(ROUND(EN75*$J75,6)&lt;ROUND($M75,6),EN75,0)))</f>
        <v/>
      </c>
      <c r="IN75" s="68">
        <f>IF(OR($U75=0,$F75&lt;&gt;2),0,IF(IM75&gt;0,IM75,IF(ROUND(EO75*$J75,6)&lt;ROUND($M75,6),EO75,0)))</f>
        <v/>
      </c>
    </row>
    <row r="76">
      <c r="A76" s="68" t="n">
        <v>71</v>
      </c>
      <c r="B76" s="68">
        <f>IF(OR(TRIM('固定資産台帳'!$B76)&lt;&gt;"",'固定資産台帳'!$E76&lt;&gt;"",'固定資産台帳'!$G76&lt;&gt;"",'固定資産台帳'!$H76&lt;&gt;""),1,0)</f>
        <v/>
      </c>
      <c r="C76" s="68">
        <f>IF(ISNUMBER('固定資産台帳'!$G76),MAX(ROUND('固定資産台帳'!$G76,0),0),0)</f>
        <v/>
      </c>
      <c r="D76" s="84">
        <f>IF(ISNUMBER('固定資産台帳'!$E76),INT('固定資産台帳'!$E76),0)</f>
        <v/>
      </c>
      <c r="E76" s="84">
        <f>IF(ISNUMBER('固定資産台帳'!$F76),INT('固定資産台帳'!$F76),$D76)</f>
        <v/>
      </c>
      <c r="F76" s="68">
        <f>IF('固定資産台帳'!$H76="定額法",1,IF(OR('固定資産台帳'!$H76="定率法",'固定資産台帳'!$H76="定率法（200%）",'固定資産台帳'!$H76="定率法（250%）"),2,IF('固定資産台帳'!$H76="一括償却（3年）",3,IF('固定資産台帳'!$H76="少額特例",4,0))))</f>
        <v/>
      </c>
      <c r="G76" s="68">
        <f>IF('固定資産台帳'!$H76="定率法（250%）",250,IF('固定資産台帳'!$H76="定率法（200%）",200,IF($D76&gt;=DATE(2012,4,1),200,250)))</f>
        <v/>
      </c>
      <c r="H76" s="68">
        <f>IF(ISNUMBER('固定資産台帳'!$I76),IF(AND('固定資産台帳'!$I76&gt;=2,'固定資産台帳'!$I76&lt;=100,'固定資産台帳'!$I76=INT('固定資産台帳'!$I76)),'固定資産台帳'!$I76,0),0)</f>
        <v/>
      </c>
      <c r="I76" s="68">
        <f>IF('固定資産台帳'!$C76="無形固定資産",0,1)</f>
        <v/>
      </c>
      <c r="J76" s="68">
        <f>IF(OR($H76=0,$F76=0,$F76&gt;2),0,IF($F76=1,INDEX('償却率表'!$B$6:$B$104,$H76-1),IF($G76=200,INDEX('償却率表'!$C$6:$C$104,$H76-1),INDEX('償却率表'!$F$6:$F$104,$H76-1))))</f>
        <v/>
      </c>
      <c r="K76" s="68">
        <f>IF(AND($F76=2,$H76&gt;0),IF($G76=200,INDEX('償却率表'!$D$6:$D$104,$H76-1),INDEX('償却率表'!$G$6:$G$104,$H76-1)),0)</f>
        <v/>
      </c>
      <c r="L76" s="68">
        <f>IF(AND($F76=2,$H76&gt;0),IF($G76=200,INDEX('償却率表'!$E$6:$E$104,$H76-1),INDEX('償却率表'!$H$6:$H$104,$H76-1)),0)</f>
        <v/>
      </c>
      <c r="M76" s="68">
        <f>$C76*$L76</f>
        <v/>
      </c>
      <c r="N76" s="68">
        <f>IF($B$1=1,1,IF('固定資産台帳'!$J76="",1,IF(ISNUMBER('固定資産台帳'!$J76),IF(AND('固定資産台帳'!$J76&gt;0,'固定資産台帳'!$J76&lt;=1),'固定資産台帳'!$J76,0),0)))</f>
        <v/>
      </c>
      <c r="O76" s="68">
        <f>IF($E76=0,0,YEAR($E76)-IF(MONTH($E76)&lt;$B$2,1,0))</f>
        <v/>
      </c>
      <c r="P76" s="68">
        <f>IF($E76=0,0,12-MOD(MONTH($E76)-$B$2,12))</f>
        <v/>
      </c>
      <c r="Q76" s="84">
        <f>IF(ISNUMBER('固定資産台帳'!$K76),INT('固定資産台帳'!$K76),0)</f>
        <v/>
      </c>
      <c r="R76" s="68">
        <f>IF(OR($Q76=0,$E76=0),999,YEAR($Q76)-IF(MONTH($Q76)&lt;$B$2,1,0)-$O76)</f>
        <v/>
      </c>
      <c r="S76" s="68">
        <f>IF($R76=999,0,MOD(MONTH($Q76)-$B$2,12)+1-IF($R76=0,12-$P76,0))</f>
        <v/>
      </c>
      <c r="T76" s="68">
        <f>IF($B76=0,0,IF($C76&lt;=0,1,IF($D76=0,2,IF($F76=0,3,IF(AND($F76&lt;=2,$H76=0),4,IF(AND($F76&lt;=2,$D76&lt;DATE(2007,4,1)),5,IF($E76&lt;$D76,6,IF(AND($Q76&gt;0,$Q76&lt;$E76),7,IF($N76=0,8,IF($B$3=0,9,0))))))))))</f>
        <v/>
      </c>
      <c r="U76" s="68">
        <f>IF(AND($B76=1,$T76=0),1,0)</f>
        <v/>
      </c>
      <c r="V76" s="68">
        <f>$B$3-$O76</f>
        <v/>
      </c>
      <c r="W76" s="68">
        <f>IF(AND($U76=1,$V76&gt;=0),1,0)</f>
        <v/>
      </c>
      <c r="X76" s="68">
        <f>IF($W76=0,0,IF($V76=0,$C76,INDEX($AS76:$EP76,MIN($V76,102))))</f>
        <v/>
      </c>
      <c r="Y76" s="68">
        <f>IF($W76=0,0,INDEX($AS76:$EP76,MIN($V76,101)+1))</f>
        <v/>
      </c>
      <c r="Z76" s="68">
        <f>$X76-$Y76</f>
        <v/>
      </c>
      <c r="AA76" s="68">
        <f>IF(AND($W76=1,$F76=2,$V76&gt;=1),INDEX($ER76:$IN76,MIN($V76,101)),0)</f>
        <v/>
      </c>
      <c r="AB76" s="68">
        <f>IF(OR($W76=0,$F76&gt;2,$Z76=0),0,IF($V76=0,IF($R76=0,$S76,$P76),IF($V76=$R76,$S76,12)))</f>
        <v/>
      </c>
      <c r="AC76" s="68">
        <f>IF($W76=0,0,INT(ROUND($Z76*$N76,6)+$B$4))</f>
        <v/>
      </c>
      <c r="AD76" s="68">
        <f>IF(AND($W76=1,$F76&lt;=2,$V76=$R76),1,0)</f>
        <v/>
      </c>
      <c r="AE76" s="68">
        <f>IF(AND($W76=1,$F76&lt;=2,$V76&gt;$R76),1,0)</f>
        <v/>
      </c>
      <c r="AF76" s="68">
        <f>IF(AND($W76=1,$AE76=0,OR($Z76&gt;0,$AD76=1)),1,0)</f>
        <v/>
      </c>
      <c r="AG76" s="68">
        <f>IF($AF76=1,SUM($AF$6:$AF76),0)</f>
        <v/>
      </c>
      <c r="AH76" s="68">
        <f>IF($T76=0,"",CHOOSE($T76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76" s="68">
        <f>IF(AND($F76=2,OR('固定資産台帳'!$C76="建物",'固定資産台帳'!$C76="無形固定資産",AND(OR('固定資産台帳'!$C76="建物附属設備",'固定資産台帳'!$C76="構築物"),$D76&gt;=DATE(2016,4,1)))),"この資産は定額法だけです（定率法は使えません）。","")&amp;IF(AND($F76=3,$C76&gt;=200000),"一括償却は20万円未満の資産だけです。","")&amp;IF(AND($F76=3,$B$1=0,$C76&lt;100000),"10万円未満は一括償却にせず、全額をその年の経費にします。","")&amp;IF(AND($F76=4,$C76&lt;100000),"10万円未満は少額特例ではなく、全額をその年の経費にします。","")&amp;IF(AND($F76=4,$D76&lt;DATE(2026,4,1),$C76&gt;=300000),"2026年3月31日までの取得で少額特例が使えるのは30万円未満です。","")&amp;IF(AND($F76=4,$D76&gt;=DATE(2026,4,1),$C76&gt;=400000),"少額特例は40万円未満の資産だけです。","")&amp;IF(AND($F76=4,OR($D76&lt;DATE(2006,4,1),$D76&gt;DATE(2029,3,31))),"少額特例は2006年4月1日〜2029年3月31日に取得した資産だけです。","")&amp;IF(AND($F76=2,$G76=250,$D76&gt;DATE(2012,12,31)),"250%定率法は2012年12月31日までの取得だけです。","")</f>
        <v/>
      </c>
      <c r="AJ76" s="68">
        <f>IF(AND($F76=2,'固定資産台帳'!$H76="定率法（200%）",$D76&lt;DATE(2012,4,1)),"2012年3月31日までの取得に200%を使うのは、経過措置の届出をした場合です。","")&amp;IF(AND($F76=2,'固定資産台帳'!$H76="定率法（250%）",$D76&gt;=DATE(2012,4,1),$D76&lt;=DATE(2012,12,31)),"2012年4〜12月の取得に250%を使うのは、経過措置を選んだ場合です。","")</f>
        <v/>
      </c>
      <c r="AK76" s="68">
        <f>IF($U76=0,"",IF($V76&lt;0,"表示している年より後に使い始める資産です。",IF($AE76=1,"売却・除却済みです。",IF($AD76=1,"この年に売却・除却。期末の帳簿価額 "&amp;TEXT($Y76,"#,##0")&amp;"円を帳簿から外します。",IF($F76=4,IF($V76=0,"少額特例：この年に全額を経費にします。","少額特例で経費にした資産です。"),IF($F76=3,IF($V76&gt;2,"一括償却は終わっています。","一括償却 "&amp;($V76+1)&amp;"年目（3年のうち）。"),IF($Z76=0,"償却済み（帳簿価額 "&amp;TEXT($Y76,"#,##0")&amp;"円）。",IF($AA76&gt;0,"改定償却率で計算（改定取得価額 "&amp;TEXT($AA76,"#,##0")&amp;"円）。",IF($V76=0,"この年に使い始め（"&amp;$AB76&amp;"か月分）。","")))))))))</f>
        <v/>
      </c>
      <c r="AL76" s="68">
        <f>IF(AND($U76=1,$F76=4,$V76=0),$C76,0)</f>
        <v/>
      </c>
      <c r="AM76" s="68">
        <f>IF($F76=2,INT(ROUND($M76,6)+$B$4),0)</f>
        <v/>
      </c>
      <c r="AN76" s="68">
        <f>IF($W76=0,0,IF($F76=2,IF($AA76&gt;0,$AA76,$X76),$C76))</f>
        <v/>
      </c>
      <c r="AO76" s="68">
        <f>IF($W76=0,"",IF($F76=3,"1/3",IF($F76=4,"―",IF($AA76&gt;0,$K76,$J76))))</f>
        <v/>
      </c>
      <c r="AP76" s="68" t="n"/>
      <c r="AQ76" s="68" t="n"/>
      <c r="AR76" s="68" t="n"/>
      <c r="AS76" s="68">
        <f>IF($U76=0,0,IF($F76=4,0,IF($F76=3,MAX($C76-INT(ROUND($C76/3,6)+$B$4),0),$C76-MIN(INT(ROUND($C76*$J76*IF($R76=0,$S76,$P76)/12,6)+$B$4),MAX($C76-$I76,0)))))</f>
        <v/>
      </c>
      <c r="AT76" s="68">
        <f>IF($U76=0,0,IF($F76=4,0,IF($F76=3,AS76-MIN(INT(ROUND($C76/3,6)+$B$4),AS76),IF(OR(1&gt;$R76,AS76&lt;=$I76),AS76,AS76-MIN(INT(ROUND(IF($F76=1,$C76*$J76,IF(ER76&gt;0,ER76*$K76,AS76*$J76))*IF(1=$R76,$S76,12)/12,6)+$B$4),AS76-$I76)))))</f>
        <v/>
      </c>
      <c r="AU76" s="68">
        <f>IF($U76=0,0,IF($F76=4,0,IF($F76=3,0,IF(OR(2&gt;$R76,AT76&lt;=$I76),AT76,AT76-MIN(INT(ROUND(IF($F76=1,$C76*$J76,IF(ES76&gt;0,ES76*$K76,AT76*$J76))*IF(2=$R76,$S76,12)/12,6)+$B$4),AT76-$I76)))))</f>
        <v/>
      </c>
      <c r="AV76" s="68">
        <f>IF($U76=0,0,IF($F76=4,0,IF($F76=3,0,IF(OR(3&gt;$R76,AU76&lt;=$I76),AU76,AU76-MIN(INT(ROUND(IF($F76=1,$C76*$J76,IF(ET76&gt;0,ET76*$K76,AU76*$J76))*IF(3=$R76,$S76,12)/12,6)+$B$4),AU76-$I76)))))</f>
        <v/>
      </c>
      <c r="AW76" s="68">
        <f>IF($U76=0,0,IF($F76=4,0,IF($F76=3,0,IF(OR(4&gt;$R76,AV76&lt;=$I76),AV76,AV76-MIN(INT(ROUND(IF($F76=1,$C76*$J76,IF(EU76&gt;0,EU76*$K76,AV76*$J76))*IF(4=$R76,$S76,12)/12,6)+$B$4),AV76-$I76)))))</f>
        <v/>
      </c>
      <c r="AX76" s="68">
        <f>IF($U76=0,0,IF($F76=4,0,IF($F76=3,0,IF(OR(5&gt;$R76,AW76&lt;=$I76),AW76,AW76-MIN(INT(ROUND(IF($F76=1,$C76*$J76,IF(EV76&gt;0,EV76*$K76,AW76*$J76))*IF(5=$R76,$S76,12)/12,6)+$B$4),AW76-$I76)))))</f>
        <v/>
      </c>
      <c r="AY76" s="68">
        <f>IF($U76=0,0,IF($F76=4,0,IF($F76=3,0,IF(OR(6&gt;$R76,AX76&lt;=$I76),AX76,AX76-MIN(INT(ROUND(IF($F76=1,$C76*$J76,IF(EW76&gt;0,EW76*$K76,AX76*$J76))*IF(6=$R76,$S76,12)/12,6)+$B$4),AX76-$I76)))))</f>
        <v/>
      </c>
      <c r="AZ76" s="68">
        <f>IF($U76=0,0,IF($F76=4,0,IF($F76=3,0,IF(OR(7&gt;$R76,AY76&lt;=$I76),AY76,AY76-MIN(INT(ROUND(IF($F76=1,$C76*$J76,IF(EX76&gt;0,EX76*$K76,AY76*$J76))*IF(7=$R76,$S76,12)/12,6)+$B$4),AY76-$I76)))))</f>
        <v/>
      </c>
      <c r="BA76" s="68">
        <f>IF($U76=0,0,IF($F76=4,0,IF($F76=3,0,IF(OR(8&gt;$R76,AZ76&lt;=$I76),AZ76,AZ76-MIN(INT(ROUND(IF($F76=1,$C76*$J76,IF(EY76&gt;0,EY76*$K76,AZ76*$J76))*IF(8=$R76,$S76,12)/12,6)+$B$4),AZ76-$I76)))))</f>
        <v/>
      </c>
      <c r="BB76" s="68">
        <f>IF($U76=0,0,IF($F76=4,0,IF($F76=3,0,IF(OR(9&gt;$R76,BA76&lt;=$I76),BA76,BA76-MIN(INT(ROUND(IF($F76=1,$C76*$J76,IF(EZ76&gt;0,EZ76*$K76,BA76*$J76))*IF(9=$R76,$S76,12)/12,6)+$B$4),BA76-$I76)))))</f>
        <v/>
      </c>
      <c r="BC76" s="68">
        <f>IF($U76=0,0,IF($F76=4,0,IF($F76=3,0,IF(OR(10&gt;$R76,BB76&lt;=$I76),BB76,BB76-MIN(INT(ROUND(IF($F76=1,$C76*$J76,IF(FA76&gt;0,FA76*$K76,BB76*$J76))*IF(10=$R76,$S76,12)/12,6)+$B$4),BB76-$I76)))))</f>
        <v/>
      </c>
      <c r="BD76" s="68">
        <f>IF($U76=0,0,IF($F76=4,0,IF($F76=3,0,IF(OR(11&gt;$R76,BC76&lt;=$I76),BC76,BC76-MIN(INT(ROUND(IF($F76=1,$C76*$J76,IF(FB76&gt;0,FB76*$K76,BC76*$J76))*IF(11=$R76,$S76,12)/12,6)+$B$4),BC76-$I76)))))</f>
        <v/>
      </c>
      <c r="BE76" s="68">
        <f>IF($U76=0,0,IF($F76=4,0,IF($F76=3,0,IF(OR(12&gt;$R76,BD76&lt;=$I76),BD76,BD76-MIN(INT(ROUND(IF($F76=1,$C76*$J76,IF(FC76&gt;0,FC76*$K76,BD76*$J76))*IF(12=$R76,$S76,12)/12,6)+$B$4),BD76-$I76)))))</f>
        <v/>
      </c>
      <c r="BF76" s="68">
        <f>IF($U76=0,0,IF($F76=4,0,IF($F76=3,0,IF(OR(13&gt;$R76,BE76&lt;=$I76),BE76,BE76-MIN(INT(ROUND(IF($F76=1,$C76*$J76,IF(FD76&gt;0,FD76*$K76,BE76*$J76))*IF(13=$R76,$S76,12)/12,6)+$B$4),BE76-$I76)))))</f>
        <v/>
      </c>
      <c r="BG76" s="68">
        <f>IF($U76=0,0,IF($F76=4,0,IF($F76=3,0,IF(OR(14&gt;$R76,BF76&lt;=$I76),BF76,BF76-MIN(INT(ROUND(IF($F76=1,$C76*$J76,IF(FE76&gt;0,FE76*$K76,BF76*$J76))*IF(14=$R76,$S76,12)/12,6)+$B$4),BF76-$I76)))))</f>
        <v/>
      </c>
      <c r="BH76" s="68">
        <f>IF($U76=0,0,IF($F76=4,0,IF($F76=3,0,IF(OR(15&gt;$R76,BG76&lt;=$I76),BG76,BG76-MIN(INT(ROUND(IF($F76=1,$C76*$J76,IF(FF76&gt;0,FF76*$K76,BG76*$J76))*IF(15=$R76,$S76,12)/12,6)+$B$4),BG76-$I76)))))</f>
        <v/>
      </c>
      <c r="BI76" s="68">
        <f>IF($U76=0,0,IF($F76=4,0,IF($F76=3,0,IF(OR(16&gt;$R76,BH76&lt;=$I76),BH76,BH76-MIN(INT(ROUND(IF($F76=1,$C76*$J76,IF(FG76&gt;0,FG76*$K76,BH76*$J76))*IF(16=$R76,$S76,12)/12,6)+$B$4),BH76-$I76)))))</f>
        <v/>
      </c>
      <c r="BJ76" s="68">
        <f>IF($U76=0,0,IF($F76=4,0,IF($F76=3,0,IF(OR(17&gt;$R76,BI76&lt;=$I76),BI76,BI76-MIN(INT(ROUND(IF($F76=1,$C76*$J76,IF(FH76&gt;0,FH76*$K76,BI76*$J76))*IF(17=$R76,$S76,12)/12,6)+$B$4),BI76-$I76)))))</f>
        <v/>
      </c>
      <c r="BK76" s="68">
        <f>IF($U76=0,0,IF($F76=4,0,IF($F76=3,0,IF(OR(18&gt;$R76,BJ76&lt;=$I76),BJ76,BJ76-MIN(INT(ROUND(IF($F76=1,$C76*$J76,IF(FI76&gt;0,FI76*$K76,BJ76*$J76))*IF(18=$R76,$S76,12)/12,6)+$B$4),BJ76-$I76)))))</f>
        <v/>
      </c>
      <c r="BL76" s="68">
        <f>IF($U76=0,0,IF($F76=4,0,IF($F76=3,0,IF(OR(19&gt;$R76,BK76&lt;=$I76),BK76,BK76-MIN(INT(ROUND(IF($F76=1,$C76*$J76,IF(FJ76&gt;0,FJ76*$K76,BK76*$J76))*IF(19=$R76,$S76,12)/12,6)+$B$4),BK76-$I76)))))</f>
        <v/>
      </c>
      <c r="BM76" s="68">
        <f>IF($U76=0,0,IF($F76=4,0,IF($F76=3,0,IF(OR(20&gt;$R76,BL76&lt;=$I76),BL76,BL76-MIN(INT(ROUND(IF($F76=1,$C76*$J76,IF(FK76&gt;0,FK76*$K76,BL76*$J76))*IF(20=$R76,$S76,12)/12,6)+$B$4),BL76-$I76)))))</f>
        <v/>
      </c>
      <c r="BN76" s="68">
        <f>IF($U76=0,0,IF($F76=4,0,IF($F76=3,0,IF(OR(21&gt;$R76,BM76&lt;=$I76),BM76,BM76-MIN(INT(ROUND(IF($F76=1,$C76*$J76,IF(FL76&gt;0,FL76*$K76,BM76*$J76))*IF(21=$R76,$S76,12)/12,6)+$B$4),BM76-$I76)))))</f>
        <v/>
      </c>
      <c r="BO76" s="68">
        <f>IF($U76=0,0,IF($F76=4,0,IF($F76=3,0,IF(OR(22&gt;$R76,BN76&lt;=$I76),BN76,BN76-MIN(INT(ROUND(IF($F76=1,$C76*$J76,IF(FM76&gt;0,FM76*$K76,BN76*$J76))*IF(22=$R76,$S76,12)/12,6)+$B$4),BN76-$I76)))))</f>
        <v/>
      </c>
      <c r="BP76" s="68">
        <f>IF($U76=0,0,IF($F76=4,0,IF($F76=3,0,IF(OR(23&gt;$R76,BO76&lt;=$I76),BO76,BO76-MIN(INT(ROUND(IF($F76=1,$C76*$J76,IF(FN76&gt;0,FN76*$K76,BO76*$J76))*IF(23=$R76,$S76,12)/12,6)+$B$4),BO76-$I76)))))</f>
        <v/>
      </c>
      <c r="BQ76" s="68">
        <f>IF($U76=0,0,IF($F76=4,0,IF($F76=3,0,IF(OR(24&gt;$R76,BP76&lt;=$I76),BP76,BP76-MIN(INT(ROUND(IF($F76=1,$C76*$J76,IF(FO76&gt;0,FO76*$K76,BP76*$J76))*IF(24=$R76,$S76,12)/12,6)+$B$4),BP76-$I76)))))</f>
        <v/>
      </c>
      <c r="BR76" s="68">
        <f>IF($U76=0,0,IF($F76=4,0,IF($F76=3,0,IF(OR(25&gt;$R76,BQ76&lt;=$I76),BQ76,BQ76-MIN(INT(ROUND(IF($F76=1,$C76*$J76,IF(FP76&gt;0,FP76*$K76,BQ76*$J76))*IF(25=$R76,$S76,12)/12,6)+$B$4),BQ76-$I76)))))</f>
        <v/>
      </c>
      <c r="BS76" s="68">
        <f>IF($U76=0,0,IF($F76=4,0,IF($F76=3,0,IF(OR(26&gt;$R76,BR76&lt;=$I76),BR76,BR76-MIN(INT(ROUND(IF($F76=1,$C76*$J76,IF(FQ76&gt;0,FQ76*$K76,BR76*$J76))*IF(26=$R76,$S76,12)/12,6)+$B$4),BR76-$I76)))))</f>
        <v/>
      </c>
      <c r="BT76" s="68">
        <f>IF($U76=0,0,IF($F76=4,0,IF($F76=3,0,IF(OR(27&gt;$R76,BS76&lt;=$I76),BS76,BS76-MIN(INT(ROUND(IF($F76=1,$C76*$J76,IF(FR76&gt;0,FR76*$K76,BS76*$J76))*IF(27=$R76,$S76,12)/12,6)+$B$4),BS76-$I76)))))</f>
        <v/>
      </c>
      <c r="BU76" s="68">
        <f>IF($U76=0,0,IF($F76=4,0,IF($F76=3,0,IF(OR(28&gt;$R76,BT76&lt;=$I76),BT76,BT76-MIN(INT(ROUND(IF($F76=1,$C76*$J76,IF(FS76&gt;0,FS76*$K76,BT76*$J76))*IF(28=$R76,$S76,12)/12,6)+$B$4),BT76-$I76)))))</f>
        <v/>
      </c>
      <c r="BV76" s="68">
        <f>IF($U76=0,0,IF($F76=4,0,IF($F76=3,0,IF(OR(29&gt;$R76,BU76&lt;=$I76),BU76,BU76-MIN(INT(ROUND(IF($F76=1,$C76*$J76,IF(FT76&gt;0,FT76*$K76,BU76*$J76))*IF(29=$R76,$S76,12)/12,6)+$B$4),BU76-$I76)))))</f>
        <v/>
      </c>
      <c r="BW76" s="68">
        <f>IF($U76=0,0,IF($F76=4,0,IF($F76=3,0,IF(OR(30&gt;$R76,BV76&lt;=$I76),BV76,BV76-MIN(INT(ROUND(IF($F76=1,$C76*$J76,IF(FU76&gt;0,FU76*$K76,BV76*$J76))*IF(30=$R76,$S76,12)/12,6)+$B$4),BV76-$I76)))))</f>
        <v/>
      </c>
      <c r="BX76" s="68">
        <f>IF($U76=0,0,IF($F76=4,0,IF($F76=3,0,IF(OR(31&gt;$R76,BW76&lt;=$I76),BW76,BW76-MIN(INT(ROUND(IF($F76=1,$C76*$J76,IF(FV76&gt;0,FV76*$K76,BW76*$J76))*IF(31=$R76,$S76,12)/12,6)+$B$4),BW76-$I76)))))</f>
        <v/>
      </c>
      <c r="BY76" s="68">
        <f>IF($U76=0,0,IF($F76=4,0,IF($F76=3,0,IF(OR(32&gt;$R76,BX76&lt;=$I76),BX76,BX76-MIN(INT(ROUND(IF($F76=1,$C76*$J76,IF(FW76&gt;0,FW76*$K76,BX76*$J76))*IF(32=$R76,$S76,12)/12,6)+$B$4),BX76-$I76)))))</f>
        <v/>
      </c>
      <c r="BZ76" s="68">
        <f>IF($U76=0,0,IF($F76=4,0,IF($F76=3,0,IF(OR(33&gt;$R76,BY76&lt;=$I76),BY76,BY76-MIN(INT(ROUND(IF($F76=1,$C76*$J76,IF(FX76&gt;0,FX76*$K76,BY76*$J76))*IF(33=$R76,$S76,12)/12,6)+$B$4),BY76-$I76)))))</f>
        <v/>
      </c>
      <c r="CA76" s="68">
        <f>IF($U76=0,0,IF($F76=4,0,IF($F76=3,0,IF(OR(34&gt;$R76,BZ76&lt;=$I76),BZ76,BZ76-MIN(INT(ROUND(IF($F76=1,$C76*$J76,IF(FY76&gt;0,FY76*$K76,BZ76*$J76))*IF(34=$R76,$S76,12)/12,6)+$B$4),BZ76-$I76)))))</f>
        <v/>
      </c>
      <c r="CB76" s="68">
        <f>IF($U76=0,0,IF($F76=4,0,IF($F76=3,0,IF(OR(35&gt;$R76,CA76&lt;=$I76),CA76,CA76-MIN(INT(ROUND(IF($F76=1,$C76*$J76,IF(FZ76&gt;0,FZ76*$K76,CA76*$J76))*IF(35=$R76,$S76,12)/12,6)+$B$4),CA76-$I76)))))</f>
        <v/>
      </c>
      <c r="CC76" s="68">
        <f>IF($U76=0,0,IF($F76=4,0,IF($F76=3,0,IF(OR(36&gt;$R76,CB76&lt;=$I76),CB76,CB76-MIN(INT(ROUND(IF($F76=1,$C76*$J76,IF(GA76&gt;0,GA76*$K76,CB76*$J76))*IF(36=$R76,$S76,12)/12,6)+$B$4),CB76-$I76)))))</f>
        <v/>
      </c>
      <c r="CD76" s="68">
        <f>IF($U76=0,0,IF($F76=4,0,IF($F76=3,0,IF(OR(37&gt;$R76,CC76&lt;=$I76),CC76,CC76-MIN(INT(ROUND(IF($F76=1,$C76*$J76,IF(GB76&gt;0,GB76*$K76,CC76*$J76))*IF(37=$R76,$S76,12)/12,6)+$B$4),CC76-$I76)))))</f>
        <v/>
      </c>
      <c r="CE76" s="68">
        <f>IF($U76=0,0,IF($F76=4,0,IF($F76=3,0,IF(OR(38&gt;$R76,CD76&lt;=$I76),CD76,CD76-MIN(INT(ROUND(IF($F76=1,$C76*$J76,IF(GC76&gt;0,GC76*$K76,CD76*$J76))*IF(38=$R76,$S76,12)/12,6)+$B$4),CD76-$I76)))))</f>
        <v/>
      </c>
      <c r="CF76" s="68">
        <f>IF($U76=0,0,IF($F76=4,0,IF($F76=3,0,IF(OR(39&gt;$R76,CE76&lt;=$I76),CE76,CE76-MIN(INT(ROUND(IF($F76=1,$C76*$J76,IF(GD76&gt;0,GD76*$K76,CE76*$J76))*IF(39=$R76,$S76,12)/12,6)+$B$4),CE76-$I76)))))</f>
        <v/>
      </c>
      <c r="CG76" s="68">
        <f>IF($U76=0,0,IF($F76=4,0,IF($F76=3,0,IF(OR(40&gt;$R76,CF76&lt;=$I76),CF76,CF76-MIN(INT(ROUND(IF($F76=1,$C76*$J76,IF(GE76&gt;0,GE76*$K76,CF76*$J76))*IF(40=$R76,$S76,12)/12,6)+$B$4),CF76-$I76)))))</f>
        <v/>
      </c>
      <c r="CH76" s="68">
        <f>IF($U76=0,0,IF($F76=4,0,IF($F76=3,0,IF(OR(41&gt;$R76,CG76&lt;=$I76),CG76,CG76-MIN(INT(ROUND(IF($F76=1,$C76*$J76,IF(GF76&gt;0,GF76*$K76,CG76*$J76))*IF(41=$R76,$S76,12)/12,6)+$B$4),CG76-$I76)))))</f>
        <v/>
      </c>
      <c r="CI76" s="68">
        <f>IF($U76=0,0,IF($F76=4,0,IF($F76=3,0,IF(OR(42&gt;$R76,CH76&lt;=$I76),CH76,CH76-MIN(INT(ROUND(IF($F76=1,$C76*$J76,IF(GG76&gt;0,GG76*$K76,CH76*$J76))*IF(42=$R76,$S76,12)/12,6)+$B$4),CH76-$I76)))))</f>
        <v/>
      </c>
      <c r="CJ76" s="68">
        <f>IF($U76=0,0,IF($F76=4,0,IF($F76=3,0,IF(OR(43&gt;$R76,CI76&lt;=$I76),CI76,CI76-MIN(INT(ROUND(IF($F76=1,$C76*$J76,IF(GH76&gt;0,GH76*$K76,CI76*$J76))*IF(43=$R76,$S76,12)/12,6)+$B$4),CI76-$I76)))))</f>
        <v/>
      </c>
      <c r="CK76" s="68">
        <f>IF($U76=0,0,IF($F76=4,0,IF($F76=3,0,IF(OR(44&gt;$R76,CJ76&lt;=$I76),CJ76,CJ76-MIN(INT(ROUND(IF($F76=1,$C76*$J76,IF(GI76&gt;0,GI76*$K76,CJ76*$J76))*IF(44=$R76,$S76,12)/12,6)+$B$4),CJ76-$I76)))))</f>
        <v/>
      </c>
      <c r="CL76" s="68">
        <f>IF($U76=0,0,IF($F76=4,0,IF($F76=3,0,IF(OR(45&gt;$R76,CK76&lt;=$I76),CK76,CK76-MIN(INT(ROUND(IF($F76=1,$C76*$J76,IF(GJ76&gt;0,GJ76*$K76,CK76*$J76))*IF(45=$R76,$S76,12)/12,6)+$B$4),CK76-$I76)))))</f>
        <v/>
      </c>
      <c r="CM76" s="68">
        <f>IF($U76=0,0,IF($F76=4,0,IF($F76=3,0,IF(OR(46&gt;$R76,CL76&lt;=$I76),CL76,CL76-MIN(INT(ROUND(IF($F76=1,$C76*$J76,IF(GK76&gt;0,GK76*$K76,CL76*$J76))*IF(46=$R76,$S76,12)/12,6)+$B$4),CL76-$I76)))))</f>
        <v/>
      </c>
      <c r="CN76" s="68">
        <f>IF($U76=0,0,IF($F76=4,0,IF($F76=3,0,IF(OR(47&gt;$R76,CM76&lt;=$I76),CM76,CM76-MIN(INT(ROUND(IF($F76=1,$C76*$J76,IF(GL76&gt;0,GL76*$K76,CM76*$J76))*IF(47=$R76,$S76,12)/12,6)+$B$4),CM76-$I76)))))</f>
        <v/>
      </c>
      <c r="CO76" s="68">
        <f>IF($U76=0,0,IF($F76=4,0,IF($F76=3,0,IF(OR(48&gt;$R76,CN76&lt;=$I76),CN76,CN76-MIN(INT(ROUND(IF($F76=1,$C76*$J76,IF(GM76&gt;0,GM76*$K76,CN76*$J76))*IF(48=$R76,$S76,12)/12,6)+$B$4),CN76-$I76)))))</f>
        <v/>
      </c>
      <c r="CP76" s="68">
        <f>IF($U76=0,0,IF($F76=4,0,IF($F76=3,0,IF(OR(49&gt;$R76,CO76&lt;=$I76),CO76,CO76-MIN(INT(ROUND(IF($F76=1,$C76*$J76,IF(GN76&gt;0,GN76*$K76,CO76*$J76))*IF(49=$R76,$S76,12)/12,6)+$B$4),CO76-$I76)))))</f>
        <v/>
      </c>
      <c r="CQ76" s="68">
        <f>IF($U76=0,0,IF($F76=4,0,IF($F76=3,0,IF(OR(50&gt;$R76,CP76&lt;=$I76),CP76,CP76-MIN(INT(ROUND(IF($F76=1,$C76*$J76,IF(GO76&gt;0,GO76*$K76,CP76*$J76))*IF(50=$R76,$S76,12)/12,6)+$B$4),CP76-$I76)))))</f>
        <v/>
      </c>
      <c r="CR76" s="68">
        <f>IF($U76=0,0,IF($F76=4,0,IF($F76=3,0,IF(OR(51&gt;$R76,CQ76&lt;=$I76),CQ76,CQ76-MIN(INT(ROUND(IF($F76=1,$C76*$J76,IF(GP76&gt;0,GP76*$K76,CQ76*$J76))*IF(51=$R76,$S76,12)/12,6)+$B$4),CQ76-$I76)))))</f>
        <v/>
      </c>
      <c r="CS76" s="68">
        <f>IF($U76=0,0,IF($F76=4,0,IF($F76=3,0,IF(OR(52&gt;$R76,CR76&lt;=$I76),CR76,CR76-MIN(INT(ROUND(IF($F76=1,$C76*$J76,IF(GQ76&gt;0,GQ76*$K76,CR76*$J76))*IF(52=$R76,$S76,12)/12,6)+$B$4),CR76-$I76)))))</f>
        <v/>
      </c>
      <c r="CT76" s="68">
        <f>IF($U76=0,0,IF($F76=4,0,IF($F76=3,0,IF(OR(53&gt;$R76,CS76&lt;=$I76),CS76,CS76-MIN(INT(ROUND(IF($F76=1,$C76*$J76,IF(GR76&gt;0,GR76*$K76,CS76*$J76))*IF(53=$R76,$S76,12)/12,6)+$B$4),CS76-$I76)))))</f>
        <v/>
      </c>
      <c r="CU76" s="68">
        <f>IF($U76=0,0,IF($F76=4,0,IF($F76=3,0,IF(OR(54&gt;$R76,CT76&lt;=$I76),CT76,CT76-MIN(INT(ROUND(IF($F76=1,$C76*$J76,IF(GS76&gt;0,GS76*$K76,CT76*$J76))*IF(54=$R76,$S76,12)/12,6)+$B$4),CT76-$I76)))))</f>
        <v/>
      </c>
      <c r="CV76" s="68">
        <f>IF($U76=0,0,IF($F76=4,0,IF($F76=3,0,IF(OR(55&gt;$R76,CU76&lt;=$I76),CU76,CU76-MIN(INT(ROUND(IF($F76=1,$C76*$J76,IF(GT76&gt;0,GT76*$K76,CU76*$J76))*IF(55=$R76,$S76,12)/12,6)+$B$4),CU76-$I76)))))</f>
        <v/>
      </c>
      <c r="CW76" s="68">
        <f>IF($U76=0,0,IF($F76=4,0,IF($F76=3,0,IF(OR(56&gt;$R76,CV76&lt;=$I76),CV76,CV76-MIN(INT(ROUND(IF($F76=1,$C76*$J76,IF(GU76&gt;0,GU76*$K76,CV76*$J76))*IF(56=$R76,$S76,12)/12,6)+$B$4),CV76-$I76)))))</f>
        <v/>
      </c>
      <c r="CX76" s="68">
        <f>IF($U76=0,0,IF($F76=4,0,IF($F76=3,0,IF(OR(57&gt;$R76,CW76&lt;=$I76),CW76,CW76-MIN(INT(ROUND(IF($F76=1,$C76*$J76,IF(GV76&gt;0,GV76*$K76,CW76*$J76))*IF(57=$R76,$S76,12)/12,6)+$B$4),CW76-$I76)))))</f>
        <v/>
      </c>
      <c r="CY76" s="68">
        <f>IF($U76=0,0,IF($F76=4,0,IF($F76=3,0,IF(OR(58&gt;$R76,CX76&lt;=$I76),CX76,CX76-MIN(INT(ROUND(IF($F76=1,$C76*$J76,IF(GW76&gt;0,GW76*$K76,CX76*$J76))*IF(58=$R76,$S76,12)/12,6)+$B$4),CX76-$I76)))))</f>
        <v/>
      </c>
      <c r="CZ76" s="68">
        <f>IF($U76=0,0,IF($F76=4,0,IF($F76=3,0,IF(OR(59&gt;$R76,CY76&lt;=$I76),CY76,CY76-MIN(INT(ROUND(IF($F76=1,$C76*$J76,IF(GX76&gt;0,GX76*$K76,CY76*$J76))*IF(59=$R76,$S76,12)/12,6)+$B$4),CY76-$I76)))))</f>
        <v/>
      </c>
      <c r="DA76" s="68">
        <f>IF($U76=0,0,IF($F76=4,0,IF($F76=3,0,IF(OR(60&gt;$R76,CZ76&lt;=$I76),CZ76,CZ76-MIN(INT(ROUND(IF($F76=1,$C76*$J76,IF(GY76&gt;0,GY76*$K76,CZ76*$J76))*IF(60=$R76,$S76,12)/12,6)+$B$4),CZ76-$I76)))))</f>
        <v/>
      </c>
      <c r="DB76" s="68">
        <f>IF($U76=0,0,IF($F76=4,0,IF($F76=3,0,IF(OR(61&gt;$R76,DA76&lt;=$I76),DA76,DA76-MIN(INT(ROUND(IF($F76=1,$C76*$J76,IF(GZ76&gt;0,GZ76*$K76,DA76*$J76))*IF(61=$R76,$S76,12)/12,6)+$B$4),DA76-$I76)))))</f>
        <v/>
      </c>
      <c r="DC76" s="68">
        <f>IF($U76=0,0,IF($F76=4,0,IF($F76=3,0,IF(OR(62&gt;$R76,DB76&lt;=$I76),DB76,DB76-MIN(INT(ROUND(IF($F76=1,$C76*$J76,IF(HA76&gt;0,HA76*$K76,DB76*$J76))*IF(62=$R76,$S76,12)/12,6)+$B$4),DB76-$I76)))))</f>
        <v/>
      </c>
      <c r="DD76" s="68">
        <f>IF($U76=0,0,IF($F76=4,0,IF($F76=3,0,IF(OR(63&gt;$R76,DC76&lt;=$I76),DC76,DC76-MIN(INT(ROUND(IF($F76=1,$C76*$J76,IF(HB76&gt;0,HB76*$K76,DC76*$J76))*IF(63=$R76,$S76,12)/12,6)+$B$4),DC76-$I76)))))</f>
        <v/>
      </c>
      <c r="DE76" s="68">
        <f>IF($U76=0,0,IF($F76=4,0,IF($F76=3,0,IF(OR(64&gt;$R76,DD76&lt;=$I76),DD76,DD76-MIN(INT(ROUND(IF($F76=1,$C76*$J76,IF(HC76&gt;0,HC76*$K76,DD76*$J76))*IF(64=$R76,$S76,12)/12,6)+$B$4),DD76-$I76)))))</f>
        <v/>
      </c>
      <c r="DF76" s="68">
        <f>IF($U76=0,0,IF($F76=4,0,IF($F76=3,0,IF(OR(65&gt;$R76,DE76&lt;=$I76),DE76,DE76-MIN(INT(ROUND(IF($F76=1,$C76*$J76,IF(HD76&gt;0,HD76*$K76,DE76*$J76))*IF(65=$R76,$S76,12)/12,6)+$B$4),DE76-$I76)))))</f>
        <v/>
      </c>
      <c r="DG76" s="68">
        <f>IF($U76=0,0,IF($F76=4,0,IF($F76=3,0,IF(OR(66&gt;$R76,DF76&lt;=$I76),DF76,DF76-MIN(INT(ROUND(IF($F76=1,$C76*$J76,IF(HE76&gt;0,HE76*$K76,DF76*$J76))*IF(66=$R76,$S76,12)/12,6)+$B$4),DF76-$I76)))))</f>
        <v/>
      </c>
      <c r="DH76" s="68">
        <f>IF($U76=0,0,IF($F76=4,0,IF($F76=3,0,IF(OR(67&gt;$R76,DG76&lt;=$I76),DG76,DG76-MIN(INT(ROUND(IF($F76=1,$C76*$J76,IF(HF76&gt;0,HF76*$K76,DG76*$J76))*IF(67=$R76,$S76,12)/12,6)+$B$4),DG76-$I76)))))</f>
        <v/>
      </c>
      <c r="DI76" s="68">
        <f>IF($U76=0,0,IF($F76=4,0,IF($F76=3,0,IF(OR(68&gt;$R76,DH76&lt;=$I76),DH76,DH76-MIN(INT(ROUND(IF($F76=1,$C76*$J76,IF(HG76&gt;0,HG76*$K76,DH76*$J76))*IF(68=$R76,$S76,12)/12,6)+$B$4),DH76-$I76)))))</f>
        <v/>
      </c>
      <c r="DJ76" s="68">
        <f>IF($U76=0,0,IF($F76=4,0,IF($F76=3,0,IF(OR(69&gt;$R76,DI76&lt;=$I76),DI76,DI76-MIN(INT(ROUND(IF($F76=1,$C76*$J76,IF(HH76&gt;0,HH76*$K76,DI76*$J76))*IF(69=$R76,$S76,12)/12,6)+$B$4),DI76-$I76)))))</f>
        <v/>
      </c>
      <c r="DK76" s="68">
        <f>IF($U76=0,0,IF($F76=4,0,IF($F76=3,0,IF(OR(70&gt;$R76,DJ76&lt;=$I76),DJ76,DJ76-MIN(INT(ROUND(IF($F76=1,$C76*$J76,IF(HI76&gt;0,HI76*$K76,DJ76*$J76))*IF(70=$R76,$S76,12)/12,6)+$B$4),DJ76-$I76)))))</f>
        <v/>
      </c>
      <c r="DL76" s="68">
        <f>IF($U76=0,0,IF($F76=4,0,IF($F76=3,0,IF(OR(71&gt;$R76,DK76&lt;=$I76),DK76,DK76-MIN(INT(ROUND(IF($F76=1,$C76*$J76,IF(HJ76&gt;0,HJ76*$K76,DK76*$J76))*IF(71=$R76,$S76,12)/12,6)+$B$4),DK76-$I76)))))</f>
        <v/>
      </c>
      <c r="DM76" s="68">
        <f>IF($U76=0,0,IF($F76=4,0,IF($F76=3,0,IF(OR(72&gt;$R76,DL76&lt;=$I76),DL76,DL76-MIN(INT(ROUND(IF($F76=1,$C76*$J76,IF(HK76&gt;0,HK76*$K76,DL76*$J76))*IF(72=$R76,$S76,12)/12,6)+$B$4),DL76-$I76)))))</f>
        <v/>
      </c>
      <c r="DN76" s="68">
        <f>IF($U76=0,0,IF($F76=4,0,IF($F76=3,0,IF(OR(73&gt;$R76,DM76&lt;=$I76),DM76,DM76-MIN(INT(ROUND(IF($F76=1,$C76*$J76,IF(HL76&gt;0,HL76*$K76,DM76*$J76))*IF(73=$R76,$S76,12)/12,6)+$B$4),DM76-$I76)))))</f>
        <v/>
      </c>
      <c r="DO76" s="68">
        <f>IF($U76=0,0,IF($F76=4,0,IF($F76=3,0,IF(OR(74&gt;$R76,DN76&lt;=$I76),DN76,DN76-MIN(INT(ROUND(IF($F76=1,$C76*$J76,IF(HM76&gt;0,HM76*$K76,DN76*$J76))*IF(74=$R76,$S76,12)/12,6)+$B$4),DN76-$I76)))))</f>
        <v/>
      </c>
      <c r="DP76" s="68">
        <f>IF($U76=0,0,IF($F76=4,0,IF($F76=3,0,IF(OR(75&gt;$R76,DO76&lt;=$I76),DO76,DO76-MIN(INT(ROUND(IF($F76=1,$C76*$J76,IF(HN76&gt;0,HN76*$K76,DO76*$J76))*IF(75=$R76,$S76,12)/12,6)+$B$4),DO76-$I76)))))</f>
        <v/>
      </c>
      <c r="DQ76" s="68">
        <f>IF($U76=0,0,IF($F76=4,0,IF($F76=3,0,IF(OR(76&gt;$R76,DP76&lt;=$I76),DP76,DP76-MIN(INT(ROUND(IF($F76=1,$C76*$J76,IF(HO76&gt;0,HO76*$K76,DP76*$J76))*IF(76=$R76,$S76,12)/12,6)+$B$4),DP76-$I76)))))</f>
        <v/>
      </c>
      <c r="DR76" s="68">
        <f>IF($U76=0,0,IF($F76=4,0,IF($F76=3,0,IF(OR(77&gt;$R76,DQ76&lt;=$I76),DQ76,DQ76-MIN(INT(ROUND(IF($F76=1,$C76*$J76,IF(HP76&gt;0,HP76*$K76,DQ76*$J76))*IF(77=$R76,$S76,12)/12,6)+$B$4),DQ76-$I76)))))</f>
        <v/>
      </c>
      <c r="DS76" s="68">
        <f>IF($U76=0,0,IF($F76=4,0,IF($F76=3,0,IF(OR(78&gt;$R76,DR76&lt;=$I76),DR76,DR76-MIN(INT(ROUND(IF($F76=1,$C76*$J76,IF(HQ76&gt;0,HQ76*$K76,DR76*$J76))*IF(78=$R76,$S76,12)/12,6)+$B$4),DR76-$I76)))))</f>
        <v/>
      </c>
      <c r="DT76" s="68">
        <f>IF($U76=0,0,IF($F76=4,0,IF($F76=3,0,IF(OR(79&gt;$R76,DS76&lt;=$I76),DS76,DS76-MIN(INT(ROUND(IF($F76=1,$C76*$J76,IF(HR76&gt;0,HR76*$K76,DS76*$J76))*IF(79=$R76,$S76,12)/12,6)+$B$4),DS76-$I76)))))</f>
        <v/>
      </c>
      <c r="DU76" s="68">
        <f>IF($U76=0,0,IF($F76=4,0,IF($F76=3,0,IF(OR(80&gt;$R76,DT76&lt;=$I76),DT76,DT76-MIN(INT(ROUND(IF($F76=1,$C76*$J76,IF(HS76&gt;0,HS76*$K76,DT76*$J76))*IF(80=$R76,$S76,12)/12,6)+$B$4),DT76-$I76)))))</f>
        <v/>
      </c>
      <c r="DV76" s="68">
        <f>IF($U76=0,0,IF($F76=4,0,IF($F76=3,0,IF(OR(81&gt;$R76,DU76&lt;=$I76),DU76,DU76-MIN(INT(ROUND(IF($F76=1,$C76*$J76,IF(HT76&gt;0,HT76*$K76,DU76*$J76))*IF(81=$R76,$S76,12)/12,6)+$B$4),DU76-$I76)))))</f>
        <v/>
      </c>
      <c r="DW76" s="68">
        <f>IF($U76=0,0,IF($F76=4,0,IF($F76=3,0,IF(OR(82&gt;$R76,DV76&lt;=$I76),DV76,DV76-MIN(INT(ROUND(IF($F76=1,$C76*$J76,IF(HU76&gt;0,HU76*$K76,DV76*$J76))*IF(82=$R76,$S76,12)/12,6)+$B$4),DV76-$I76)))))</f>
        <v/>
      </c>
      <c r="DX76" s="68">
        <f>IF($U76=0,0,IF($F76=4,0,IF($F76=3,0,IF(OR(83&gt;$R76,DW76&lt;=$I76),DW76,DW76-MIN(INT(ROUND(IF($F76=1,$C76*$J76,IF(HV76&gt;0,HV76*$K76,DW76*$J76))*IF(83=$R76,$S76,12)/12,6)+$B$4),DW76-$I76)))))</f>
        <v/>
      </c>
      <c r="DY76" s="68">
        <f>IF($U76=0,0,IF($F76=4,0,IF($F76=3,0,IF(OR(84&gt;$R76,DX76&lt;=$I76),DX76,DX76-MIN(INT(ROUND(IF($F76=1,$C76*$J76,IF(HW76&gt;0,HW76*$K76,DX76*$J76))*IF(84=$R76,$S76,12)/12,6)+$B$4),DX76-$I76)))))</f>
        <v/>
      </c>
      <c r="DZ76" s="68">
        <f>IF($U76=0,0,IF($F76=4,0,IF($F76=3,0,IF(OR(85&gt;$R76,DY76&lt;=$I76),DY76,DY76-MIN(INT(ROUND(IF($F76=1,$C76*$J76,IF(HX76&gt;0,HX76*$K76,DY76*$J76))*IF(85=$R76,$S76,12)/12,6)+$B$4),DY76-$I76)))))</f>
        <v/>
      </c>
      <c r="EA76" s="68">
        <f>IF($U76=0,0,IF($F76=4,0,IF($F76=3,0,IF(OR(86&gt;$R76,DZ76&lt;=$I76),DZ76,DZ76-MIN(INT(ROUND(IF($F76=1,$C76*$J76,IF(HY76&gt;0,HY76*$K76,DZ76*$J76))*IF(86=$R76,$S76,12)/12,6)+$B$4),DZ76-$I76)))))</f>
        <v/>
      </c>
      <c r="EB76" s="68">
        <f>IF($U76=0,0,IF($F76=4,0,IF($F76=3,0,IF(OR(87&gt;$R76,EA76&lt;=$I76),EA76,EA76-MIN(INT(ROUND(IF($F76=1,$C76*$J76,IF(HZ76&gt;0,HZ76*$K76,EA76*$J76))*IF(87=$R76,$S76,12)/12,6)+$B$4),EA76-$I76)))))</f>
        <v/>
      </c>
      <c r="EC76" s="68">
        <f>IF($U76=0,0,IF($F76=4,0,IF($F76=3,0,IF(OR(88&gt;$R76,EB76&lt;=$I76),EB76,EB76-MIN(INT(ROUND(IF($F76=1,$C76*$J76,IF(IA76&gt;0,IA76*$K76,EB76*$J76))*IF(88=$R76,$S76,12)/12,6)+$B$4),EB76-$I76)))))</f>
        <v/>
      </c>
      <c r="ED76" s="68">
        <f>IF($U76=0,0,IF($F76=4,0,IF($F76=3,0,IF(OR(89&gt;$R76,EC76&lt;=$I76),EC76,EC76-MIN(INT(ROUND(IF($F76=1,$C76*$J76,IF(IB76&gt;0,IB76*$K76,EC76*$J76))*IF(89=$R76,$S76,12)/12,6)+$B$4),EC76-$I76)))))</f>
        <v/>
      </c>
      <c r="EE76" s="68">
        <f>IF($U76=0,0,IF($F76=4,0,IF($F76=3,0,IF(OR(90&gt;$R76,ED76&lt;=$I76),ED76,ED76-MIN(INT(ROUND(IF($F76=1,$C76*$J76,IF(IC76&gt;0,IC76*$K76,ED76*$J76))*IF(90=$R76,$S76,12)/12,6)+$B$4),ED76-$I76)))))</f>
        <v/>
      </c>
      <c r="EF76" s="68">
        <f>IF($U76=0,0,IF($F76=4,0,IF($F76=3,0,IF(OR(91&gt;$R76,EE76&lt;=$I76),EE76,EE76-MIN(INT(ROUND(IF($F76=1,$C76*$J76,IF(ID76&gt;0,ID76*$K76,EE76*$J76))*IF(91=$R76,$S76,12)/12,6)+$B$4),EE76-$I76)))))</f>
        <v/>
      </c>
      <c r="EG76" s="68">
        <f>IF($U76=0,0,IF($F76=4,0,IF($F76=3,0,IF(OR(92&gt;$R76,EF76&lt;=$I76),EF76,EF76-MIN(INT(ROUND(IF($F76=1,$C76*$J76,IF(IE76&gt;0,IE76*$K76,EF76*$J76))*IF(92=$R76,$S76,12)/12,6)+$B$4),EF76-$I76)))))</f>
        <v/>
      </c>
      <c r="EH76" s="68">
        <f>IF($U76=0,0,IF($F76=4,0,IF($F76=3,0,IF(OR(93&gt;$R76,EG76&lt;=$I76),EG76,EG76-MIN(INT(ROUND(IF($F76=1,$C76*$J76,IF(IF76&gt;0,IF76*$K76,EG76*$J76))*IF(93=$R76,$S76,12)/12,6)+$B$4),EG76-$I76)))))</f>
        <v/>
      </c>
      <c r="EI76" s="68">
        <f>IF($U76=0,0,IF($F76=4,0,IF($F76=3,0,IF(OR(94&gt;$R76,EH76&lt;=$I76),EH76,EH76-MIN(INT(ROUND(IF($F76=1,$C76*$J76,IF(IG76&gt;0,IG76*$K76,EH76*$J76))*IF(94=$R76,$S76,12)/12,6)+$B$4),EH76-$I76)))))</f>
        <v/>
      </c>
      <c r="EJ76" s="68">
        <f>IF($U76=0,0,IF($F76=4,0,IF($F76=3,0,IF(OR(95&gt;$R76,EI76&lt;=$I76),EI76,EI76-MIN(INT(ROUND(IF($F76=1,$C76*$J76,IF(IH76&gt;0,IH76*$K76,EI76*$J76))*IF(95=$R76,$S76,12)/12,6)+$B$4),EI76-$I76)))))</f>
        <v/>
      </c>
      <c r="EK76" s="68">
        <f>IF($U76=0,0,IF($F76=4,0,IF($F76=3,0,IF(OR(96&gt;$R76,EJ76&lt;=$I76),EJ76,EJ76-MIN(INT(ROUND(IF($F76=1,$C76*$J76,IF(II76&gt;0,II76*$K76,EJ76*$J76))*IF(96=$R76,$S76,12)/12,6)+$B$4),EJ76-$I76)))))</f>
        <v/>
      </c>
      <c r="EL76" s="68">
        <f>IF($U76=0,0,IF($F76=4,0,IF($F76=3,0,IF(OR(97&gt;$R76,EK76&lt;=$I76),EK76,EK76-MIN(INT(ROUND(IF($F76=1,$C76*$J76,IF(IJ76&gt;0,IJ76*$K76,EK76*$J76))*IF(97=$R76,$S76,12)/12,6)+$B$4),EK76-$I76)))))</f>
        <v/>
      </c>
      <c r="EM76" s="68">
        <f>IF($U76=0,0,IF($F76=4,0,IF($F76=3,0,IF(OR(98&gt;$R76,EL76&lt;=$I76),EL76,EL76-MIN(INT(ROUND(IF($F76=1,$C76*$J76,IF(IK76&gt;0,IK76*$K76,EL76*$J76))*IF(98=$R76,$S76,12)/12,6)+$B$4),EL76-$I76)))))</f>
        <v/>
      </c>
      <c r="EN76" s="68">
        <f>IF($U76=0,0,IF($F76=4,0,IF($F76=3,0,IF(OR(99&gt;$R76,EM76&lt;=$I76),EM76,EM76-MIN(INT(ROUND(IF($F76=1,$C76*$J76,IF(IL76&gt;0,IL76*$K76,EM76*$J76))*IF(99=$R76,$S76,12)/12,6)+$B$4),EM76-$I76)))))</f>
        <v/>
      </c>
      <c r="EO76" s="68">
        <f>IF($U76=0,0,IF($F76=4,0,IF($F76=3,0,IF(OR(100&gt;$R76,EN76&lt;=$I76),EN76,EN76-MIN(INT(ROUND(IF($F76=1,$C76*$J76,IF(IM76&gt;0,IM76*$K76,EN76*$J76))*IF(100=$R76,$S76,12)/12,6)+$B$4),EN76-$I76)))))</f>
        <v/>
      </c>
      <c r="EP76" s="68">
        <f>IF($U76=0,0,IF($F76=4,0,IF($F76=3,0,IF(OR(101&gt;$R76,EO76&lt;=$I76),EO76,EO76-MIN(INT(ROUND(IF($F76=1,$C76*$J76,IF(IN76&gt;0,IN76*$K76,EO76*$J76))*IF(101=$R76,$S76,12)/12,6)+$B$4),EO76-$I76)))))</f>
        <v/>
      </c>
      <c r="EQ76" s="68" t="n"/>
      <c r="ER76" s="68">
        <f>IF(OR($U76=0,$F76&lt;&gt;2),0,IF(ROUND(AS76*$J76,6)&lt;ROUND($M76,6),AS76,0))</f>
        <v/>
      </c>
      <c r="ES76" s="68">
        <f>IF(OR($U76=0,$F76&lt;&gt;2),0,IF(ER76&gt;0,ER76,IF(ROUND(AT76*$J76,6)&lt;ROUND($M76,6),AT76,0)))</f>
        <v/>
      </c>
      <c r="ET76" s="68">
        <f>IF(OR($U76=0,$F76&lt;&gt;2),0,IF(ES76&gt;0,ES76,IF(ROUND(AU76*$J76,6)&lt;ROUND($M76,6),AU76,0)))</f>
        <v/>
      </c>
      <c r="EU76" s="68">
        <f>IF(OR($U76=0,$F76&lt;&gt;2),0,IF(ET76&gt;0,ET76,IF(ROUND(AV76*$J76,6)&lt;ROUND($M76,6),AV76,0)))</f>
        <v/>
      </c>
      <c r="EV76" s="68">
        <f>IF(OR($U76=0,$F76&lt;&gt;2),0,IF(EU76&gt;0,EU76,IF(ROUND(AW76*$J76,6)&lt;ROUND($M76,6),AW76,0)))</f>
        <v/>
      </c>
      <c r="EW76" s="68">
        <f>IF(OR($U76=0,$F76&lt;&gt;2),0,IF(EV76&gt;0,EV76,IF(ROUND(AX76*$J76,6)&lt;ROUND($M76,6),AX76,0)))</f>
        <v/>
      </c>
      <c r="EX76" s="68">
        <f>IF(OR($U76=0,$F76&lt;&gt;2),0,IF(EW76&gt;0,EW76,IF(ROUND(AY76*$J76,6)&lt;ROUND($M76,6),AY76,0)))</f>
        <v/>
      </c>
      <c r="EY76" s="68">
        <f>IF(OR($U76=0,$F76&lt;&gt;2),0,IF(EX76&gt;0,EX76,IF(ROUND(AZ76*$J76,6)&lt;ROUND($M76,6),AZ76,0)))</f>
        <v/>
      </c>
      <c r="EZ76" s="68">
        <f>IF(OR($U76=0,$F76&lt;&gt;2),0,IF(EY76&gt;0,EY76,IF(ROUND(BA76*$J76,6)&lt;ROUND($M76,6),BA76,0)))</f>
        <v/>
      </c>
      <c r="FA76" s="68">
        <f>IF(OR($U76=0,$F76&lt;&gt;2),0,IF(EZ76&gt;0,EZ76,IF(ROUND(BB76*$J76,6)&lt;ROUND($M76,6),BB76,0)))</f>
        <v/>
      </c>
      <c r="FB76" s="68">
        <f>IF(OR($U76=0,$F76&lt;&gt;2),0,IF(FA76&gt;0,FA76,IF(ROUND(BC76*$J76,6)&lt;ROUND($M76,6),BC76,0)))</f>
        <v/>
      </c>
      <c r="FC76" s="68">
        <f>IF(OR($U76=0,$F76&lt;&gt;2),0,IF(FB76&gt;0,FB76,IF(ROUND(BD76*$J76,6)&lt;ROUND($M76,6),BD76,0)))</f>
        <v/>
      </c>
      <c r="FD76" s="68">
        <f>IF(OR($U76=0,$F76&lt;&gt;2),0,IF(FC76&gt;0,FC76,IF(ROUND(BE76*$J76,6)&lt;ROUND($M76,6),BE76,0)))</f>
        <v/>
      </c>
      <c r="FE76" s="68">
        <f>IF(OR($U76=0,$F76&lt;&gt;2),0,IF(FD76&gt;0,FD76,IF(ROUND(BF76*$J76,6)&lt;ROUND($M76,6),BF76,0)))</f>
        <v/>
      </c>
      <c r="FF76" s="68">
        <f>IF(OR($U76=0,$F76&lt;&gt;2),0,IF(FE76&gt;0,FE76,IF(ROUND(BG76*$J76,6)&lt;ROUND($M76,6),BG76,0)))</f>
        <v/>
      </c>
      <c r="FG76" s="68">
        <f>IF(OR($U76=0,$F76&lt;&gt;2),0,IF(FF76&gt;0,FF76,IF(ROUND(BH76*$J76,6)&lt;ROUND($M76,6),BH76,0)))</f>
        <v/>
      </c>
      <c r="FH76" s="68">
        <f>IF(OR($U76=0,$F76&lt;&gt;2),0,IF(FG76&gt;0,FG76,IF(ROUND(BI76*$J76,6)&lt;ROUND($M76,6),BI76,0)))</f>
        <v/>
      </c>
      <c r="FI76" s="68">
        <f>IF(OR($U76=0,$F76&lt;&gt;2),0,IF(FH76&gt;0,FH76,IF(ROUND(BJ76*$J76,6)&lt;ROUND($M76,6),BJ76,0)))</f>
        <v/>
      </c>
      <c r="FJ76" s="68">
        <f>IF(OR($U76=0,$F76&lt;&gt;2),0,IF(FI76&gt;0,FI76,IF(ROUND(BK76*$J76,6)&lt;ROUND($M76,6),BK76,0)))</f>
        <v/>
      </c>
      <c r="FK76" s="68">
        <f>IF(OR($U76=0,$F76&lt;&gt;2),0,IF(FJ76&gt;0,FJ76,IF(ROUND(BL76*$J76,6)&lt;ROUND($M76,6),BL76,0)))</f>
        <v/>
      </c>
      <c r="FL76" s="68">
        <f>IF(OR($U76=0,$F76&lt;&gt;2),0,IF(FK76&gt;0,FK76,IF(ROUND(BM76*$J76,6)&lt;ROUND($M76,6),BM76,0)))</f>
        <v/>
      </c>
      <c r="FM76" s="68">
        <f>IF(OR($U76=0,$F76&lt;&gt;2),0,IF(FL76&gt;0,FL76,IF(ROUND(BN76*$J76,6)&lt;ROUND($M76,6),BN76,0)))</f>
        <v/>
      </c>
      <c r="FN76" s="68">
        <f>IF(OR($U76=0,$F76&lt;&gt;2),0,IF(FM76&gt;0,FM76,IF(ROUND(BO76*$J76,6)&lt;ROUND($M76,6),BO76,0)))</f>
        <v/>
      </c>
      <c r="FO76" s="68">
        <f>IF(OR($U76=0,$F76&lt;&gt;2),0,IF(FN76&gt;0,FN76,IF(ROUND(BP76*$J76,6)&lt;ROUND($M76,6),BP76,0)))</f>
        <v/>
      </c>
      <c r="FP76" s="68">
        <f>IF(OR($U76=0,$F76&lt;&gt;2),0,IF(FO76&gt;0,FO76,IF(ROUND(BQ76*$J76,6)&lt;ROUND($M76,6),BQ76,0)))</f>
        <v/>
      </c>
      <c r="FQ76" s="68">
        <f>IF(OR($U76=0,$F76&lt;&gt;2),0,IF(FP76&gt;0,FP76,IF(ROUND(BR76*$J76,6)&lt;ROUND($M76,6),BR76,0)))</f>
        <v/>
      </c>
      <c r="FR76" s="68">
        <f>IF(OR($U76=0,$F76&lt;&gt;2),0,IF(FQ76&gt;0,FQ76,IF(ROUND(BS76*$J76,6)&lt;ROUND($M76,6),BS76,0)))</f>
        <v/>
      </c>
      <c r="FS76" s="68">
        <f>IF(OR($U76=0,$F76&lt;&gt;2),0,IF(FR76&gt;0,FR76,IF(ROUND(BT76*$J76,6)&lt;ROUND($M76,6),BT76,0)))</f>
        <v/>
      </c>
      <c r="FT76" s="68">
        <f>IF(OR($U76=0,$F76&lt;&gt;2),0,IF(FS76&gt;0,FS76,IF(ROUND(BU76*$J76,6)&lt;ROUND($M76,6),BU76,0)))</f>
        <v/>
      </c>
      <c r="FU76" s="68">
        <f>IF(OR($U76=0,$F76&lt;&gt;2),0,IF(FT76&gt;0,FT76,IF(ROUND(BV76*$J76,6)&lt;ROUND($M76,6),BV76,0)))</f>
        <v/>
      </c>
      <c r="FV76" s="68">
        <f>IF(OR($U76=0,$F76&lt;&gt;2),0,IF(FU76&gt;0,FU76,IF(ROUND(BW76*$J76,6)&lt;ROUND($M76,6),BW76,0)))</f>
        <v/>
      </c>
      <c r="FW76" s="68">
        <f>IF(OR($U76=0,$F76&lt;&gt;2),0,IF(FV76&gt;0,FV76,IF(ROUND(BX76*$J76,6)&lt;ROUND($M76,6),BX76,0)))</f>
        <v/>
      </c>
      <c r="FX76" s="68">
        <f>IF(OR($U76=0,$F76&lt;&gt;2),0,IF(FW76&gt;0,FW76,IF(ROUND(BY76*$J76,6)&lt;ROUND($M76,6),BY76,0)))</f>
        <v/>
      </c>
      <c r="FY76" s="68">
        <f>IF(OR($U76=0,$F76&lt;&gt;2),0,IF(FX76&gt;0,FX76,IF(ROUND(BZ76*$J76,6)&lt;ROUND($M76,6),BZ76,0)))</f>
        <v/>
      </c>
      <c r="FZ76" s="68">
        <f>IF(OR($U76=0,$F76&lt;&gt;2),0,IF(FY76&gt;0,FY76,IF(ROUND(CA76*$J76,6)&lt;ROUND($M76,6),CA76,0)))</f>
        <v/>
      </c>
      <c r="GA76" s="68">
        <f>IF(OR($U76=0,$F76&lt;&gt;2),0,IF(FZ76&gt;0,FZ76,IF(ROUND(CB76*$J76,6)&lt;ROUND($M76,6),CB76,0)))</f>
        <v/>
      </c>
      <c r="GB76" s="68">
        <f>IF(OR($U76=0,$F76&lt;&gt;2),0,IF(GA76&gt;0,GA76,IF(ROUND(CC76*$J76,6)&lt;ROUND($M76,6),CC76,0)))</f>
        <v/>
      </c>
      <c r="GC76" s="68">
        <f>IF(OR($U76=0,$F76&lt;&gt;2),0,IF(GB76&gt;0,GB76,IF(ROUND(CD76*$J76,6)&lt;ROUND($M76,6),CD76,0)))</f>
        <v/>
      </c>
      <c r="GD76" s="68">
        <f>IF(OR($U76=0,$F76&lt;&gt;2),0,IF(GC76&gt;0,GC76,IF(ROUND(CE76*$J76,6)&lt;ROUND($M76,6),CE76,0)))</f>
        <v/>
      </c>
      <c r="GE76" s="68">
        <f>IF(OR($U76=0,$F76&lt;&gt;2),0,IF(GD76&gt;0,GD76,IF(ROUND(CF76*$J76,6)&lt;ROUND($M76,6),CF76,0)))</f>
        <v/>
      </c>
      <c r="GF76" s="68">
        <f>IF(OR($U76=0,$F76&lt;&gt;2),0,IF(GE76&gt;0,GE76,IF(ROUND(CG76*$J76,6)&lt;ROUND($M76,6),CG76,0)))</f>
        <v/>
      </c>
      <c r="GG76" s="68">
        <f>IF(OR($U76=0,$F76&lt;&gt;2),0,IF(GF76&gt;0,GF76,IF(ROUND(CH76*$J76,6)&lt;ROUND($M76,6),CH76,0)))</f>
        <v/>
      </c>
      <c r="GH76" s="68">
        <f>IF(OR($U76=0,$F76&lt;&gt;2),0,IF(GG76&gt;0,GG76,IF(ROUND(CI76*$J76,6)&lt;ROUND($M76,6),CI76,0)))</f>
        <v/>
      </c>
      <c r="GI76" s="68">
        <f>IF(OR($U76=0,$F76&lt;&gt;2),0,IF(GH76&gt;0,GH76,IF(ROUND(CJ76*$J76,6)&lt;ROUND($M76,6),CJ76,0)))</f>
        <v/>
      </c>
      <c r="GJ76" s="68">
        <f>IF(OR($U76=0,$F76&lt;&gt;2),0,IF(GI76&gt;0,GI76,IF(ROUND(CK76*$J76,6)&lt;ROUND($M76,6),CK76,0)))</f>
        <v/>
      </c>
      <c r="GK76" s="68">
        <f>IF(OR($U76=0,$F76&lt;&gt;2),0,IF(GJ76&gt;0,GJ76,IF(ROUND(CL76*$J76,6)&lt;ROUND($M76,6),CL76,0)))</f>
        <v/>
      </c>
      <c r="GL76" s="68">
        <f>IF(OR($U76=0,$F76&lt;&gt;2),0,IF(GK76&gt;0,GK76,IF(ROUND(CM76*$J76,6)&lt;ROUND($M76,6),CM76,0)))</f>
        <v/>
      </c>
      <c r="GM76" s="68">
        <f>IF(OR($U76=0,$F76&lt;&gt;2),0,IF(GL76&gt;0,GL76,IF(ROUND(CN76*$J76,6)&lt;ROUND($M76,6),CN76,0)))</f>
        <v/>
      </c>
      <c r="GN76" s="68">
        <f>IF(OR($U76=0,$F76&lt;&gt;2),0,IF(GM76&gt;0,GM76,IF(ROUND(CO76*$J76,6)&lt;ROUND($M76,6),CO76,0)))</f>
        <v/>
      </c>
      <c r="GO76" s="68">
        <f>IF(OR($U76=0,$F76&lt;&gt;2),0,IF(GN76&gt;0,GN76,IF(ROUND(CP76*$J76,6)&lt;ROUND($M76,6),CP76,0)))</f>
        <v/>
      </c>
      <c r="GP76" s="68">
        <f>IF(OR($U76=0,$F76&lt;&gt;2),0,IF(GO76&gt;0,GO76,IF(ROUND(CQ76*$J76,6)&lt;ROUND($M76,6),CQ76,0)))</f>
        <v/>
      </c>
      <c r="GQ76" s="68">
        <f>IF(OR($U76=0,$F76&lt;&gt;2),0,IF(GP76&gt;0,GP76,IF(ROUND(CR76*$J76,6)&lt;ROUND($M76,6),CR76,0)))</f>
        <v/>
      </c>
      <c r="GR76" s="68">
        <f>IF(OR($U76=0,$F76&lt;&gt;2),0,IF(GQ76&gt;0,GQ76,IF(ROUND(CS76*$J76,6)&lt;ROUND($M76,6),CS76,0)))</f>
        <v/>
      </c>
      <c r="GS76" s="68">
        <f>IF(OR($U76=0,$F76&lt;&gt;2),0,IF(GR76&gt;0,GR76,IF(ROUND(CT76*$J76,6)&lt;ROUND($M76,6),CT76,0)))</f>
        <v/>
      </c>
      <c r="GT76" s="68">
        <f>IF(OR($U76=0,$F76&lt;&gt;2),0,IF(GS76&gt;0,GS76,IF(ROUND(CU76*$J76,6)&lt;ROUND($M76,6),CU76,0)))</f>
        <v/>
      </c>
      <c r="GU76" s="68">
        <f>IF(OR($U76=0,$F76&lt;&gt;2),0,IF(GT76&gt;0,GT76,IF(ROUND(CV76*$J76,6)&lt;ROUND($M76,6),CV76,0)))</f>
        <v/>
      </c>
      <c r="GV76" s="68">
        <f>IF(OR($U76=0,$F76&lt;&gt;2),0,IF(GU76&gt;0,GU76,IF(ROUND(CW76*$J76,6)&lt;ROUND($M76,6),CW76,0)))</f>
        <v/>
      </c>
      <c r="GW76" s="68">
        <f>IF(OR($U76=0,$F76&lt;&gt;2),0,IF(GV76&gt;0,GV76,IF(ROUND(CX76*$J76,6)&lt;ROUND($M76,6),CX76,0)))</f>
        <v/>
      </c>
      <c r="GX76" s="68">
        <f>IF(OR($U76=0,$F76&lt;&gt;2),0,IF(GW76&gt;0,GW76,IF(ROUND(CY76*$J76,6)&lt;ROUND($M76,6),CY76,0)))</f>
        <v/>
      </c>
      <c r="GY76" s="68">
        <f>IF(OR($U76=0,$F76&lt;&gt;2),0,IF(GX76&gt;0,GX76,IF(ROUND(CZ76*$J76,6)&lt;ROUND($M76,6),CZ76,0)))</f>
        <v/>
      </c>
      <c r="GZ76" s="68">
        <f>IF(OR($U76=0,$F76&lt;&gt;2),0,IF(GY76&gt;0,GY76,IF(ROUND(DA76*$J76,6)&lt;ROUND($M76,6),DA76,0)))</f>
        <v/>
      </c>
      <c r="HA76" s="68">
        <f>IF(OR($U76=0,$F76&lt;&gt;2),0,IF(GZ76&gt;0,GZ76,IF(ROUND(DB76*$J76,6)&lt;ROUND($M76,6),DB76,0)))</f>
        <v/>
      </c>
      <c r="HB76" s="68">
        <f>IF(OR($U76=0,$F76&lt;&gt;2),0,IF(HA76&gt;0,HA76,IF(ROUND(DC76*$J76,6)&lt;ROUND($M76,6),DC76,0)))</f>
        <v/>
      </c>
      <c r="HC76" s="68">
        <f>IF(OR($U76=0,$F76&lt;&gt;2),0,IF(HB76&gt;0,HB76,IF(ROUND(DD76*$J76,6)&lt;ROUND($M76,6),DD76,0)))</f>
        <v/>
      </c>
      <c r="HD76" s="68">
        <f>IF(OR($U76=0,$F76&lt;&gt;2),0,IF(HC76&gt;0,HC76,IF(ROUND(DE76*$J76,6)&lt;ROUND($M76,6),DE76,0)))</f>
        <v/>
      </c>
      <c r="HE76" s="68">
        <f>IF(OR($U76=0,$F76&lt;&gt;2),0,IF(HD76&gt;0,HD76,IF(ROUND(DF76*$J76,6)&lt;ROUND($M76,6),DF76,0)))</f>
        <v/>
      </c>
      <c r="HF76" s="68">
        <f>IF(OR($U76=0,$F76&lt;&gt;2),0,IF(HE76&gt;0,HE76,IF(ROUND(DG76*$J76,6)&lt;ROUND($M76,6),DG76,0)))</f>
        <v/>
      </c>
      <c r="HG76" s="68">
        <f>IF(OR($U76=0,$F76&lt;&gt;2),0,IF(HF76&gt;0,HF76,IF(ROUND(DH76*$J76,6)&lt;ROUND($M76,6),DH76,0)))</f>
        <v/>
      </c>
      <c r="HH76" s="68">
        <f>IF(OR($U76=0,$F76&lt;&gt;2),0,IF(HG76&gt;0,HG76,IF(ROUND(DI76*$J76,6)&lt;ROUND($M76,6),DI76,0)))</f>
        <v/>
      </c>
      <c r="HI76" s="68">
        <f>IF(OR($U76=0,$F76&lt;&gt;2),0,IF(HH76&gt;0,HH76,IF(ROUND(DJ76*$J76,6)&lt;ROUND($M76,6),DJ76,0)))</f>
        <v/>
      </c>
      <c r="HJ76" s="68">
        <f>IF(OR($U76=0,$F76&lt;&gt;2),0,IF(HI76&gt;0,HI76,IF(ROUND(DK76*$J76,6)&lt;ROUND($M76,6),DK76,0)))</f>
        <v/>
      </c>
      <c r="HK76" s="68">
        <f>IF(OR($U76=0,$F76&lt;&gt;2),0,IF(HJ76&gt;0,HJ76,IF(ROUND(DL76*$J76,6)&lt;ROUND($M76,6),DL76,0)))</f>
        <v/>
      </c>
      <c r="HL76" s="68">
        <f>IF(OR($U76=0,$F76&lt;&gt;2),0,IF(HK76&gt;0,HK76,IF(ROUND(DM76*$J76,6)&lt;ROUND($M76,6),DM76,0)))</f>
        <v/>
      </c>
      <c r="HM76" s="68">
        <f>IF(OR($U76=0,$F76&lt;&gt;2),0,IF(HL76&gt;0,HL76,IF(ROUND(DN76*$J76,6)&lt;ROUND($M76,6),DN76,0)))</f>
        <v/>
      </c>
      <c r="HN76" s="68">
        <f>IF(OR($U76=0,$F76&lt;&gt;2),0,IF(HM76&gt;0,HM76,IF(ROUND(DO76*$J76,6)&lt;ROUND($M76,6),DO76,0)))</f>
        <v/>
      </c>
      <c r="HO76" s="68">
        <f>IF(OR($U76=0,$F76&lt;&gt;2),0,IF(HN76&gt;0,HN76,IF(ROUND(DP76*$J76,6)&lt;ROUND($M76,6),DP76,0)))</f>
        <v/>
      </c>
      <c r="HP76" s="68">
        <f>IF(OR($U76=0,$F76&lt;&gt;2),0,IF(HO76&gt;0,HO76,IF(ROUND(DQ76*$J76,6)&lt;ROUND($M76,6),DQ76,0)))</f>
        <v/>
      </c>
      <c r="HQ76" s="68">
        <f>IF(OR($U76=0,$F76&lt;&gt;2),0,IF(HP76&gt;0,HP76,IF(ROUND(DR76*$J76,6)&lt;ROUND($M76,6),DR76,0)))</f>
        <v/>
      </c>
      <c r="HR76" s="68">
        <f>IF(OR($U76=0,$F76&lt;&gt;2),0,IF(HQ76&gt;0,HQ76,IF(ROUND(DS76*$J76,6)&lt;ROUND($M76,6),DS76,0)))</f>
        <v/>
      </c>
      <c r="HS76" s="68">
        <f>IF(OR($U76=0,$F76&lt;&gt;2),0,IF(HR76&gt;0,HR76,IF(ROUND(DT76*$J76,6)&lt;ROUND($M76,6),DT76,0)))</f>
        <v/>
      </c>
      <c r="HT76" s="68">
        <f>IF(OR($U76=0,$F76&lt;&gt;2),0,IF(HS76&gt;0,HS76,IF(ROUND(DU76*$J76,6)&lt;ROUND($M76,6),DU76,0)))</f>
        <v/>
      </c>
      <c r="HU76" s="68">
        <f>IF(OR($U76=0,$F76&lt;&gt;2),0,IF(HT76&gt;0,HT76,IF(ROUND(DV76*$J76,6)&lt;ROUND($M76,6),DV76,0)))</f>
        <v/>
      </c>
      <c r="HV76" s="68">
        <f>IF(OR($U76=0,$F76&lt;&gt;2),0,IF(HU76&gt;0,HU76,IF(ROUND(DW76*$J76,6)&lt;ROUND($M76,6),DW76,0)))</f>
        <v/>
      </c>
      <c r="HW76" s="68">
        <f>IF(OR($U76=0,$F76&lt;&gt;2),0,IF(HV76&gt;0,HV76,IF(ROUND(DX76*$J76,6)&lt;ROUND($M76,6),DX76,0)))</f>
        <v/>
      </c>
      <c r="HX76" s="68">
        <f>IF(OR($U76=0,$F76&lt;&gt;2),0,IF(HW76&gt;0,HW76,IF(ROUND(DY76*$J76,6)&lt;ROUND($M76,6),DY76,0)))</f>
        <v/>
      </c>
      <c r="HY76" s="68">
        <f>IF(OR($U76=0,$F76&lt;&gt;2),0,IF(HX76&gt;0,HX76,IF(ROUND(DZ76*$J76,6)&lt;ROUND($M76,6),DZ76,0)))</f>
        <v/>
      </c>
      <c r="HZ76" s="68">
        <f>IF(OR($U76=0,$F76&lt;&gt;2),0,IF(HY76&gt;0,HY76,IF(ROUND(EA76*$J76,6)&lt;ROUND($M76,6),EA76,0)))</f>
        <v/>
      </c>
      <c r="IA76" s="68">
        <f>IF(OR($U76=0,$F76&lt;&gt;2),0,IF(HZ76&gt;0,HZ76,IF(ROUND(EB76*$J76,6)&lt;ROUND($M76,6),EB76,0)))</f>
        <v/>
      </c>
      <c r="IB76" s="68">
        <f>IF(OR($U76=0,$F76&lt;&gt;2),0,IF(IA76&gt;0,IA76,IF(ROUND(EC76*$J76,6)&lt;ROUND($M76,6),EC76,0)))</f>
        <v/>
      </c>
      <c r="IC76" s="68">
        <f>IF(OR($U76=0,$F76&lt;&gt;2),0,IF(IB76&gt;0,IB76,IF(ROUND(ED76*$J76,6)&lt;ROUND($M76,6),ED76,0)))</f>
        <v/>
      </c>
      <c r="ID76" s="68">
        <f>IF(OR($U76=0,$F76&lt;&gt;2),0,IF(IC76&gt;0,IC76,IF(ROUND(EE76*$J76,6)&lt;ROUND($M76,6),EE76,0)))</f>
        <v/>
      </c>
      <c r="IE76" s="68">
        <f>IF(OR($U76=0,$F76&lt;&gt;2),0,IF(ID76&gt;0,ID76,IF(ROUND(EF76*$J76,6)&lt;ROUND($M76,6),EF76,0)))</f>
        <v/>
      </c>
      <c r="IF76" s="68">
        <f>IF(OR($U76=0,$F76&lt;&gt;2),0,IF(IE76&gt;0,IE76,IF(ROUND(EG76*$J76,6)&lt;ROUND($M76,6),EG76,0)))</f>
        <v/>
      </c>
      <c r="IG76" s="68">
        <f>IF(OR($U76=0,$F76&lt;&gt;2),0,IF(IF76&gt;0,IF76,IF(ROUND(EH76*$J76,6)&lt;ROUND($M76,6),EH76,0)))</f>
        <v/>
      </c>
      <c r="IH76" s="68">
        <f>IF(OR($U76=0,$F76&lt;&gt;2),0,IF(IG76&gt;0,IG76,IF(ROUND(EI76*$J76,6)&lt;ROUND($M76,6),EI76,0)))</f>
        <v/>
      </c>
      <c r="II76" s="68">
        <f>IF(OR($U76=0,$F76&lt;&gt;2),0,IF(IH76&gt;0,IH76,IF(ROUND(EJ76*$J76,6)&lt;ROUND($M76,6),EJ76,0)))</f>
        <v/>
      </c>
      <c r="IJ76" s="68">
        <f>IF(OR($U76=0,$F76&lt;&gt;2),0,IF(II76&gt;0,II76,IF(ROUND(EK76*$J76,6)&lt;ROUND($M76,6),EK76,0)))</f>
        <v/>
      </c>
      <c r="IK76" s="68">
        <f>IF(OR($U76=0,$F76&lt;&gt;2),0,IF(IJ76&gt;0,IJ76,IF(ROUND(EL76*$J76,6)&lt;ROUND($M76,6),EL76,0)))</f>
        <v/>
      </c>
      <c r="IL76" s="68">
        <f>IF(OR($U76=0,$F76&lt;&gt;2),0,IF(IK76&gt;0,IK76,IF(ROUND(EM76*$J76,6)&lt;ROUND($M76,6),EM76,0)))</f>
        <v/>
      </c>
      <c r="IM76" s="68">
        <f>IF(OR($U76=0,$F76&lt;&gt;2),0,IF(IL76&gt;0,IL76,IF(ROUND(EN76*$J76,6)&lt;ROUND($M76,6),EN76,0)))</f>
        <v/>
      </c>
      <c r="IN76" s="68">
        <f>IF(OR($U76=0,$F76&lt;&gt;2),0,IF(IM76&gt;0,IM76,IF(ROUND(EO76*$J76,6)&lt;ROUND($M76,6),EO76,0)))</f>
        <v/>
      </c>
    </row>
    <row r="77">
      <c r="A77" s="68" t="n">
        <v>72</v>
      </c>
      <c r="B77" s="68">
        <f>IF(OR(TRIM('固定資産台帳'!$B77)&lt;&gt;"",'固定資産台帳'!$E77&lt;&gt;"",'固定資産台帳'!$G77&lt;&gt;"",'固定資産台帳'!$H77&lt;&gt;""),1,0)</f>
        <v/>
      </c>
      <c r="C77" s="68">
        <f>IF(ISNUMBER('固定資産台帳'!$G77),MAX(ROUND('固定資産台帳'!$G77,0),0),0)</f>
        <v/>
      </c>
      <c r="D77" s="84">
        <f>IF(ISNUMBER('固定資産台帳'!$E77),INT('固定資産台帳'!$E77),0)</f>
        <v/>
      </c>
      <c r="E77" s="84">
        <f>IF(ISNUMBER('固定資産台帳'!$F77),INT('固定資産台帳'!$F77),$D77)</f>
        <v/>
      </c>
      <c r="F77" s="68">
        <f>IF('固定資産台帳'!$H77="定額法",1,IF(OR('固定資産台帳'!$H77="定率法",'固定資産台帳'!$H77="定率法（200%）",'固定資産台帳'!$H77="定率法（250%）"),2,IF('固定資産台帳'!$H77="一括償却（3年）",3,IF('固定資産台帳'!$H77="少額特例",4,0))))</f>
        <v/>
      </c>
      <c r="G77" s="68">
        <f>IF('固定資産台帳'!$H77="定率法（250%）",250,IF('固定資産台帳'!$H77="定率法（200%）",200,IF($D77&gt;=DATE(2012,4,1),200,250)))</f>
        <v/>
      </c>
      <c r="H77" s="68">
        <f>IF(ISNUMBER('固定資産台帳'!$I77),IF(AND('固定資産台帳'!$I77&gt;=2,'固定資産台帳'!$I77&lt;=100,'固定資産台帳'!$I77=INT('固定資産台帳'!$I77)),'固定資産台帳'!$I77,0),0)</f>
        <v/>
      </c>
      <c r="I77" s="68">
        <f>IF('固定資産台帳'!$C77="無形固定資産",0,1)</f>
        <v/>
      </c>
      <c r="J77" s="68">
        <f>IF(OR($H77=0,$F77=0,$F77&gt;2),0,IF($F77=1,INDEX('償却率表'!$B$6:$B$104,$H77-1),IF($G77=200,INDEX('償却率表'!$C$6:$C$104,$H77-1),INDEX('償却率表'!$F$6:$F$104,$H77-1))))</f>
        <v/>
      </c>
      <c r="K77" s="68">
        <f>IF(AND($F77=2,$H77&gt;0),IF($G77=200,INDEX('償却率表'!$D$6:$D$104,$H77-1),INDEX('償却率表'!$G$6:$G$104,$H77-1)),0)</f>
        <v/>
      </c>
      <c r="L77" s="68">
        <f>IF(AND($F77=2,$H77&gt;0),IF($G77=200,INDEX('償却率表'!$E$6:$E$104,$H77-1),INDEX('償却率表'!$H$6:$H$104,$H77-1)),0)</f>
        <v/>
      </c>
      <c r="M77" s="68">
        <f>$C77*$L77</f>
        <v/>
      </c>
      <c r="N77" s="68">
        <f>IF($B$1=1,1,IF('固定資産台帳'!$J77="",1,IF(ISNUMBER('固定資産台帳'!$J77),IF(AND('固定資産台帳'!$J77&gt;0,'固定資産台帳'!$J77&lt;=1),'固定資産台帳'!$J77,0),0)))</f>
        <v/>
      </c>
      <c r="O77" s="68">
        <f>IF($E77=0,0,YEAR($E77)-IF(MONTH($E77)&lt;$B$2,1,0))</f>
        <v/>
      </c>
      <c r="P77" s="68">
        <f>IF($E77=0,0,12-MOD(MONTH($E77)-$B$2,12))</f>
        <v/>
      </c>
      <c r="Q77" s="84">
        <f>IF(ISNUMBER('固定資産台帳'!$K77),INT('固定資産台帳'!$K77),0)</f>
        <v/>
      </c>
      <c r="R77" s="68">
        <f>IF(OR($Q77=0,$E77=0),999,YEAR($Q77)-IF(MONTH($Q77)&lt;$B$2,1,0)-$O77)</f>
        <v/>
      </c>
      <c r="S77" s="68">
        <f>IF($R77=999,0,MOD(MONTH($Q77)-$B$2,12)+1-IF($R77=0,12-$P77,0))</f>
        <v/>
      </c>
      <c r="T77" s="68">
        <f>IF($B77=0,0,IF($C77&lt;=0,1,IF($D77=0,2,IF($F77=0,3,IF(AND($F77&lt;=2,$H77=0),4,IF(AND($F77&lt;=2,$D77&lt;DATE(2007,4,1)),5,IF($E77&lt;$D77,6,IF(AND($Q77&gt;0,$Q77&lt;$E77),7,IF($N77=0,8,IF($B$3=0,9,0))))))))))</f>
        <v/>
      </c>
      <c r="U77" s="68">
        <f>IF(AND($B77=1,$T77=0),1,0)</f>
        <v/>
      </c>
      <c r="V77" s="68">
        <f>$B$3-$O77</f>
        <v/>
      </c>
      <c r="W77" s="68">
        <f>IF(AND($U77=1,$V77&gt;=0),1,0)</f>
        <v/>
      </c>
      <c r="X77" s="68">
        <f>IF($W77=0,0,IF($V77=0,$C77,INDEX($AS77:$EP77,MIN($V77,102))))</f>
        <v/>
      </c>
      <c r="Y77" s="68">
        <f>IF($W77=0,0,INDEX($AS77:$EP77,MIN($V77,101)+1))</f>
        <v/>
      </c>
      <c r="Z77" s="68">
        <f>$X77-$Y77</f>
        <v/>
      </c>
      <c r="AA77" s="68">
        <f>IF(AND($W77=1,$F77=2,$V77&gt;=1),INDEX($ER77:$IN77,MIN($V77,101)),0)</f>
        <v/>
      </c>
      <c r="AB77" s="68">
        <f>IF(OR($W77=0,$F77&gt;2,$Z77=0),0,IF($V77=0,IF($R77=0,$S77,$P77),IF($V77=$R77,$S77,12)))</f>
        <v/>
      </c>
      <c r="AC77" s="68">
        <f>IF($W77=0,0,INT(ROUND($Z77*$N77,6)+$B$4))</f>
        <v/>
      </c>
      <c r="AD77" s="68">
        <f>IF(AND($W77=1,$F77&lt;=2,$V77=$R77),1,0)</f>
        <v/>
      </c>
      <c r="AE77" s="68">
        <f>IF(AND($W77=1,$F77&lt;=2,$V77&gt;$R77),1,0)</f>
        <v/>
      </c>
      <c r="AF77" s="68">
        <f>IF(AND($W77=1,$AE77=0,OR($Z77&gt;0,$AD77=1)),1,0)</f>
        <v/>
      </c>
      <c r="AG77" s="68">
        <f>IF($AF77=1,SUM($AF$6:$AF77),0)</f>
        <v/>
      </c>
      <c r="AH77" s="68">
        <f>IF($T77=0,"",CHOOSE($T77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77" s="68">
        <f>IF(AND($F77=2,OR('固定資産台帳'!$C77="建物",'固定資産台帳'!$C77="無形固定資産",AND(OR('固定資産台帳'!$C77="建物附属設備",'固定資産台帳'!$C77="構築物"),$D77&gt;=DATE(2016,4,1)))),"この資産は定額法だけです（定率法は使えません）。","")&amp;IF(AND($F77=3,$C77&gt;=200000),"一括償却は20万円未満の資産だけです。","")&amp;IF(AND($F77=3,$B$1=0,$C77&lt;100000),"10万円未満は一括償却にせず、全額をその年の経費にします。","")&amp;IF(AND($F77=4,$C77&lt;100000),"10万円未満は少額特例ではなく、全額をその年の経費にします。","")&amp;IF(AND($F77=4,$D77&lt;DATE(2026,4,1),$C77&gt;=300000),"2026年3月31日までの取得で少額特例が使えるのは30万円未満です。","")&amp;IF(AND($F77=4,$D77&gt;=DATE(2026,4,1),$C77&gt;=400000),"少額特例は40万円未満の資産だけです。","")&amp;IF(AND($F77=4,OR($D77&lt;DATE(2006,4,1),$D77&gt;DATE(2029,3,31))),"少額特例は2006年4月1日〜2029年3月31日に取得した資産だけです。","")&amp;IF(AND($F77=2,$G77=250,$D77&gt;DATE(2012,12,31)),"250%定率法は2012年12月31日までの取得だけです。","")</f>
        <v/>
      </c>
      <c r="AJ77" s="68">
        <f>IF(AND($F77=2,'固定資産台帳'!$H77="定率法（200%）",$D77&lt;DATE(2012,4,1)),"2012年3月31日までの取得に200%を使うのは、経過措置の届出をした場合です。","")&amp;IF(AND($F77=2,'固定資産台帳'!$H77="定率法（250%）",$D77&gt;=DATE(2012,4,1),$D77&lt;=DATE(2012,12,31)),"2012年4〜12月の取得に250%を使うのは、経過措置を選んだ場合です。","")</f>
        <v/>
      </c>
      <c r="AK77" s="68">
        <f>IF($U77=0,"",IF($V77&lt;0,"表示している年より後に使い始める資産です。",IF($AE77=1,"売却・除却済みです。",IF($AD77=1,"この年に売却・除却。期末の帳簿価額 "&amp;TEXT($Y77,"#,##0")&amp;"円を帳簿から外します。",IF($F77=4,IF($V77=0,"少額特例：この年に全額を経費にします。","少額特例で経費にした資産です。"),IF($F77=3,IF($V77&gt;2,"一括償却は終わっています。","一括償却 "&amp;($V77+1)&amp;"年目（3年のうち）。"),IF($Z77=0,"償却済み（帳簿価額 "&amp;TEXT($Y77,"#,##0")&amp;"円）。",IF($AA77&gt;0,"改定償却率で計算（改定取得価額 "&amp;TEXT($AA77,"#,##0")&amp;"円）。",IF($V77=0,"この年に使い始め（"&amp;$AB77&amp;"か月分）。","")))))))))</f>
        <v/>
      </c>
      <c r="AL77" s="68">
        <f>IF(AND($U77=1,$F77=4,$V77=0),$C77,0)</f>
        <v/>
      </c>
      <c r="AM77" s="68">
        <f>IF($F77=2,INT(ROUND($M77,6)+$B$4),0)</f>
        <v/>
      </c>
      <c r="AN77" s="68">
        <f>IF($W77=0,0,IF($F77=2,IF($AA77&gt;0,$AA77,$X77),$C77))</f>
        <v/>
      </c>
      <c r="AO77" s="68">
        <f>IF($W77=0,"",IF($F77=3,"1/3",IF($F77=4,"―",IF($AA77&gt;0,$K77,$J77))))</f>
        <v/>
      </c>
      <c r="AP77" s="68" t="n"/>
      <c r="AQ77" s="68" t="n"/>
      <c r="AR77" s="68" t="n"/>
      <c r="AS77" s="68">
        <f>IF($U77=0,0,IF($F77=4,0,IF($F77=3,MAX($C77-INT(ROUND($C77/3,6)+$B$4),0),$C77-MIN(INT(ROUND($C77*$J77*IF($R77=0,$S77,$P77)/12,6)+$B$4),MAX($C77-$I77,0)))))</f>
        <v/>
      </c>
      <c r="AT77" s="68">
        <f>IF($U77=0,0,IF($F77=4,0,IF($F77=3,AS77-MIN(INT(ROUND($C77/3,6)+$B$4),AS77),IF(OR(1&gt;$R77,AS77&lt;=$I77),AS77,AS77-MIN(INT(ROUND(IF($F77=1,$C77*$J77,IF(ER77&gt;0,ER77*$K77,AS77*$J77))*IF(1=$R77,$S77,12)/12,6)+$B$4),AS77-$I77)))))</f>
        <v/>
      </c>
      <c r="AU77" s="68">
        <f>IF($U77=0,0,IF($F77=4,0,IF($F77=3,0,IF(OR(2&gt;$R77,AT77&lt;=$I77),AT77,AT77-MIN(INT(ROUND(IF($F77=1,$C77*$J77,IF(ES77&gt;0,ES77*$K77,AT77*$J77))*IF(2=$R77,$S77,12)/12,6)+$B$4),AT77-$I77)))))</f>
        <v/>
      </c>
      <c r="AV77" s="68">
        <f>IF($U77=0,0,IF($F77=4,0,IF($F77=3,0,IF(OR(3&gt;$R77,AU77&lt;=$I77),AU77,AU77-MIN(INT(ROUND(IF($F77=1,$C77*$J77,IF(ET77&gt;0,ET77*$K77,AU77*$J77))*IF(3=$R77,$S77,12)/12,6)+$B$4),AU77-$I77)))))</f>
        <v/>
      </c>
      <c r="AW77" s="68">
        <f>IF($U77=0,0,IF($F77=4,0,IF($F77=3,0,IF(OR(4&gt;$R77,AV77&lt;=$I77),AV77,AV77-MIN(INT(ROUND(IF($F77=1,$C77*$J77,IF(EU77&gt;0,EU77*$K77,AV77*$J77))*IF(4=$R77,$S77,12)/12,6)+$B$4),AV77-$I77)))))</f>
        <v/>
      </c>
      <c r="AX77" s="68">
        <f>IF($U77=0,0,IF($F77=4,0,IF($F77=3,0,IF(OR(5&gt;$R77,AW77&lt;=$I77),AW77,AW77-MIN(INT(ROUND(IF($F77=1,$C77*$J77,IF(EV77&gt;0,EV77*$K77,AW77*$J77))*IF(5=$R77,$S77,12)/12,6)+$B$4),AW77-$I77)))))</f>
        <v/>
      </c>
      <c r="AY77" s="68">
        <f>IF($U77=0,0,IF($F77=4,0,IF($F77=3,0,IF(OR(6&gt;$R77,AX77&lt;=$I77),AX77,AX77-MIN(INT(ROUND(IF($F77=1,$C77*$J77,IF(EW77&gt;0,EW77*$K77,AX77*$J77))*IF(6=$R77,$S77,12)/12,6)+$B$4),AX77-$I77)))))</f>
        <v/>
      </c>
      <c r="AZ77" s="68">
        <f>IF($U77=0,0,IF($F77=4,0,IF($F77=3,0,IF(OR(7&gt;$R77,AY77&lt;=$I77),AY77,AY77-MIN(INT(ROUND(IF($F77=1,$C77*$J77,IF(EX77&gt;0,EX77*$K77,AY77*$J77))*IF(7=$R77,$S77,12)/12,6)+$B$4),AY77-$I77)))))</f>
        <v/>
      </c>
      <c r="BA77" s="68">
        <f>IF($U77=0,0,IF($F77=4,0,IF($F77=3,0,IF(OR(8&gt;$R77,AZ77&lt;=$I77),AZ77,AZ77-MIN(INT(ROUND(IF($F77=1,$C77*$J77,IF(EY77&gt;0,EY77*$K77,AZ77*$J77))*IF(8=$R77,$S77,12)/12,6)+$B$4),AZ77-$I77)))))</f>
        <v/>
      </c>
      <c r="BB77" s="68">
        <f>IF($U77=0,0,IF($F77=4,0,IF($F77=3,0,IF(OR(9&gt;$R77,BA77&lt;=$I77),BA77,BA77-MIN(INT(ROUND(IF($F77=1,$C77*$J77,IF(EZ77&gt;0,EZ77*$K77,BA77*$J77))*IF(9=$R77,$S77,12)/12,6)+$B$4),BA77-$I77)))))</f>
        <v/>
      </c>
      <c r="BC77" s="68">
        <f>IF($U77=0,0,IF($F77=4,0,IF($F77=3,0,IF(OR(10&gt;$R77,BB77&lt;=$I77),BB77,BB77-MIN(INT(ROUND(IF($F77=1,$C77*$J77,IF(FA77&gt;0,FA77*$K77,BB77*$J77))*IF(10=$R77,$S77,12)/12,6)+$B$4),BB77-$I77)))))</f>
        <v/>
      </c>
      <c r="BD77" s="68">
        <f>IF($U77=0,0,IF($F77=4,0,IF($F77=3,0,IF(OR(11&gt;$R77,BC77&lt;=$I77),BC77,BC77-MIN(INT(ROUND(IF($F77=1,$C77*$J77,IF(FB77&gt;0,FB77*$K77,BC77*$J77))*IF(11=$R77,$S77,12)/12,6)+$B$4),BC77-$I77)))))</f>
        <v/>
      </c>
      <c r="BE77" s="68">
        <f>IF($U77=0,0,IF($F77=4,0,IF($F77=3,0,IF(OR(12&gt;$R77,BD77&lt;=$I77),BD77,BD77-MIN(INT(ROUND(IF($F77=1,$C77*$J77,IF(FC77&gt;0,FC77*$K77,BD77*$J77))*IF(12=$R77,$S77,12)/12,6)+$B$4),BD77-$I77)))))</f>
        <v/>
      </c>
      <c r="BF77" s="68">
        <f>IF($U77=0,0,IF($F77=4,0,IF($F77=3,0,IF(OR(13&gt;$R77,BE77&lt;=$I77),BE77,BE77-MIN(INT(ROUND(IF($F77=1,$C77*$J77,IF(FD77&gt;0,FD77*$K77,BE77*$J77))*IF(13=$R77,$S77,12)/12,6)+$B$4),BE77-$I77)))))</f>
        <v/>
      </c>
      <c r="BG77" s="68">
        <f>IF($U77=0,0,IF($F77=4,0,IF($F77=3,0,IF(OR(14&gt;$R77,BF77&lt;=$I77),BF77,BF77-MIN(INT(ROUND(IF($F77=1,$C77*$J77,IF(FE77&gt;0,FE77*$K77,BF77*$J77))*IF(14=$R77,$S77,12)/12,6)+$B$4),BF77-$I77)))))</f>
        <v/>
      </c>
      <c r="BH77" s="68">
        <f>IF($U77=0,0,IF($F77=4,0,IF($F77=3,0,IF(OR(15&gt;$R77,BG77&lt;=$I77),BG77,BG77-MIN(INT(ROUND(IF($F77=1,$C77*$J77,IF(FF77&gt;0,FF77*$K77,BG77*$J77))*IF(15=$R77,$S77,12)/12,6)+$B$4),BG77-$I77)))))</f>
        <v/>
      </c>
      <c r="BI77" s="68">
        <f>IF($U77=0,0,IF($F77=4,0,IF($F77=3,0,IF(OR(16&gt;$R77,BH77&lt;=$I77),BH77,BH77-MIN(INT(ROUND(IF($F77=1,$C77*$J77,IF(FG77&gt;0,FG77*$K77,BH77*$J77))*IF(16=$R77,$S77,12)/12,6)+$B$4),BH77-$I77)))))</f>
        <v/>
      </c>
      <c r="BJ77" s="68">
        <f>IF($U77=0,0,IF($F77=4,0,IF($F77=3,0,IF(OR(17&gt;$R77,BI77&lt;=$I77),BI77,BI77-MIN(INT(ROUND(IF($F77=1,$C77*$J77,IF(FH77&gt;0,FH77*$K77,BI77*$J77))*IF(17=$R77,$S77,12)/12,6)+$B$4),BI77-$I77)))))</f>
        <v/>
      </c>
      <c r="BK77" s="68">
        <f>IF($U77=0,0,IF($F77=4,0,IF($F77=3,0,IF(OR(18&gt;$R77,BJ77&lt;=$I77),BJ77,BJ77-MIN(INT(ROUND(IF($F77=1,$C77*$J77,IF(FI77&gt;0,FI77*$K77,BJ77*$J77))*IF(18=$R77,$S77,12)/12,6)+$B$4),BJ77-$I77)))))</f>
        <v/>
      </c>
      <c r="BL77" s="68">
        <f>IF($U77=0,0,IF($F77=4,0,IF($F77=3,0,IF(OR(19&gt;$R77,BK77&lt;=$I77),BK77,BK77-MIN(INT(ROUND(IF($F77=1,$C77*$J77,IF(FJ77&gt;0,FJ77*$K77,BK77*$J77))*IF(19=$R77,$S77,12)/12,6)+$B$4),BK77-$I77)))))</f>
        <v/>
      </c>
      <c r="BM77" s="68">
        <f>IF($U77=0,0,IF($F77=4,0,IF($F77=3,0,IF(OR(20&gt;$R77,BL77&lt;=$I77),BL77,BL77-MIN(INT(ROUND(IF($F77=1,$C77*$J77,IF(FK77&gt;0,FK77*$K77,BL77*$J77))*IF(20=$R77,$S77,12)/12,6)+$B$4),BL77-$I77)))))</f>
        <v/>
      </c>
      <c r="BN77" s="68">
        <f>IF($U77=0,0,IF($F77=4,0,IF($F77=3,0,IF(OR(21&gt;$R77,BM77&lt;=$I77),BM77,BM77-MIN(INT(ROUND(IF($F77=1,$C77*$J77,IF(FL77&gt;0,FL77*$K77,BM77*$J77))*IF(21=$R77,$S77,12)/12,6)+$B$4),BM77-$I77)))))</f>
        <v/>
      </c>
      <c r="BO77" s="68">
        <f>IF($U77=0,0,IF($F77=4,0,IF($F77=3,0,IF(OR(22&gt;$R77,BN77&lt;=$I77),BN77,BN77-MIN(INT(ROUND(IF($F77=1,$C77*$J77,IF(FM77&gt;0,FM77*$K77,BN77*$J77))*IF(22=$R77,$S77,12)/12,6)+$B$4),BN77-$I77)))))</f>
        <v/>
      </c>
      <c r="BP77" s="68">
        <f>IF($U77=0,0,IF($F77=4,0,IF($F77=3,0,IF(OR(23&gt;$R77,BO77&lt;=$I77),BO77,BO77-MIN(INT(ROUND(IF($F77=1,$C77*$J77,IF(FN77&gt;0,FN77*$K77,BO77*$J77))*IF(23=$R77,$S77,12)/12,6)+$B$4),BO77-$I77)))))</f>
        <v/>
      </c>
      <c r="BQ77" s="68">
        <f>IF($U77=0,0,IF($F77=4,0,IF($F77=3,0,IF(OR(24&gt;$R77,BP77&lt;=$I77),BP77,BP77-MIN(INT(ROUND(IF($F77=1,$C77*$J77,IF(FO77&gt;0,FO77*$K77,BP77*$J77))*IF(24=$R77,$S77,12)/12,6)+$B$4),BP77-$I77)))))</f>
        <v/>
      </c>
      <c r="BR77" s="68">
        <f>IF($U77=0,0,IF($F77=4,0,IF($F77=3,0,IF(OR(25&gt;$R77,BQ77&lt;=$I77),BQ77,BQ77-MIN(INT(ROUND(IF($F77=1,$C77*$J77,IF(FP77&gt;0,FP77*$K77,BQ77*$J77))*IF(25=$R77,$S77,12)/12,6)+$B$4),BQ77-$I77)))))</f>
        <v/>
      </c>
      <c r="BS77" s="68">
        <f>IF($U77=0,0,IF($F77=4,0,IF($F77=3,0,IF(OR(26&gt;$R77,BR77&lt;=$I77),BR77,BR77-MIN(INT(ROUND(IF($F77=1,$C77*$J77,IF(FQ77&gt;0,FQ77*$K77,BR77*$J77))*IF(26=$R77,$S77,12)/12,6)+$B$4),BR77-$I77)))))</f>
        <v/>
      </c>
      <c r="BT77" s="68">
        <f>IF($U77=0,0,IF($F77=4,0,IF($F77=3,0,IF(OR(27&gt;$R77,BS77&lt;=$I77),BS77,BS77-MIN(INT(ROUND(IF($F77=1,$C77*$J77,IF(FR77&gt;0,FR77*$K77,BS77*$J77))*IF(27=$R77,$S77,12)/12,6)+$B$4),BS77-$I77)))))</f>
        <v/>
      </c>
      <c r="BU77" s="68">
        <f>IF($U77=0,0,IF($F77=4,0,IF($F77=3,0,IF(OR(28&gt;$R77,BT77&lt;=$I77),BT77,BT77-MIN(INT(ROUND(IF($F77=1,$C77*$J77,IF(FS77&gt;0,FS77*$K77,BT77*$J77))*IF(28=$R77,$S77,12)/12,6)+$B$4),BT77-$I77)))))</f>
        <v/>
      </c>
      <c r="BV77" s="68">
        <f>IF($U77=0,0,IF($F77=4,0,IF($F77=3,0,IF(OR(29&gt;$R77,BU77&lt;=$I77),BU77,BU77-MIN(INT(ROUND(IF($F77=1,$C77*$J77,IF(FT77&gt;0,FT77*$K77,BU77*$J77))*IF(29=$R77,$S77,12)/12,6)+$B$4),BU77-$I77)))))</f>
        <v/>
      </c>
      <c r="BW77" s="68">
        <f>IF($U77=0,0,IF($F77=4,0,IF($F77=3,0,IF(OR(30&gt;$R77,BV77&lt;=$I77),BV77,BV77-MIN(INT(ROUND(IF($F77=1,$C77*$J77,IF(FU77&gt;0,FU77*$K77,BV77*$J77))*IF(30=$R77,$S77,12)/12,6)+$B$4),BV77-$I77)))))</f>
        <v/>
      </c>
      <c r="BX77" s="68">
        <f>IF($U77=0,0,IF($F77=4,0,IF($F77=3,0,IF(OR(31&gt;$R77,BW77&lt;=$I77),BW77,BW77-MIN(INT(ROUND(IF($F77=1,$C77*$J77,IF(FV77&gt;0,FV77*$K77,BW77*$J77))*IF(31=$R77,$S77,12)/12,6)+$B$4),BW77-$I77)))))</f>
        <v/>
      </c>
      <c r="BY77" s="68">
        <f>IF($U77=0,0,IF($F77=4,0,IF($F77=3,0,IF(OR(32&gt;$R77,BX77&lt;=$I77),BX77,BX77-MIN(INT(ROUND(IF($F77=1,$C77*$J77,IF(FW77&gt;0,FW77*$K77,BX77*$J77))*IF(32=$R77,$S77,12)/12,6)+$B$4),BX77-$I77)))))</f>
        <v/>
      </c>
      <c r="BZ77" s="68">
        <f>IF($U77=0,0,IF($F77=4,0,IF($F77=3,0,IF(OR(33&gt;$R77,BY77&lt;=$I77),BY77,BY77-MIN(INT(ROUND(IF($F77=1,$C77*$J77,IF(FX77&gt;0,FX77*$K77,BY77*$J77))*IF(33=$R77,$S77,12)/12,6)+$B$4),BY77-$I77)))))</f>
        <v/>
      </c>
      <c r="CA77" s="68">
        <f>IF($U77=0,0,IF($F77=4,0,IF($F77=3,0,IF(OR(34&gt;$R77,BZ77&lt;=$I77),BZ77,BZ77-MIN(INT(ROUND(IF($F77=1,$C77*$J77,IF(FY77&gt;0,FY77*$K77,BZ77*$J77))*IF(34=$R77,$S77,12)/12,6)+$B$4),BZ77-$I77)))))</f>
        <v/>
      </c>
      <c r="CB77" s="68">
        <f>IF($U77=0,0,IF($F77=4,0,IF($F77=3,0,IF(OR(35&gt;$R77,CA77&lt;=$I77),CA77,CA77-MIN(INT(ROUND(IF($F77=1,$C77*$J77,IF(FZ77&gt;0,FZ77*$K77,CA77*$J77))*IF(35=$R77,$S77,12)/12,6)+$B$4),CA77-$I77)))))</f>
        <v/>
      </c>
      <c r="CC77" s="68">
        <f>IF($U77=0,0,IF($F77=4,0,IF($F77=3,0,IF(OR(36&gt;$R77,CB77&lt;=$I77),CB77,CB77-MIN(INT(ROUND(IF($F77=1,$C77*$J77,IF(GA77&gt;0,GA77*$K77,CB77*$J77))*IF(36=$R77,$S77,12)/12,6)+$B$4),CB77-$I77)))))</f>
        <v/>
      </c>
      <c r="CD77" s="68">
        <f>IF($U77=0,0,IF($F77=4,0,IF($F77=3,0,IF(OR(37&gt;$R77,CC77&lt;=$I77),CC77,CC77-MIN(INT(ROUND(IF($F77=1,$C77*$J77,IF(GB77&gt;0,GB77*$K77,CC77*$J77))*IF(37=$R77,$S77,12)/12,6)+$B$4),CC77-$I77)))))</f>
        <v/>
      </c>
      <c r="CE77" s="68">
        <f>IF($U77=0,0,IF($F77=4,0,IF($F77=3,0,IF(OR(38&gt;$R77,CD77&lt;=$I77),CD77,CD77-MIN(INT(ROUND(IF($F77=1,$C77*$J77,IF(GC77&gt;0,GC77*$K77,CD77*$J77))*IF(38=$R77,$S77,12)/12,6)+$B$4),CD77-$I77)))))</f>
        <v/>
      </c>
      <c r="CF77" s="68">
        <f>IF($U77=0,0,IF($F77=4,0,IF($F77=3,0,IF(OR(39&gt;$R77,CE77&lt;=$I77),CE77,CE77-MIN(INT(ROUND(IF($F77=1,$C77*$J77,IF(GD77&gt;0,GD77*$K77,CE77*$J77))*IF(39=$R77,$S77,12)/12,6)+$B$4),CE77-$I77)))))</f>
        <v/>
      </c>
      <c r="CG77" s="68">
        <f>IF($U77=0,0,IF($F77=4,0,IF($F77=3,0,IF(OR(40&gt;$R77,CF77&lt;=$I77),CF77,CF77-MIN(INT(ROUND(IF($F77=1,$C77*$J77,IF(GE77&gt;0,GE77*$K77,CF77*$J77))*IF(40=$R77,$S77,12)/12,6)+$B$4),CF77-$I77)))))</f>
        <v/>
      </c>
      <c r="CH77" s="68">
        <f>IF($U77=0,0,IF($F77=4,0,IF($F77=3,0,IF(OR(41&gt;$R77,CG77&lt;=$I77),CG77,CG77-MIN(INT(ROUND(IF($F77=1,$C77*$J77,IF(GF77&gt;0,GF77*$K77,CG77*$J77))*IF(41=$R77,$S77,12)/12,6)+$B$4),CG77-$I77)))))</f>
        <v/>
      </c>
      <c r="CI77" s="68">
        <f>IF($U77=0,0,IF($F77=4,0,IF($F77=3,0,IF(OR(42&gt;$R77,CH77&lt;=$I77),CH77,CH77-MIN(INT(ROUND(IF($F77=1,$C77*$J77,IF(GG77&gt;0,GG77*$K77,CH77*$J77))*IF(42=$R77,$S77,12)/12,6)+$B$4),CH77-$I77)))))</f>
        <v/>
      </c>
      <c r="CJ77" s="68">
        <f>IF($U77=0,0,IF($F77=4,0,IF($F77=3,0,IF(OR(43&gt;$R77,CI77&lt;=$I77),CI77,CI77-MIN(INT(ROUND(IF($F77=1,$C77*$J77,IF(GH77&gt;0,GH77*$K77,CI77*$J77))*IF(43=$R77,$S77,12)/12,6)+$B$4),CI77-$I77)))))</f>
        <v/>
      </c>
      <c r="CK77" s="68">
        <f>IF($U77=0,0,IF($F77=4,0,IF($F77=3,0,IF(OR(44&gt;$R77,CJ77&lt;=$I77),CJ77,CJ77-MIN(INT(ROUND(IF($F77=1,$C77*$J77,IF(GI77&gt;0,GI77*$K77,CJ77*$J77))*IF(44=$R77,$S77,12)/12,6)+$B$4),CJ77-$I77)))))</f>
        <v/>
      </c>
      <c r="CL77" s="68">
        <f>IF($U77=0,0,IF($F77=4,0,IF($F77=3,0,IF(OR(45&gt;$R77,CK77&lt;=$I77),CK77,CK77-MIN(INT(ROUND(IF($F77=1,$C77*$J77,IF(GJ77&gt;0,GJ77*$K77,CK77*$J77))*IF(45=$R77,$S77,12)/12,6)+$B$4),CK77-$I77)))))</f>
        <v/>
      </c>
      <c r="CM77" s="68">
        <f>IF($U77=0,0,IF($F77=4,0,IF($F77=3,0,IF(OR(46&gt;$R77,CL77&lt;=$I77),CL77,CL77-MIN(INT(ROUND(IF($F77=1,$C77*$J77,IF(GK77&gt;0,GK77*$K77,CL77*$J77))*IF(46=$R77,$S77,12)/12,6)+$B$4),CL77-$I77)))))</f>
        <v/>
      </c>
      <c r="CN77" s="68">
        <f>IF($U77=0,0,IF($F77=4,0,IF($F77=3,0,IF(OR(47&gt;$R77,CM77&lt;=$I77),CM77,CM77-MIN(INT(ROUND(IF($F77=1,$C77*$J77,IF(GL77&gt;0,GL77*$K77,CM77*$J77))*IF(47=$R77,$S77,12)/12,6)+$B$4),CM77-$I77)))))</f>
        <v/>
      </c>
      <c r="CO77" s="68">
        <f>IF($U77=0,0,IF($F77=4,0,IF($F77=3,0,IF(OR(48&gt;$R77,CN77&lt;=$I77),CN77,CN77-MIN(INT(ROUND(IF($F77=1,$C77*$J77,IF(GM77&gt;0,GM77*$K77,CN77*$J77))*IF(48=$R77,$S77,12)/12,6)+$B$4),CN77-$I77)))))</f>
        <v/>
      </c>
      <c r="CP77" s="68">
        <f>IF($U77=0,0,IF($F77=4,0,IF($F77=3,0,IF(OR(49&gt;$R77,CO77&lt;=$I77),CO77,CO77-MIN(INT(ROUND(IF($F77=1,$C77*$J77,IF(GN77&gt;0,GN77*$K77,CO77*$J77))*IF(49=$R77,$S77,12)/12,6)+$B$4),CO77-$I77)))))</f>
        <v/>
      </c>
      <c r="CQ77" s="68">
        <f>IF($U77=0,0,IF($F77=4,0,IF($F77=3,0,IF(OR(50&gt;$R77,CP77&lt;=$I77),CP77,CP77-MIN(INT(ROUND(IF($F77=1,$C77*$J77,IF(GO77&gt;0,GO77*$K77,CP77*$J77))*IF(50=$R77,$S77,12)/12,6)+$B$4),CP77-$I77)))))</f>
        <v/>
      </c>
      <c r="CR77" s="68">
        <f>IF($U77=0,0,IF($F77=4,0,IF($F77=3,0,IF(OR(51&gt;$R77,CQ77&lt;=$I77),CQ77,CQ77-MIN(INT(ROUND(IF($F77=1,$C77*$J77,IF(GP77&gt;0,GP77*$K77,CQ77*$J77))*IF(51=$R77,$S77,12)/12,6)+$B$4),CQ77-$I77)))))</f>
        <v/>
      </c>
      <c r="CS77" s="68">
        <f>IF($U77=0,0,IF($F77=4,0,IF($F77=3,0,IF(OR(52&gt;$R77,CR77&lt;=$I77),CR77,CR77-MIN(INT(ROUND(IF($F77=1,$C77*$J77,IF(GQ77&gt;0,GQ77*$K77,CR77*$J77))*IF(52=$R77,$S77,12)/12,6)+$B$4),CR77-$I77)))))</f>
        <v/>
      </c>
      <c r="CT77" s="68">
        <f>IF($U77=0,0,IF($F77=4,0,IF($F77=3,0,IF(OR(53&gt;$R77,CS77&lt;=$I77),CS77,CS77-MIN(INT(ROUND(IF($F77=1,$C77*$J77,IF(GR77&gt;0,GR77*$K77,CS77*$J77))*IF(53=$R77,$S77,12)/12,6)+$B$4),CS77-$I77)))))</f>
        <v/>
      </c>
      <c r="CU77" s="68">
        <f>IF($U77=0,0,IF($F77=4,0,IF($F77=3,0,IF(OR(54&gt;$R77,CT77&lt;=$I77),CT77,CT77-MIN(INT(ROUND(IF($F77=1,$C77*$J77,IF(GS77&gt;0,GS77*$K77,CT77*$J77))*IF(54=$R77,$S77,12)/12,6)+$B$4),CT77-$I77)))))</f>
        <v/>
      </c>
      <c r="CV77" s="68">
        <f>IF($U77=0,0,IF($F77=4,0,IF($F77=3,0,IF(OR(55&gt;$R77,CU77&lt;=$I77),CU77,CU77-MIN(INT(ROUND(IF($F77=1,$C77*$J77,IF(GT77&gt;0,GT77*$K77,CU77*$J77))*IF(55=$R77,$S77,12)/12,6)+$B$4),CU77-$I77)))))</f>
        <v/>
      </c>
      <c r="CW77" s="68">
        <f>IF($U77=0,0,IF($F77=4,0,IF($F77=3,0,IF(OR(56&gt;$R77,CV77&lt;=$I77),CV77,CV77-MIN(INT(ROUND(IF($F77=1,$C77*$J77,IF(GU77&gt;0,GU77*$K77,CV77*$J77))*IF(56=$R77,$S77,12)/12,6)+$B$4),CV77-$I77)))))</f>
        <v/>
      </c>
      <c r="CX77" s="68">
        <f>IF($U77=0,0,IF($F77=4,0,IF($F77=3,0,IF(OR(57&gt;$R77,CW77&lt;=$I77),CW77,CW77-MIN(INT(ROUND(IF($F77=1,$C77*$J77,IF(GV77&gt;0,GV77*$K77,CW77*$J77))*IF(57=$R77,$S77,12)/12,6)+$B$4),CW77-$I77)))))</f>
        <v/>
      </c>
      <c r="CY77" s="68">
        <f>IF($U77=0,0,IF($F77=4,0,IF($F77=3,0,IF(OR(58&gt;$R77,CX77&lt;=$I77),CX77,CX77-MIN(INT(ROUND(IF($F77=1,$C77*$J77,IF(GW77&gt;0,GW77*$K77,CX77*$J77))*IF(58=$R77,$S77,12)/12,6)+$B$4),CX77-$I77)))))</f>
        <v/>
      </c>
      <c r="CZ77" s="68">
        <f>IF($U77=0,0,IF($F77=4,0,IF($F77=3,0,IF(OR(59&gt;$R77,CY77&lt;=$I77),CY77,CY77-MIN(INT(ROUND(IF($F77=1,$C77*$J77,IF(GX77&gt;0,GX77*$K77,CY77*$J77))*IF(59=$R77,$S77,12)/12,6)+$B$4),CY77-$I77)))))</f>
        <v/>
      </c>
      <c r="DA77" s="68">
        <f>IF($U77=0,0,IF($F77=4,0,IF($F77=3,0,IF(OR(60&gt;$R77,CZ77&lt;=$I77),CZ77,CZ77-MIN(INT(ROUND(IF($F77=1,$C77*$J77,IF(GY77&gt;0,GY77*$K77,CZ77*$J77))*IF(60=$R77,$S77,12)/12,6)+$B$4),CZ77-$I77)))))</f>
        <v/>
      </c>
      <c r="DB77" s="68">
        <f>IF($U77=0,0,IF($F77=4,0,IF($F77=3,0,IF(OR(61&gt;$R77,DA77&lt;=$I77),DA77,DA77-MIN(INT(ROUND(IF($F77=1,$C77*$J77,IF(GZ77&gt;0,GZ77*$K77,DA77*$J77))*IF(61=$R77,$S77,12)/12,6)+$B$4),DA77-$I77)))))</f>
        <v/>
      </c>
      <c r="DC77" s="68">
        <f>IF($U77=0,0,IF($F77=4,0,IF($F77=3,0,IF(OR(62&gt;$R77,DB77&lt;=$I77),DB77,DB77-MIN(INT(ROUND(IF($F77=1,$C77*$J77,IF(HA77&gt;0,HA77*$K77,DB77*$J77))*IF(62=$R77,$S77,12)/12,6)+$B$4),DB77-$I77)))))</f>
        <v/>
      </c>
      <c r="DD77" s="68">
        <f>IF($U77=0,0,IF($F77=4,0,IF($F77=3,0,IF(OR(63&gt;$R77,DC77&lt;=$I77),DC77,DC77-MIN(INT(ROUND(IF($F77=1,$C77*$J77,IF(HB77&gt;0,HB77*$K77,DC77*$J77))*IF(63=$R77,$S77,12)/12,6)+$B$4),DC77-$I77)))))</f>
        <v/>
      </c>
      <c r="DE77" s="68">
        <f>IF($U77=0,0,IF($F77=4,0,IF($F77=3,0,IF(OR(64&gt;$R77,DD77&lt;=$I77),DD77,DD77-MIN(INT(ROUND(IF($F77=1,$C77*$J77,IF(HC77&gt;0,HC77*$K77,DD77*$J77))*IF(64=$R77,$S77,12)/12,6)+$B$4),DD77-$I77)))))</f>
        <v/>
      </c>
      <c r="DF77" s="68">
        <f>IF($U77=0,0,IF($F77=4,0,IF($F77=3,0,IF(OR(65&gt;$R77,DE77&lt;=$I77),DE77,DE77-MIN(INT(ROUND(IF($F77=1,$C77*$J77,IF(HD77&gt;0,HD77*$K77,DE77*$J77))*IF(65=$R77,$S77,12)/12,6)+$B$4),DE77-$I77)))))</f>
        <v/>
      </c>
      <c r="DG77" s="68">
        <f>IF($U77=0,0,IF($F77=4,0,IF($F77=3,0,IF(OR(66&gt;$R77,DF77&lt;=$I77),DF77,DF77-MIN(INT(ROUND(IF($F77=1,$C77*$J77,IF(HE77&gt;0,HE77*$K77,DF77*$J77))*IF(66=$R77,$S77,12)/12,6)+$B$4),DF77-$I77)))))</f>
        <v/>
      </c>
      <c r="DH77" s="68">
        <f>IF($U77=0,0,IF($F77=4,0,IF($F77=3,0,IF(OR(67&gt;$R77,DG77&lt;=$I77),DG77,DG77-MIN(INT(ROUND(IF($F77=1,$C77*$J77,IF(HF77&gt;0,HF77*$K77,DG77*$J77))*IF(67=$R77,$S77,12)/12,6)+$B$4),DG77-$I77)))))</f>
        <v/>
      </c>
      <c r="DI77" s="68">
        <f>IF($U77=0,0,IF($F77=4,0,IF($F77=3,0,IF(OR(68&gt;$R77,DH77&lt;=$I77),DH77,DH77-MIN(INT(ROUND(IF($F77=1,$C77*$J77,IF(HG77&gt;0,HG77*$K77,DH77*$J77))*IF(68=$R77,$S77,12)/12,6)+$B$4),DH77-$I77)))))</f>
        <v/>
      </c>
      <c r="DJ77" s="68">
        <f>IF($U77=0,0,IF($F77=4,0,IF($F77=3,0,IF(OR(69&gt;$R77,DI77&lt;=$I77),DI77,DI77-MIN(INT(ROUND(IF($F77=1,$C77*$J77,IF(HH77&gt;0,HH77*$K77,DI77*$J77))*IF(69=$R77,$S77,12)/12,6)+$B$4),DI77-$I77)))))</f>
        <v/>
      </c>
      <c r="DK77" s="68">
        <f>IF($U77=0,0,IF($F77=4,0,IF($F77=3,0,IF(OR(70&gt;$R77,DJ77&lt;=$I77),DJ77,DJ77-MIN(INT(ROUND(IF($F77=1,$C77*$J77,IF(HI77&gt;0,HI77*$K77,DJ77*$J77))*IF(70=$R77,$S77,12)/12,6)+$B$4),DJ77-$I77)))))</f>
        <v/>
      </c>
      <c r="DL77" s="68">
        <f>IF($U77=0,0,IF($F77=4,0,IF($F77=3,0,IF(OR(71&gt;$R77,DK77&lt;=$I77),DK77,DK77-MIN(INT(ROUND(IF($F77=1,$C77*$J77,IF(HJ77&gt;0,HJ77*$K77,DK77*$J77))*IF(71=$R77,$S77,12)/12,6)+$B$4),DK77-$I77)))))</f>
        <v/>
      </c>
      <c r="DM77" s="68">
        <f>IF($U77=0,0,IF($F77=4,0,IF($F77=3,0,IF(OR(72&gt;$R77,DL77&lt;=$I77),DL77,DL77-MIN(INT(ROUND(IF($F77=1,$C77*$J77,IF(HK77&gt;0,HK77*$K77,DL77*$J77))*IF(72=$R77,$S77,12)/12,6)+$B$4),DL77-$I77)))))</f>
        <v/>
      </c>
      <c r="DN77" s="68">
        <f>IF($U77=0,0,IF($F77=4,0,IF($F77=3,0,IF(OR(73&gt;$R77,DM77&lt;=$I77),DM77,DM77-MIN(INT(ROUND(IF($F77=1,$C77*$J77,IF(HL77&gt;0,HL77*$K77,DM77*$J77))*IF(73=$R77,$S77,12)/12,6)+$B$4),DM77-$I77)))))</f>
        <v/>
      </c>
      <c r="DO77" s="68">
        <f>IF($U77=0,0,IF($F77=4,0,IF($F77=3,0,IF(OR(74&gt;$R77,DN77&lt;=$I77),DN77,DN77-MIN(INT(ROUND(IF($F77=1,$C77*$J77,IF(HM77&gt;0,HM77*$K77,DN77*$J77))*IF(74=$R77,$S77,12)/12,6)+$B$4),DN77-$I77)))))</f>
        <v/>
      </c>
      <c r="DP77" s="68">
        <f>IF($U77=0,0,IF($F77=4,0,IF($F77=3,0,IF(OR(75&gt;$R77,DO77&lt;=$I77),DO77,DO77-MIN(INT(ROUND(IF($F77=1,$C77*$J77,IF(HN77&gt;0,HN77*$K77,DO77*$J77))*IF(75=$R77,$S77,12)/12,6)+$B$4),DO77-$I77)))))</f>
        <v/>
      </c>
      <c r="DQ77" s="68">
        <f>IF($U77=0,0,IF($F77=4,0,IF($F77=3,0,IF(OR(76&gt;$R77,DP77&lt;=$I77),DP77,DP77-MIN(INT(ROUND(IF($F77=1,$C77*$J77,IF(HO77&gt;0,HO77*$K77,DP77*$J77))*IF(76=$R77,$S77,12)/12,6)+$B$4),DP77-$I77)))))</f>
        <v/>
      </c>
      <c r="DR77" s="68">
        <f>IF($U77=0,0,IF($F77=4,0,IF($F77=3,0,IF(OR(77&gt;$R77,DQ77&lt;=$I77),DQ77,DQ77-MIN(INT(ROUND(IF($F77=1,$C77*$J77,IF(HP77&gt;0,HP77*$K77,DQ77*$J77))*IF(77=$R77,$S77,12)/12,6)+$B$4),DQ77-$I77)))))</f>
        <v/>
      </c>
      <c r="DS77" s="68">
        <f>IF($U77=0,0,IF($F77=4,0,IF($F77=3,0,IF(OR(78&gt;$R77,DR77&lt;=$I77),DR77,DR77-MIN(INT(ROUND(IF($F77=1,$C77*$J77,IF(HQ77&gt;0,HQ77*$K77,DR77*$J77))*IF(78=$R77,$S77,12)/12,6)+$B$4),DR77-$I77)))))</f>
        <v/>
      </c>
      <c r="DT77" s="68">
        <f>IF($U77=0,0,IF($F77=4,0,IF($F77=3,0,IF(OR(79&gt;$R77,DS77&lt;=$I77),DS77,DS77-MIN(INT(ROUND(IF($F77=1,$C77*$J77,IF(HR77&gt;0,HR77*$K77,DS77*$J77))*IF(79=$R77,$S77,12)/12,6)+$B$4),DS77-$I77)))))</f>
        <v/>
      </c>
      <c r="DU77" s="68">
        <f>IF($U77=0,0,IF($F77=4,0,IF($F77=3,0,IF(OR(80&gt;$R77,DT77&lt;=$I77),DT77,DT77-MIN(INT(ROUND(IF($F77=1,$C77*$J77,IF(HS77&gt;0,HS77*$K77,DT77*$J77))*IF(80=$R77,$S77,12)/12,6)+$B$4),DT77-$I77)))))</f>
        <v/>
      </c>
      <c r="DV77" s="68">
        <f>IF($U77=0,0,IF($F77=4,0,IF($F77=3,0,IF(OR(81&gt;$R77,DU77&lt;=$I77),DU77,DU77-MIN(INT(ROUND(IF($F77=1,$C77*$J77,IF(HT77&gt;0,HT77*$K77,DU77*$J77))*IF(81=$R77,$S77,12)/12,6)+$B$4),DU77-$I77)))))</f>
        <v/>
      </c>
      <c r="DW77" s="68">
        <f>IF($U77=0,0,IF($F77=4,0,IF($F77=3,0,IF(OR(82&gt;$R77,DV77&lt;=$I77),DV77,DV77-MIN(INT(ROUND(IF($F77=1,$C77*$J77,IF(HU77&gt;0,HU77*$K77,DV77*$J77))*IF(82=$R77,$S77,12)/12,6)+$B$4),DV77-$I77)))))</f>
        <v/>
      </c>
      <c r="DX77" s="68">
        <f>IF($U77=0,0,IF($F77=4,0,IF($F77=3,0,IF(OR(83&gt;$R77,DW77&lt;=$I77),DW77,DW77-MIN(INT(ROUND(IF($F77=1,$C77*$J77,IF(HV77&gt;0,HV77*$K77,DW77*$J77))*IF(83=$R77,$S77,12)/12,6)+$B$4),DW77-$I77)))))</f>
        <v/>
      </c>
      <c r="DY77" s="68">
        <f>IF($U77=0,0,IF($F77=4,0,IF($F77=3,0,IF(OR(84&gt;$R77,DX77&lt;=$I77),DX77,DX77-MIN(INT(ROUND(IF($F77=1,$C77*$J77,IF(HW77&gt;0,HW77*$K77,DX77*$J77))*IF(84=$R77,$S77,12)/12,6)+$B$4),DX77-$I77)))))</f>
        <v/>
      </c>
      <c r="DZ77" s="68">
        <f>IF($U77=0,0,IF($F77=4,0,IF($F77=3,0,IF(OR(85&gt;$R77,DY77&lt;=$I77),DY77,DY77-MIN(INT(ROUND(IF($F77=1,$C77*$J77,IF(HX77&gt;0,HX77*$K77,DY77*$J77))*IF(85=$R77,$S77,12)/12,6)+$B$4),DY77-$I77)))))</f>
        <v/>
      </c>
      <c r="EA77" s="68">
        <f>IF($U77=0,0,IF($F77=4,0,IF($F77=3,0,IF(OR(86&gt;$R77,DZ77&lt;=$I77),DZ77,DZ77-MIN(INT(ROUND(IF($F77=1,$C77*$J77,IF(HY77&gt;0,HY77*$K77,DZ77*$J77))*IF(86=$R77,$S77,12)/12,6)+$B$4),DZ77-$I77)))))</f>
        <v/>
      </c>
      <c r="EB77" s="68">
        <f>IF($U77=0,0,IF($F77=4,0,IF($F77=3,0,IF(OR(87&gt;$R77,EA77&lt;=$I77),EA77,EA77-MIN(INT(ROUND(IF($F77=1,$C77*$J77,IF(HZ77&gt;0,HZ77*$K77,EA77*$J77))*IF(87=$R77,$S77,12)/12,6)+$B$4),EA77-$I77)))))</f>
        <v/>
      </c>
      <c r="EC77" s="68">
        <f>IF($U77=0,0,IF($F77=4,0,IF($F77=3,0,IF(OR(88&gt;$R77,EB77&lt;=$I77),EB77,EB77-MIN(INT(ROUND(IF($F77=1,$C77*$J77,IF(IA77&gt;0,IA77*$K77,EB77*$J77))*IF(88=$R77,$S77,12)/12,6)+$B$4),EB77-$I77)))))</f>
        <v/>
      </c>
      <c r="ED77" s="68">
        <f>IF($U77=0,0,IF($F77=4,0,IF($F77=3,0,IF(OR(89&gt;$R77,EC77&lt;=$I77),EC77,EC77-MIN(INT(ROUND(IF($F77=1,$C77*$J77,IF(IB77&gt;0,IB77*$K77,EC77*$J77))*IF(89=$R77,$S77,12)/12,6)+$B$4),EC77-$I77)))))</f>
        <v/>
      </c>
      <c r="EE77" s="68">
        <f>IF($U77=0,0,IF($F77=4,0,IF($F77=3,0,IF(OR(90&gt;$R77,ED77&lt;=$I77),ED77,ED77-MIN(INT(ROUND(IF($F77=1,$C77*$J77,IF(IC77&gt;0,IC77*$K77,ED77*$J77))*IF(90=$R77,$S77,12)/12,6)+$B$4),ED77-$I77)))))</f>
        <v/>
      </c>
      <c r="EF77" s="68">
        <f>IF($U77=0,0,IF($F77=4,0,IF($F77=3,0,IF(OR(91&gt;$R77,EE77&lt;=$I77),EE77,EE77-MIN(INT(ROUND(IF($F77=1,$C77*$J77,IF(ID77&gt;0,ID77*$K77,EE77*$J77))*IF(91=$R77,$S77,12)/12,6)+$B$4),EE77-$I77)))))</f>
        <v/>
      </c>
      <c r="EG77" s="68">
        <f>IF($U77=0,0,IF($F77=4,0,IF($F77=3,0,IF(OR(92&gt;$R77,EF77&lt;=$I77),EF77,EF77-MIN(INT(ROUND(IF($F77=1,$C77*$J77,IF(IE77&gt;0,IE77*$K77,EF77*$J77))*IF(92=$R77,$S77,12)/12,6)+$B$4),EF77-$I77)))))</f>
        <v/>
      </c>
      <c r="EH77" s="68">
        <f>IF($U77=0,0,IF($F77=4,0,IF($F77=3,0,IF(OR(93&gt;$R77,EG77&lt;=$I77),EG77,EG77-MIN(INT(ROUND(IF($F77=1,$C77*$J77,IF(IF77&gt;0,IF77*$K77,EG77*$J77))*IF(93=$R77,$S77,12)/12,6)+$B$4),EG77-$I77)))))</f>
        <v/>
      </c>
      <c r="EI77" s="68">
        <f>IF($U77=0,0,IF($F77=4,0,IF($F77=3,0,IF(OR(94&gt;$R77,EH77&lt;=$I77),EH77,EH77-MIN(INT(ROUND(IF($F77=1,$C77*$J77,IF(IG77&gt;0,IG77*$K77,EH77*$J77))*IF(94=$R77,$S77,12)/12,6)+$B$4),EH77-$I77)))))</f>
        <v/>
      </c>
      <c r="EJ77" s="68">
        <f>IF($U77=0,0,IF($F77=4,0,IF($F77=3,0,IF(OR(95&gt;$R77,EI77&lt;=$I77),EI77,EI77-MIN(INT(ROUND(IF($F77=1,$C77*$J77,IF(IH77&gt;0,IH77*$K77,EI77*$J77))*IF(95=$R77,$S77,12)/12,6)+$B$4),EI77-$I77)))))</f>
        <v/>
      </c>
      <c r="EK77" s="68">
        <f>IF($U77=0,0,IF($F77=4,0,IF($F77=3,0,IF(OR(96&gt;$R77,EJ77&lt;=$I77),EJ77,EJ77-MIN(INT(ROUND(IF($F77=1,$C77*$J77,IF(II77&gt;0,II77*$K77,EJ77*$J77))*IF(96=$R77,$S77,12)/12,6)+$B$4),EJ77-$I77)))))</f>
        <v/>
      </c>
      <c r="EL77" s="68">
        <f>IF($U77=0,0,IF($F77=4,0,IF($F77=3,0,IF(OR(97&gt;$R77,EK77&lt;=$I77),EK77,EK77-MIN(INT(ROUND(IF($F77=1,$C77*$J77,IF(IJ77&gt;0,IJ77*$K77,EK77*$J77))*IF(97=$R77,$S77,12)/12,6)+$B$4),EK77-$I77)))))</f>
        <v/>
      </c>
      <c r="EM77" s="68">
        <f>IF($U77=0,0,IF($F77=4,0,IF($F77=3,0,IF(OR(98&gt;$R77,EL77&lt;=$I77),EL77,EL77-MIN(INT(ROUND(IF($F77=1,$C77*$J77,IF(IK77&gt;0,IK77*$K77,EL77*$J77))*IF(98=$R77,$S77,12)/12,6)+$B$4),EL77-$I77)))))</f>
        <v/>
      </c>
      <c r="EN77" s="68">
        <f>IF($U77=0,0,IF($F77=4,0,IF($F77=3,0,IF(OR(99&gt;$R77,EM77&lt;=$I77),EM77,EM77-MIN(INT(ROUND(IF($F77=1,$C77*$J77,IF(IL77&gt;0,IL77*$K77,EM77*$J77))*IF(99=$R77,$S77,12)/12,6)+$B$4),EM77-$I77)))))</f>
        <v/>
      </c>
      <c r="EO77" s="68">
        <f>IF($U77=0,0,IF($F77=4,0,IF($F77=3,0,IF(OR(100&gt;$R77,EN77&lt;=$I77),EN77,EN77-MIN(INT(ROUND(IF($F77=1,$C77*$J77,IF(IM77&gt;0,IM77*$K77,EN77*$J77))*IF(100=$R77,$S77,12)/12,6)+$B$4),EN77-$I77)))))</f>
        <v/>
      </c>
      <c r="EP77" s="68">
        <f>IF($U77=0,0,IF($F77=4,0,IF($F77=3,0,IF(OR(101&gt;$R77,EO77&lt;=$I77),EO77,EO77-MIN(INT(ROUND(IF($F77=1,$C77*$J77,IF(IN77&gt;0,IN77*$K77,EO77*$J77))*IF(101=$R77,$S77,12)/12,6)+$B$4),EO77-$I77)))))</f>
        <v/>
      </c>
      <c r="EQ77" s="68" t="n"/>
      <c r="ER77" s="68">
        <f>IF(OR($U77=0,$F77&lt;&gt;2),0,IF(ROUND(AS77*$J77,6)&lt;ROUND($M77,6),AS77,0))</f>
        <v/>
      </c>
      <c r="ES77" s="68">
        <f>IF(OR($U77=0,$F77&lt;&gt;2),0,IF(ER77&gt;0,ER77,IF(ROUND(AT77*$J77,6)&lt;ROUND($M77,6),AT77,0)))</f>
        <v/>
      </c>
      <c r="ET77" s="68">
        <f>IF(OR($U77=0,$F77&lt;&gt;2),0,IF(ES77&gt;0,ES77,IF(ROUND(AU77*$J77,6)&lt;ROUND($M77,6),AU77,0)))</f>
        <v/>
      </c>
      <c r="EU77" s="68">
        <f>IF(OR($U77=0,$F77&lt;&gt;2),0,IF(ET77&gt;0,ET77,IF(ROUND(AV77*$J77,6)&lt;ROUND($M77,6),AV77,0)))</f>
        <v/>
      </c>
      <c r="EV77" s="68">
        <f>IF(OR($U77=0,$F77&lt;&gt;2),0,IF(EU77&gt;0,EU77,IF(ROUND(AW77*$J77,6)&lt;ROUND($M77,6),AW77,0)))</f>
        <v/>
      </c>
      <c r="EW77" s="68">
        <f>IF(OR($U77=0,$F77&lt;&gt;2),0,IF(EV77&gt;0,EV77,IF(ROUND(AX77*$J77,6)&lt;ROUND($M77,6),AX77,0)))</f>
        <v/>
      </c>
      <c r="EX77" s="68">
        <f>IF(OR($U77=0,$F77&lt;&gt;2),0,IF(EW77&gt;0,EW77,IF(ROUND(AY77*$J77,6)&lt;ROUND($M77,6),AY77,0)))</f>
        <v/>
      </c>
      <c r="EY77" s="68">
        <f>IF(OR($U77=0,$F77&lt;&gt;2),0,IF(EX77&gt;0,EX77,IF(ROUND(AZ77*$J77,6)&lt;ROUND($M77,6),AZ77,0)))</f>
        <v/>
      </c>
      <c r="EZ77" s="68">
        <f>IF(OR($U77=0,$F77&lt;&gt;2),0,IF(EY77&gt;0,EY77,IF(ROUND(BA77*$J77,6)&lt;ROUND($M77,6),BA77,0)))</f>
        <v/>
      </c>
      <c r="FA77" s="68">
        <f>IF(OR($U77=0,$F77&lt;&gt;2),0,IF(EZ77&gt;0,EZ77,IF(ROUND(BB77*$J77,6)&lt;ROUND($M77,6),BB77,0)))</f>
        <v/>
      </c>
      <c r="FB77" s="68">
        <f>IF(OR($U77=0,$F77&lt;&gt;2),0,IF(FA77&gt;0,FA77,IF(ROUND(BC77*$J77,6)&lt;ROUND($M77,6),BC77,0)))</f>
        <v/>
      </c>
      <c r="FC77" s="68">
        <f>IF(OR($U77=0,$F77&lt;&gt;2),0,IF(FB77&gt;0,FB77,IF(ROUND(BD77*$J77,6)&lt;ROUND($M77,6),BD77,0)))</f>
        <v/>
      </c>
      <c r="FD77" s="68">
        <f>IF(OR($U77=0,$F77&lt;&gt;2),0,IF(FC77&gt;0,FC77,IF(ROUND(BE77*$J77,6)&lt;ROUND($M77,6),BE77,0)))</f>
        <v/>
      </c>
      <c r="FE77" s="68">
        <f>IF(OR($U77=0,$F77&lt;&gt;2),0,IF(FD77&gt;0,FD77,IF(ROUND(BF77*$J77,6)&lt;ROUND($M77,6),BF77,0)))</f>
        <v/>
      </c>
      <c r="FF77" s="68">
        <f>IF(OR($U77=0,$F77&lt;&gt;2),0,IF(FE77&gt;0,FE77,IF(ROUND(BG77*$J77,6)&lt;ROUND($M77,6),BG77,0)))</f>
        <v/>
      </c>
      <c r="FG77" s="68">
        <f>IF(OR($U77=0,$F77&lt;&gt;2),0,IF(FF77&gt;0,FF77,IF(ROUND(BH77*$J77,6)&lt;ROUND($M77,6),BH77,0)))</f>
        <v/>
      </c>
      <c r="FH77" s="68">
        <f>IF(OR($U77=0,$F77&lt;&gt;2),0,IF(FG77&gt;0,FG77,IF(ROUND(BI77*$J77,6)&lt;ROUND($M77,6),BI77,0)))</f>
        <v/>
      </c>
      <c r="FI77" s="68">
        <f>IF(OR($U77=0,$F77&lt;&gt;2),0,IF(FH77&gt;0,FH77,IF(ROUND(BJ77*$J77,6)&lt;ROUND($M77,6),BJ77,0)))</f>
        <v/>
      </c>
      <c r="FJ77" s="68">
        <f>IF(OR($U77=0,$F77&lt;&gt;2),0,IF(FI77&gt;0,FI77,IF(ROUND(BK77*$J77,6)&lt;ROUND($M77,6),BK77,0)))</f>
        <v/>
      </c>
      <c r="FK77" s="68">
        <f>IF(OR($U77=0,$F77&lt;&gt;2),0,IF(FJ77&gt;0,FJ77,IF(ROUND(BL77*$J77,6)&lt;ROUND($M77,6),BL77,0)))</f>
        <v/>
      </c>
      <c r="FL77" s="68">
        <f>IF(OR($U77=0,$F77&lt;&gt;2),0,IF(FK77&gt;0,FK77,IF(ROUND(BM77*$J77,6)&lt;ROUND($M77,6),BM77,0)))</f>
        <v/>
      </c>
      <c r="FM77" s="68">
        <f>IF(OR($U77=0,$F77&lt;&gt;2),0,IF(FL77&gt;0,FL77,IF(ROUND(BN77*$J77,6)&lt;ROUND($M77,6),BN77,0)))</f>
        <v/>
      </c>
      <c r="FN77" s="68">
        <f>IF(OR($U77=0,$F77&lt;&gt;2),0,IF(FM77&gt;0,FM77,IF(ROUND(BO77*$J77,6)&lt;ROUND($M77,6),BO77,0)))</f>
        <v/>
      </c>
      <c r="FO77" s="68">
        <f>IF(OR($U77=0,$F77&lt;&gt;2),0,IF(FN77&gt;0,FN77,IF(ROUND(BP77*$J77,6)&lt;ROUND($M77,6),BP77,0)))</f>
        <v/>
      </c>
      <c r="FP77" s="68">
        <f>IF(OR($U77=0,$F77&lt;&gt;2),0,IF(FO77&gt;0,FO77,IF(ROUND(BQ77*$J77,6)&lt;ROUND($M77,6),BQ77,0)))</f>
        <v/>
      </c>
      <c r="FQ77" s="68">
        <f>IF(OR($U77=0,$F77&lt;&gt;2),0,IF(FP77&gt;0,FP77,IF(ROUND(BR77*$J77,6)&lt;ROUND($M77,6),BR77,0)))</f>
        <v/>
      </c>
      <c r="FR77" s="68">
        <f>IF(OR($U77=0,$F77&lt;&gt;2),0,IF(FQ77&gt;0,FQ77,IF(ROUND(BS77*$J77,6)&lt;ROUND($M77,6),BS77,0)))</f>
        <v/>
      </c>
      <c r="FS77" s="68">
        <f>IF(OR($U77=0,$F77&lt;&gt;2),0,IF(FR77&gt;0,FR77,IF(ROUND(BT77*$J77,6)&lt;ROUND($M77,6),BT77,0)))</f>
        <v/>
      </c>
      <c r="FT77" s="68">
        <f>IF(OR($U77=0,$F77&lt;&gt;2),0,IF(FS77&gt;0,FS77,IF(ROUND(BU77*$J77,6)&lt;ROUND($M77,6),BU77,0)))</f>
        <v/>
      </c>
      <c r="FU77" s="68">
        <f>IF(OR($U77=0,$F77&lt;&gt;2),0,IF(FT77&gt;0,FT77,IF(ROUND(BV77*$J77,6)&lt;ROUND($M77,6),BV77,0)))</f>
        <v/>
      </c>
      <c r="FV77" s="68">
        <f>IF(OR($U77=0,$F77&lt;&gt;2),0,IF(FU77&gt;0,FU77,IF(ROUND(BW77*$J77,6)&lt;ROUND($M77,6),BW77,0)))</f>
        <v/>
      </c>
      <c r="FW77" s="68">
        <f>IF(OR($U77=0,$F77&lt;&gt;2),0,IF(FV77&gt;0,FV77,IF(ROUND(BX77*$J77,6)&lt;ROUND($M77,6),BX77,0)))</f>
        <v/>
      </c>
      <c r="FX77" s="68">
        <f>IF(OR($U77=0,$F77&lt;&gt;2),0,IF(FW77&gt;0,FW77,IF(ROUND(BY77*$J77,6)&lt;ROUND($M77,6),BY77,0)))</f>
        <v/>
      </c>
      <c r="FY77" s="68">
        <f>IF(OR($U77=0,$F77&lt;&gt;2),0,IF(FX77&gt;0,FX77,IF(ROUND(BZ77*$J77,6)&lt;ROUND($M77,6),BZ77,0)))</f>
        <v/>
      </c>
      <c r="FZ77" s="68">
        <f>IF(OR($U77=0,$F77&lt;&gt;2),0,IF(FY77&gt;0,FY77,IF(ROUND(CA77*$J77,6)&lt;ROUND($M77,6),CA77,0)))</f>
        <v/>
      </c>
      <c r="GA77" s="68">
        <f>IF(OR($U77=0,$F77&lt;&gt;2),0,IF(FZ77&gt;0,FZ77,IF(ROUND(CB77*$J77,6)&lt;ROUND($M77,6),CB77,0)))</f>
        <v/>
      </c>
      <c r="GB77" s="68">
        <f>IF(OR($U77=0,$F77&lt;&gt;2),0,IF(GA77&gt;0,GA77,IF(ROUND(CC77*$J77,6)&lt;ROUND($M77,6),CC77,0)))</f>
        <v/>
      </c>
      <c r="GC77" s="68">
        <f>IF(OR($U77=0,$F77&lt;&gt;2),0,IF(GB77&gt;0,GB77,IF(ROUND(CD77*$J77,6)&lt;ROUND($M77,6),CD77,0)))</f>
        <v/>
      </c>
      <c r="GD77" s="68">
        <f>IF(OR($U77=0,$F77&lt;&gt;2),0,IF(GC77&gt;0,GC77,IF(ROUND(CE77*$J77,6)&lt;ROUND($M77,6),CE77,0)))</f>
        <v/>
      </c>
      <c r="GE77" s="68">
        <f>IF(OR($U77=0,$F77&lt;&gt;2),0,IF(GD77&gt;0,GD77,IF(ROUND(CF77*$J77,6)&lt;ROUND($M77,6),CF77,0)))</f>
        <v/>
      </c>
      <c r="GF77" s="68">
        <f>IF(OR($U77=0,$F77&lt;&gt;2),0,IF(GE77&gt;0,GE77,IF(ROUND(CG77*$J77,6)&lt;ROUND($M77,6),CG77,0)))</f>
        <v/>
      </c>
      <c r="GG77" s="68">
        <f>IF(OR($U77=0,$F77&lt;&gt;2),0,IF(GF77&gt;0,GF77,IF(ROUND(CH77*$J77,6)&lt;ROUND($M77,6),CH77,0)))</f>
        <v/>
      </c>
      <c r="GH77" s="68">
        <f>IF(OR($U77=0,$F77&lt;&gt;2),0,IF(GG77&gt;0,GG77,IF(ROUND(CI77*$J77,6)&lt;ROUND($M77,6),CI77,0)))</f>
        <v/>
      </c>
      <c r="GI77" s="68">
        <f>IF(OR($U77=0,$F77&lt;&gt;2),0,IF(GH77&gt;0,GH77,IF(ROUND(CJ77*$J77,6)&lt;ROUND($M77,6),CJ77,0)))</f>
        <v/>
      </c>
      <c r="GJ77" s="68">
        <f>IF(OR($U77=0,$F77&lt;&gt;2),0,IF(GI77&gt;0,GI77,IF(ROUND(CK77*$J77,6)&lt;ROUND($M77,6),CK77,0)))</f>
        <v/>
      </c>
      <c r="GK77" s="68">
        <f>IF(OR($U77=0,$F77&lt;&gt;2),0,IF(GJ77&gt;0,GJ77,IF(ROUND(CL77*$J77,6)&lt;ROUND($M77,6),CL77,0)))</f>
        <v/>
      </c>
      <c r="GL77" s="68">
        <f>IF(OR($U77=0,$F77&lt;&gt;2),0,IF(GK77&gt;0,GK77,IF(ROUND(CM77*$J77,6)&lt;ROUND($M77,6),CM77,0)))</f>
        <v/>
      </c>
      <c r="GM77" s="68">
        <f>IF(OR($U77=0,$F77&lt;&gt;2),0,IF(GL77&gt;0,GL77,IF(ROUND(CN77*$J77,6)&lt;ROUND($M77,6),CN77,0)))</f>
        <v/>
      </c>
      <c r="GN77" s="68">
        <f>IF(OR($U77=0,$F77&lt;&gt;2),0,IF(GM77&gt;0,GM77,IF(ROUND(CO77*$J77,6)&lt;ROUND($M77,6),CO77,0)))</f>
        <v/>
      </c>
      <c r="GO77" s="68">
        <f>IF(OR($U77=0,$F77&lt;&gt;2),0,IF(GN77&gt;0,GN77,IF(ROUND(CP77*$J77,6)&lt;ROUND($M77,6),CP77,0)))</f>
        <v/>
      </c>
      <c r="GP77" s="68">
        <f>IF(OR($U77=0,$F77&lt;&gt;2),0,IF(GO77&gt;0,GO77,IF(ROUND(CQ77*$J77,6)&lt;ROUND($M77,6),CQ77,0)))</f>
        <v/>
      </c>
      <c r="GQ77" s="68">
        <f>IF(OR($U77=0,$F77&lt;&gt;2),0,IF(GP77&gt;0,GP77,IF(ROUND(CR77*$J77,6)&lt;ROUND($M77,6),CR77,0)))</f>
        <v/>
      </c>
      <c r="GR77" s="68">
        <f>IF(OR($U77=0,$F77&lt;&gt;2),0,IF(GQ77&gt;0,GQ77,IF(ROUND(CS77*$J77,6)&lt;ROUND($M77,6),CS77,0)))</f>
        <v/>
      </c>
      <c r="GS77" s="68">
        <f>IF(OR($U77=0,$F77&lt;&gt;2),0,IF(GR77&gt;0,GR77,IF(ROUND(CT77*$J77,6)&lt;ROUND($M77,6),CT77,0)))</f>
        <v/>
      </c>
      <c r="GT77" s="68">
        <f>IF(OR($U77=0,$F77&lt;&gt;2),0,IF(GS77&gt;0,GS77,IF(ROUND(CU77*$J77,6)&lt;ROUND($M77,6),CU77,0)))</f>
        <v/>
      </c>
      <c r="GU77" s="68">
        <f>IF(OR($U77=0,$F77&lt;&gt;2),0,IF(GT77&gt;0,GT77,IF(ROUND(CV77*$J77,6)&lt;ROUND($M77,6),CV77,0)))</f>
        <v/>
      </c>
      <c r="GV77" s="68">
        <f>IF(OR($U77=0,$F77&lt;&gt;2),0,IF(GU77&gt;0,GU77,IF(ROUND(CW77*$J77,6)&lt;ROUND($M77,6),CW77,0)))</f>
        <v/>
      </c>
      <c r="GW77" s="68">
        <f>IF(OR($U77=0,$F77&lt;&gt;2),0,IF(GV77&gt;0,GV77,IF(ROUND(CX77*$J77,6)&lt;ROUND($M77,6),CX77,0)))</f>
        <v/>
      </c>
      <c r="GX77" s="68">
        <f>IF(OR($U77=0,$F77&lt;&gt;2),0,IF(GW77&gt;0,GW77,IF(ROUND(CY77*$J77,6)&lt;ROUND($M77,6),CY77,0)))</f>
        <v/>
      </c>
      <c r="GY77" s="68">
        <f>IF(OR($U77=0,$F77&lt;&gt;2),0,IF(GX77&gt;0,GX77,IF(ROUND(CZ77*$J77,6)&lt;ROUND($M77,6),CZ77,0)))</f>
        <v/>
      </c>
      <c r="GZ77" s="68">
        <f>IF(OR($U77=0,$F77&lt;&gt;2),0,IF(GY77&gt;0,GY77,IF(ROUND(DA77*$J77,6)&lt;ROUND($M77,6),DA77,0)))</f>
        <v/>
      </c>
      <c r="HA77" s="68">
        <f>IF(OR($U77=0,$F77&lt;&gt;2),0,IF(GZ77&gt;0,GZ77,IF(ROUND(DB77*$J77,6)&lt;ROUND($M77,6),DB77,0)))</f>
        <v/>
      </c>
      <c r="HB77" s="68">
        <f>IF(OR($U77=0,$F77&lt;&gt;2),0,IF(HA77&gt;0,HA77,IF(ROUND(DC77*$J77,6)&lt;ROUND($M77,6),DC77,0)))</f>
        <v/>
      </c>
      <c r="HC77" s="68">
        <f>IF(OR($U77=0,$F77&lt;&gt;2),0,IF(HB77&gt;0,HB77,IF(ROUND(DD77*$J77,6)&lt;ROUND($M77,6),DD77,0)))</f>
        <v/>
      </c>
      <c r="HD77" s="68">
        <f>IF(OR($U77=0,$F77&lt;&gt;2),0,IF(HC77&gt;0,HC77,IF(ROUND(DE77*$J77,6)&lt;ROUND($M77,6),DE77,0)))</f>
        <v/>
      </c>
      <c r="HE77" s="68">
        <f>IF(OR($U77=0,$F77&lt;&gt;2),0,IF(HD77&gt;0,HD77,IF(ROUND(DF77*$J77,6)&lt;ROUND($M77,6),DF77,0)))</f>
        <v/>
      </c>
      <c r="HF77" s="68">
        <f>IF(OR($U77=0,$F77&lt;&gt;2),0,IF(HE77&gt;0,HE77,IF(ROUND(DG77*$J77,6)&lt;ROUND($M77,6),DG77,0)))</f>
        <v/>
      </c>
      <c r="HG77" s="68">
        <f>IF(OR($U77=0,$F77&lt;&gt;2),0,IF(HF77&gt;0,HF77,IF(ROUND(DH77*$J77,6)&lt;ROUND($M77,6),DH77,0)))</f>
        <v/>
      </c>
      <c r="HH77" s="68">
        <f>IF(OR($U77=0,$F77&lt;&gt;2),0,IF(HG77&gt;0,HG77,IF(ROUND(DI77*$J77,6)&lt;ROUND($M77,6),DI77,0)))</f>
        <v/>
      </c>
      <c r="HI77" s="68">
        <f>IF(OR($U77=0,$F77&lt;&gt;2),0,IF(HH77&gt;0,HH77,IF(ROUND(DJ77*$J77,6)&lt;ROUND($M77,6),DJ77,0)))</f>
        <v/>
      </c>
      <c r="HJ77" s="68">
        <f>IF(OR($U77=0,$F77&lt;&gt;2),0,IF(HI77&gt;0,HI77,IF(ROUND(DK77*$J77,6)&lt;ROUND($M77,6),DK77,0)))</f>
        <v/>
      </c>
      <c r="HK77" s="68">
        <f>IF(OR($U77=0,$F77&lt;&gt;2),0,IF(HJ77&gt;0,HJ77,IF(ROUND(DL77*$J77,6)&lt;ROUND($M77,6),DL77,0)))</f>
        <v/>
      </c>
      <c r="HL77" s="68">
        <f>IF(OR($U77=0,$F77&lt;&gt;2),0,IF(HK77&gt;0,HK77,IF(ROUND(DM77*$J77,6)&lt;ROUND($M77,6),DM77,0)))</f>
        <v/>
      </c>
      <c r="HM77" s="68">
        <f>IF(OR($U77=0,$F77&lt;&gt;2),0,IF(HL77&gt;0,HL77,IF(ROUND(DN77*$J77,6)&lt;ROUND($M77,6),DN77,0)))</f>
        <v/>
      </c>
      <c r="HN77" s="68">
        <f>IF(OR($U77=0,$F77&lt;&gt;2),0,IF(HM77&gt;0,HM77,IF(ROUND(DO77*$J77,6)&lt;ROUND($M77,6),DO77,0)))</f>
        <v/>
      </c>
      <c r="HO77" s="68">
        <f>IF(OR($U77=0,$F77&lt;&gt;2),0,IF(HN77&gt;0,HN77,IF(ROUND(DP77*$J77,6)&lt;ROUND($M77,6),DP77,0)))</f>
        <v/>
      </c>
      <c r="HP77" s="68">
        <f>IF(OR($U77=0,$F77&lt;&gt;2),0,IF(HO77&gt;0,HO77,IF(ROUND(DQ77*$J77,6)&lt;ROUND($M77,6),DQ77,0)))</f>
        <v/>
      </c>
      <c r="HQ77" s="68">
        <f>IF(OR($U77=0,$F77&lt;&gt;2),0,IF(HP77&gt;0,HP77,IF(ROUND(DR77*$J77,6)&lt;ROUND($M77,6),DR77,0)))</f>
        <v/>
      </c>
      <c r="HR77" s="68">
        <f>IF(OR($U77=0,$F77&lt;&gt;2),0,IF(HQ77&gt;0,HQ77,IF(ROUND(DS77*$J77,6)&lt;ROUND($M77,6),DS77,0)))</f>
        <v/>
      </c>
      <c r="HS77" s="68">
        <f>IF(OR($U77=0,$F77&lt;&gt;2),0,IF(HR77&gt;0,HR77,IF(ROUND(DT77*$J77,6)&lt;ROUND($M77,6),DT77,0)))</f>
        <v/>
      </c>
      <c r="HT77" s="68">
        <f>IF(OR($U77=0,$F77&lt;&gt;2),0,IF(HS77&gt;0,HS77,IF(ROUND(DU77*$J77,6)&lt;ROUND($M77,6),DU77,0)))</f>
        <v/>
      </c>
      <c r="HU77" s="68">
        <f>IF(OR($U77=0,$F77&lt;&gt;2),0,IF(HT77&gt;0,HT77,IF(ROUND(DV77*$J77,6)&lt;ROUND($M77,6),DV77,0)))</f>
        <v/>
      </c>
      <c r="HV77" s="68">
        <f>IF(OR($U77=0,$F77&lt;&gt;2),0,IF(HU77&gt;0,HU77,IF(ROUND(DW77*$J77,6)&lt;ROUND($M77,6),DW77,0)))</f>
        <v/>
      </c>
      <c r="HW77" s="68">
        <f>IF(OR($U77=0,$F77&lt;&gt;2),0,IF(HV77&gt;0,HV77,IF(ROUND(DX77*$J77,6)&lt;ROUND($M77,6),DX77,0)))</f>
        <v/>
      </c>
      <c r="HX77" s="68">
        <f>IF(OR($U77=0,$F77&lt;&gt;2),0,IF(HW77&gt;0,HW77,IF(ROUND(DY77*$J77,6)&lt;ROUND($M77,6),DY77,0)))</f>
        <v/>
      </c>
      <c r="HY77" s="68">
        <f>IF(OR($U77=0,$F77&lt;&gt;2),0,IF(HX77&gt;0,HX77,IF(ROUND(DZ77*$J77,6)&lt;ROUND($M77,6),DZ77,0)))</f>
        <v/>
      </c>
      <c r="HZ77" s="68">
        <f>IF(OR($U77=0,$F77&lt;&gt;2),0,IF(HY77&gt;0,HY77,IF(ROUND(EA77*$J77,6)&lt;ROUND($M77,6),EA77,0)))</f>
        <v/>
      </c>
      <c r="IA77" s="68">
        <f>IF(OR($U77=0,$F77&lt;&gt;2),0,IF(HZ77&gt;0,HZ77,IF(ROUND(EB77*$J77,6)&lt;ROUND($M77,6),EB77,0)))</f>
        <v/>
      </c>
      <c r="IB77" s="68">
        <f>IF(OR($U77=0,$F77&lt;&gt;2),0,IF(IA77&gt;0,IA77,IF(ROUND(EC77*$J77,6)&lt;ROUND($M77,6),EC77,0)))</f>
        <v/>
      </c>
      <c r="IC77" s="68">
        <f>IF(OR($U77=0,$F77&lt;&gt;2),0,IF(IB77&gt;0,IB77,IF(ROUND(ED77*$J77,6)&lt;ROUND($M77,6),ED77,0)))</f>
        <v/>
      </c>
      <c r="ID77" s="68">
        <f>IF(OR($U77=0,$F77&lt;&gt;2),0,IF(IC77&gt;0,IC77,IF(ROUND(EE77*$J77,6)&lt;ROUND($M77,6),EE77,0)))</f>
        <v/>
      </c>
      <c r="IE77" s="68">
        <f>IF(OR($U77=0,$F77&lt;&gt;2),0,IF(ID77&gt;0,ID77,IF(ROUND(EF77*$J77,6)&lt;ROUND($M77,6),EF77,0)))</f>
        <v/>
      </c>
      <c r="IF77" s="68">
        <f>IF(OR($U77=0,$F77&lt;&gt;2),0,IF(IE77&gt;0,IE77,IF(ROUND(EG77*$J77,6)&lt;ROUND($M77,6),EG77,0)))</f>
        <v/>
      </c>
      <c r="IG77" s="68">
        <f>IF(OR($U77=0,$F77&lt;&gt;2),0,IF(IF77&gt;0,IF77,IF(ROUND(EH77*$J77,6)&lt;ROUND($M77,6),EH77,0)))</f>
        <v/>
      </c>
      <c r="IH77" s="68">
        <f>IF(OR($U77=0,$F77&lt;&gt;2),0,IF(IG77&gt;0,IG77,IF(ROUND(EI77*$J77,6)&lt;ROUND($M77,6),EI77,0)))</f>
        <v/>
      </c>
      <c r="II77" s="68">
        <f>IF(OR($U77=0,$F77&lt;&gt;2),0,IF(IH77&gt;0,IH77,IF(ROUND(EJ77*$J77,6)&lt;ROUND($M77,6),EJ77,0)))</f>
        <v/>
      </c>
      <c r="IJ77" s="68">
        <f>IF(OR($U77=0,$F77&lt;&gt;2),0,IF(II77&gt;0,II77,IF(ROUND(EK77*$J77,6)&lt;ROUND($M77,6),EK77,0)))</f>
        <v/>
      </c>
      <c r="IK77" s="68">
        <f>IF(OR($U77=0,$F77&lt;&gt;2),0,IF(IJ77&gt;0,IJ77,IF(ROUND(EL77*$J77,6)&lt;ROUND($M77,6),EL77,0)))</f>
        <v/>
      </c>
      <c r="IL77" s="68">
        <f>IF(OR($U77=0,$F77&lt;&gt;2),0,IF(IK77&gt;0,IK77,IF(ROUND(EM77*$J77,6)&lt;ROUND($M77,6),EM77,0)))</f>
        <v/>
      </c>
      <c r="IM77" s="68">
        <f>IF(OR($U77=0,$F77&lt;&gt;2),0,IF(IL77&gt;0,IL77,IF(ROUND(EN77*$J77,6)&lt;ROUND($M77,6),EN77,0)))</f>
        <v/>
      </c>
      <c r="IN77" s="68">
        <f>IF(OR($U77=0,$F77&lt;&gt;2),0,IF(IM77&gt;0,IM77,IF(ROUND(EO77*$J77,6)&lt;ROUND($M77,6),EO77,0)))</f>
        <v/>
      </c>
    </row>
    <row r="78">
      <c r="A78" s="68" t="n">
        <v>73</v>
      </c>
      <c r="B78" s="68">
        <f>IF(OR(TRIM('固定資産台帳'!$B78)&lt;&gt;"",'固定資産台帳'!$E78&lt;&gt;"",'固定資産台帳'!$G78&lt;&gt;"",'固定資産台帳'!$H78&lt;&gt;""),1,0)</f>
        <v/>
      </c>
      <c r="C78" s="68">
        <f>IF(ISNUMBER('固定資産台帳'!$G78),MAX(ROUND('固定資産台帳'!$G78,0),0),0)</f>
        <v/>
      </c>
      <c r="D78" s="84">
        <f>IF(ISNUMBER('固定資産台帳'!$E78),INT('固定資産台帳'!$E78),0)</f>
        <v/>
      </c>
      <c r="E78" s="84">
        <f>IF(ISNUMBER('固定資産台帳'!$F78),INT('固定資産台帳'!$F78),$D78)</f>
        <v/>
      </c>
      <c r="F78" s="68">
        <f>IF('固定資産台帳'!$H78="定額法",1,IF(OR('固定資産台帳'!$H78="定率法",'固定資産台帳'!$H78="定率法（200%）",'固定資産台帳'!$H78="定率法（250%）"),2,IF('固定資産台帳'!$H78="一括償却（3年）",3,IF('固定資産台帳'!$H78="少額特例",4,0))))</f>
        <v/>
      </c>
      <c r="G78" s="68">
        <f>IF('固定資産台帳'!$H78="定率法（250%）",250,IF('固定資産台帳'!$H78="定率法（200%）",200,IF($D78&gt;=DATE(2012,4,1),200,250)))</f>
        <v/>
      </c>
      <c r="H78" s="68">
        <f>IF(ISNUMBER('固定資産台帳'!$I78),IF(AND('固定資産台帳'!$I78&gt;=2,'固定資産台帳'!$I78&lt;=100,'固定資産台帳'!$I78=INT('固定資産台帳'!$I78)),'固定資産台帳'!$I78,0),0)</f>
        <v/>
      </c>
      <c r="I78" s="68">
        <f>IF('固定資産台帳'!$C78="無形固定資産",0,1)</f>
        <v/>
      </c>
      <c r="J78" s="68">
        <f>IF(OR($H78=0,$F78=0,$F78&gt;2),0,IF($F78=1,INDEX('償却率表'!$B$6:$B$104,$H78-1),IF($G78=200,INDEX('償却率表'!$C$6:$C$104,$H78-1),INDEX('償却率表'!$F$6:$F$104,$H78-1))))</f>
        <v/>
      </c>
      <c r="K78" s="68">
        <f>IF(AND($F78=2,$H78&gt;0),IF($G78=200,INDEX('償却率表'!$D$6:$D$104,$H78-1),INDEX('償却率表'!$G$6:$G$104,$H78-1)),0)</f>
        <v/>
      </c>
      <c r="L78" s="68">
        <f>IF(AND($F78=2,$H78&gt;0),IF($G78=200,INDEX('償却率表'!$E$6:$E$104,$H78-1),INDEX('償却率表'!$H$6:$H$104,$H78-1)),0)</f>
        <v/>
      </c>
      <c r="M78" s="68">
        <f>$C78*$L78</f>
        <v/>
      </c>
      <c r="N78" s="68">
        <f>IF($B$1=1,1,IF('固定資産台帳'!$J78="",1,IF(ISNUMBER('固定資産台帳'!$J78),IF(AND('固定資産台帳'!$J78&gt;0,'固定資産台帳'!$J78&lt;=1),'固定資産台帳'!$J78,0),0)))</f>
        <v/>
      </c>
      <c r="O78" s="68">
        <f>IF($E78=0,0,YEAR($E78)-IF(MONTH($E78)&lt;$B$2,1,0))</f>
        <v/>
      </c>
      <c r="P78" s="68">
        <f>IF($E78=0,0,12-MOD(MONTH($E78)-$B$2,12))</f>
        <v/>
      </c>
      <c r="Q78" s="84">
        <f>IF(ISNUMBER('固定資産台帳'!$K78),INT('固定資産台帳'!$K78),0)</f>
        <v/>
      </c>
      <c r="R78" s="68">
        <f>IF(OR($Q78=0,$E78=0),999,YEAR($Q78)-IF(MONTH($Q78)&lt;$B$2,1,0)-$O78)</f>
        <v/>
      </c>
      <c r="S78" s="68">
        <f>IF($R78=999,0,MOD(MONTH($Q78)-$B$2,12)+1-IF($R78=0,12-$P78,0))</f>
        <v/>
      </c>
      <c r="T78" s="68">
        <f>IF($B78=0,0,IF($C78&lt;=0,1,IF($D78=0,2,IF($F78=0,3,IF(AND($F78&lt;=2,$H78=0),4,IF(AND($F78&lt;=2,$D78&lt;DATE(2007,4,1)),5,IF($E78&lt;$D78,6,IF(AND($Q78&gt;0,$Q78&lt;$E78),7,IF($N78=0,8,IF($B$3=0,9,0))))))))))</f>
        <v/>
      </c>
      <c r="U78" s="68">
        <f>IF(AND($B78=1,$T78=0),1,0)</f>
        <v/>
      </c>
      <c r="V78" s="68">
        <f>$B$3-$O78</f>
        <v/>
      </c>
      <c r="W78" s="68">
        <f>IF(AND($U78=1,$V78&gt;=0),1,0)</f>
        <v/>
      </c>
      <c r="X78" s="68">
        <f>IF($W78=0,0,IF($V78=0,$C78,INDEX($AS78:$EP78,MIN($V78,102))))</f>
        <v/>
      </c>
      <c r="Y78" s="68">
        <f>IF($W78=0,0,INDEX($AS78:$EP78,MIN($V78,101)+1))</f>
        <v/>
      </c>
      <c r="Z78" s="68">
        <f>$X78-$Y78</f>
        <v/>
      </c>
      <c r="AA78" s="68">
        <f>IF(AND($W78=1,$F78=2,$V78&gt;=1),INDEX($ER78:$IN78,MIN($V78,101)),0)</f>
        <v/>
      </c>
      <c r="AB78" s="68">
        <f>IF(OR($W78=0,$F78&gt;2,$Z78=0),0,IF($V78=0,IF($R78=0,$S78,$P78),IF($V78=$R78,$S78,12)))</f>
        <v/>
      </c>
      <c r="AC78" s="68">
        <f>IF($W78=0,0,INT(ROUND($Z78*$N78,6)+$B$4))</f>
        <v/>
      </c>
      <c r="AD78" s="68">
        <f>IF(AND($W78=1,$F78&lt;=2,$V78=$R78),1,0)</f>
        <v/>
      </c>
      <c r="AE78" s="68">
        <f>IF(AND($W78=1,$F78&lt;=2,$V78&gt;$R78),1,0)</f>
        <v/>
      </c>
      <c r="AF78" s="68">
        <f>IF(AND($W78=1,$AE78=0,OR($Z78&gt;0,$AD78=1)),1,0)</f>
        <v/>
      </c>
      <c r="AG78" s="68">
        <f>IF($AF78=1,SUM($AF$6:$AF78),0)</f>
        <v/>
      </c>
      <c r="AH78" s="68">
        <f>IF($T78=0,"",CHOOSE($T78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78" s="68">
        <f>IF(AND($F78=2,OR('固定資産台帳'!$C78="建物",'固定資産台帳'!$C78="無形固定資産",AND(OR('固定資産台帳'!$C78="建物附属設備",'固定資産台帳'!$C78="構築物"),$D78&gt;=DATE(2016,4,1)))),"この資産は定額法だけです（定率法は使えません）。","")&amp;IF(AND($F78=3,$C78&gt;=200000),"一括償却は20万円未満の資産だけです。","")&amp;IF(AND($F78=3,$B$1=0,$C78&lt;100000),"10万円未満は一括償却にせず、全額をその年の経費にします。","")&amp;IF(AND($F78=4,$C78&lt;100000),"10万円未満は少額特例ではなく、全額をその年の経費にします。","")&amp;IF(AND($F78=4,$D78&lt;DATE(2026,4,1),$C78&gt;=300000),"2026年3月31日までの取得で少額特例が使えるのは30万円未満です。","")&amp;IF(AND($F78=4,$D78&gt;=DATE(2026,4,1),$C78&gt;=400000),"少額特例は40万円未満の資産だけです。","")&amp;IF(AND($F78=4,OR($D78&lt;DATE(2006,4,1),$D78&gt;DATE(2029,3,31))),"少額特例は2006年4月1日〜2029年3月31日に取得した資産だけです。","")&amp;IF(AND($F78=2,$G78=250,$D78&gt;DATE(2012,12,31)),"250%定率法は2012年12月31日までの取得だけです。","")</f>
        <v/>
      </c>
      <c r="AJ78" s="68">
        <f>IF(AND($F78=2,'固定資産台帳'!$H78="定率法（200%）",$D78&lt;DATE(2012,4,1)),"2012年3月31日までの取得に200%を使うのは、経過措置の届出をした場合です。","")&amp;IF(AND($F78=2,'固定資産台帳'!$H78="定率法（250%）",$D78&gt;=DATE(2012,4,1),$D78&lt;=DATE(2012,12,31)),"2012年4〜12月の取得に250%を使うのは、経過措置を選んだ場合です。","")</f>
        <v/>
      </c>
      <c r="AK78" s="68">
        <f>IF($U78=0,"",IF($V78&lt;0,"表示している年より後に使い始める資産です。",IF($AE78=1,"売却・除却済みです。",IF($AD78=1,"この年に売却・除却。期末の帳簿価額 "&amp;TEXT($Y78,"#,##0")&amp;"円を帳簿から外します。",IF($F78=4,IF($V78=0,"少額特例：この年に全額を経費にします。","少額特例で経費にした資産です。"),IF($F78=3,IF($V78&gt;2,"一括償却は終わっています。","一括償却 "&amp;($V78+1)&amp;"年目（3年のうち）。"),IF($Z78=0,"償却済み（帳簿価額 "&amp;TEXT($Y78,"#,##0")&amp;"円）。",IF($AA78&gt;0,"改定償却率で計算（改定取得価額 "&amp;TEXT($AA78,"#,##0")&amp;"円）。",IF($V78=0,"この年に使い始め（"&amp;$AB78&amp;"か月分）。","")))))))))</f>
        <v/>
      </c>
      <c r="AL78" s="68">
        <f>IF(AND($U78=1,$F78=4,$V78=0),$C78,0)</f>
        <v/>
      </c>
      <c r="AM78" s="68">
        <f>IF($F78=2,INT(ROUND($M78,6)+$B$4),0)</f>
        <v/>
      </c>
      <c r="AN78" s="68">
        <f>IF($W78=0,0,IF($F78=2,IF($AA78&gt;0,$AA78,$X78),$C78))</f>
        <v/>
      </c>
      <c r="AO78" s="68">
        <f>IF($W78=0,"",IF($F78=3,"1/3",IF($F78=4,"―",IF($AA78&gt;0,$K78,$J78))))</f>
        <v/>
      </c>
      <c r="AP78" s="68" t="n"/>
      <c r="AQ78" s="68" t="n"/>
      <c r="AR78" s="68" t="n"/>
      <c r="AS78" s="68">
        <f>IF($U78=0,0,IF($F78=4,0,IF($F78=3,MAX($C78-INT(ROUND($C78/3,6)+$B$4),0),$C78-MIN(INT(ROUND($C78*$J78*IF($R78=0,$S78,$P78)/12,6)+$B$4),MAX($C78-$I78,0)))))</f>
        <v/>
      </c>
      <c r="AT78" s="68">
        <f>IF($U78=0,0,IF($F78=4,0,IF($F78=3,AS78-MIN(INT(ROUND($C78/3,6)+$B$4),AS78),IF(OR(1&gt;$R78,AS78&lt;=$I78),AS78,AS78-MIN(INT(ROUND(IF($F78=1,$C78*$J78,IF(ER78&gt;0,ER78*$K78,AS78*$J78))*IF(1=$R78,$S78,12)/12,6)+$B$4),AS78-$I78)))))</f>
        <v/>
      </c>
      <c r="AU78" s="68">
        <f>IF($U78=0,0,IF($F78=4,0,IF($F78=3,0,IF(OR(2&gt;$R78,AT78&lt;=$I78),AT78,AT78-MIN(INT(ROUND(IF($F78=1,$C78*$J78,IF(ES78&gt;0,ES78*$K78,AT78*$J78))*IF(2=$R78,$S78,12)/12,6)+$B$4),AT78-$I78)))))</f>
        <v/>
      </c>
      <c r="AV78" s="68">
        <f>IF($U78=0,0,IF($F78=4,0,IF($F78=3,0,IF(OR(3&gt;$R78,AU78&lt;=$I78),AU78,AU78-MIN(INT(ROUND(IF($F78=1,$C78*$J78,IF(ET78&gt;0,ET78*$K78,AU78*$J78))*IF(3=$R78,$S78,12)/12,6)+$B$4),AU78-$I78)))))</f>
        <v/>
      </c>
      <c r="AW78" s="68">
        <f>IF($U78=0,0,IF($F78=4,0,IF($F78=3,0,IF(OR(4&gt;$R78,AV78&lt;=$I78),AV78,AV78-MIN(INT(ROUND(IF($F78=1,$C78*$J78,IF(EU78&gt;0,EU78*$K78,AV78*$J78))*IF(4=$R78,$S78,12)/12,6)+$B$4),AV78-$I78)))))</f>
        <v/>
      </c>
      <c r="AX78" s="68">
        <f>IF($U78=0,0,IF($F78=4,0,IF($F78=3,0,IF(OR(5&gt;$R78,AW78&lt;=$I78),AW78,AW78-MIN(INT(ROUND(IF($F78=1,$C78*$J78,IF(EV78&gt;0,EV78*$K78,AW78*$J78))*IF(5=$R78,$S78,12)/12,6)+$B$4),AW78-$I78)))))</f>
        <v/>
      </c>
      <c r="AY78" s="68">
        <f>IF($U78=0,0,IF($F78=4,0,IF($F78=3,0,IF(OR(6&gt;$R78,AX78&lt;=$I78),AX78,AX78-MIN(INT(ROUND(IF($F78=1,$C78*$J78,IF(EW78&gt;0,EW78*$K78,AX78*$J78))*IF(6=$R78,$S78,12)/12,6)+$B$4),AX78-$I78)))))</f>
        <v/>
      </c>
      <c r="AZ78" s="68">
        <f>IF($U78=0,0,IF($F78=4,0,IF($F78=3,0,IF(OR(7&gt;$R78,AY78&lt;=$I78),AY78,AY78-MIN(INT(ROUND(IF($F78=1,$C78*$J78,IF(EX78&gt;0,EX78*$K78,AY78*$J78))*IF(7=$R78,$S78,12)/12,6)+$B$4),AY78-$I78)))))</f>
        <v/>
      </c>
      <c r="BA78" s="68">
        <f>IF($U78=0,0,IF($F78=4,0,IF($F78=3,0,IF(OR(8&gt;$R78,AZ78&lt;=$I78),AZ78,AZ78-MIN(INT(ROUND(IF($F78=1,$C78*$J78,IF(EY78&gt;0,EY78*$K78,AZ78*$J78))*IF(8=$R78,$S78,12)/12,6)+$B$4),AZ78-$I78)))))</f>
        <v/>
      </c>
      <c r="BB78" s="68">
        <f>IF($U78=0,0,IF($F78=4,0,IF($F78=3,0,IF(OR(9&gt;$R78,BA78&lt;=$I78),BA78,BA78-MIN(INT(ROUND(IF($F78=1,$C78*$J78,IF(EZ78&gt;0,EZ78*$K78,BA78*$J78))*IF(9=$R78,$S78,12)/12,6)+$B$4),BA78-$I78)))))</f>
        <v/>
      </c>
      <c r="BC78" s="68">
        <f>IF($U78=0,0,IF($F78=4,0,IF($F78=3,0,IF(OR(10&gt;$R78,BB78&lt;=$I78),BB78,BB78-MIN(INT(ROUND(IF($F78=1,$C78*$J78,IF(FA78&gt;0,FA78*$K78,BB78*$J78))*IF(10=$R78,$S78,12)/12,6)+$B$4),BB78-$I78)))))</f>
        <v/>
      </c>
      <c r="BD78" s="68">
        <f>IF($U78=0,0,IF($F78=4,0,IF($F78=3,0,IF(OR(11&gt;$R78,BC78&lt;=$I78),BC78,BC78-MIN(INT(ROUND(IF($F78=1,$C78*$J78,IF(FB78&gt;0,FB78*$K78,BC78*$J78))*IF(11=$R78,$S78,12)/12,6)+$B$4),BC78-$I78)))))</f>
        <v/>
      </c>
      <c r="BE78" s="68">
        <f>IF($U78=0,0,IF($F78=4,0,IF($F78=3,0,IF(OR(12&gt;$R78,BD78&lt;=$I78),BD78,BD78-MIN(INT(ROUND(IF($F78=1,$C78*$J78,IF(FC78&gt;0,FC78*$K78,BD78*$J78))*IF(12=$R78,$S78,12)/12,6)+$B$4),BD78-$I78)))))</f>
        <v/>
      </c>
      <c r="BF78" s="68">
        <f>IF($U78=0,0,IF($F78=4,0,IF($F78=3,0,IF(OR(13&gt;$R78,BE78&lt;=$I78),BE78,BE78-MIN(INT(ROUND(IF($F78=1,$C78*$J78,IF(FD78&gt;0,FD78*$K78,BE78*$J78))*IF(13=$R78,$S78,12)/12,6)+$B$4),BE78-$I78)))))</f>
        <v/>
      </c>
      <c r="BG78" s="68">
        <f>IF($U78=0,0,IF($F78=4,0,IF($F78=3,0,IF(OR(14&gt;$R78,BF78&lt;=$I78),BF78,BF78-MIN(INT(ROUND(IF($F78=1,$C78*$J78,IF(FE78&gt;0,FE78*$K78,BF78*$J78))*IF(14=$R78,$S78,12)/12,6)+$B$4),BF78-$I78)))))</f>
        <v/>
      </c>
      <c r="BH78" s="68">
        <f>IF($U78=0,0,IF($F78=4,0,IF($F78=3,0,IF(OR(15&gt;$R78,BG78&lt;=$I78),BG78,BG78-MIN(INT(ROUND(IF($F78=1,$C78*$J78,IF(FF78&gt;0,FF78*$K78,BG78*$J78))*IF(15=$R78,$S78,12)/12,6)+$B$4),BG78-$I78)))))</f>
        <v/>
      </c>
      <c r="BI78" s="68">
        <f>IF($U78=0,0,IF($F78=4,0,IF($F78=3,0,IF(OR(16&gt;$R78,BH78&lt;=$I78),BH78,BH78-MIN(INT(ROUND(IF($F78=1,$C78*$J78,IF(FG78&gt;0,FG78*$K78,BH78*$J78))*IF(16=$R78,$S78,12)/12,6)+$B$4),BH78-$I78)))))</f>
        <v/>
      </c>
      <c r="BJ78" s="68">
        <f>IF($U78=0,0,IF($F78=4,0,IF($F78=3,0,IF(OR(17&gt;$R78,BI78&lt;=$I78),BI78,BI78-MIN(INT(ROUND(IF($F78=1,$C78*$J78,IF(FH78&gt;0,FH78*$K78,BI78*$J78))*IF(17=$R78,$S78,12)/12,6)+$B$4),BI78-$I78)))))</f>
        <v/>
      </c>
      <c r="BK78" s="68">
        <f>IF($U78=0,0,IF($F78=4,0,IF($F78=3,0,IF(OR(18&gt;$R78,BJ78&lt;=$I78),BJ78,BJ78-MIN(INT(ROUND(IF($F78=1,$C78*$J78,IF(FI78&gt;0,FI78*$K78,BJ78*$J78))*IF(18=$R78,$S78,12)/12,6)+$B$4),BJ78-$I78)))))</f>
        <v/>
      </c>
      <c r="BL78" s="68">
        <f>IF($U78=0,0,IF($F78=4,0,IF($F78=3,0,IF(OR(19&gt;$R78,BK78&lt;=$I78),BK78,BK78-MIN(INT(ROUND(IF($F78=1,$C78*$J78,IF(FJ78&gt;0,FJ78*$K78,BK78*$J78))*IF(19=$R78,$S78,12)/12,6)+$B$4),BK78-$I78)))))</f>
        <v/>
      </c>
      <c r="BM78" s="68">
        <f>IF($U78=0,0,IF($F78=4,0,IF($F78=3,0,IF(OR(20&gt;$R78,BL78&lt;=$I78),BL78,BL78-MIN(INT(ROUND(IF($F78=1,$C78*$J78,IF(FK78&gt;0,FK78*$K78,BL78*$J78))*IF(20=$R78,$S78,12)/12,6)+$B$4),BL78-$I78)))))</f>
        <v/>
      </c>
      <c r="BN78" s="68">
        <f>IF($U78=0,0,IF($F78=4,0,IF($F78=3,0,IF(OR(21&gt;$R78,BM78&lt;=$I78),BM78,BM78-MIN(INT(ROUND(IF($F78=1,$C78*$J78,IF(FL78&gt;0,FL78*$K78,BM78*$J78))*IF(21=$R78,$S78,12)/12,6)+$B$4),BM78-$I78)))))</f>
        <v/>
      </c>
      <c r="BO78" s="68">
        <f>IF($U78=0,0,IF($F78=4,0,IF($F78=3,0,IF(OR(22&gt;$R78,BN78&lt;=$I78),BN78,BN78-MIN(INT(ROUND(IF($F78=1,$C78*$J78,IF(FM78&gt;0,FM78*$K78,BN78*$J78))*IF(22=$R78,$S78,12)/12,6)+$B$4),BN78-$I78)))))</f>
        <v/>
      </c>
      <c r="BP78" s="68">
        <f>IF($U78=0,0,IF($F78=4,0,IF($F78=3,0,IF(OR(23&gt;$R78,BO78&lt;=$I78),BO78,BO78-MIN(INT(ROUND(IF($F78=1,$C78*$J78,IF(FN78&gt;0,FN78*$K78,BO78*$J78))*IF(23=$R78,$S78,12)/12,6)+$B$4),BO78-$I78)))))</f>
        <v/>
      </c>
      <c r="BQ78" s="68">
        <f>IF($U78=0,0,IF($F78=4,0,IF($F78=3,0,IF(OR(24&gt;$R78,BP78&lt;=$I78),BP78,BP78-MIN(INT(ROUND(IF($F78=1,$C78*$J78,IF(FO78&gt;0,FO78*$K78,BP78*$J78))*IF(24=$R78,$S78,12)/12,6)+$B$4),BP78-$I78)))))</f>
        <v/>
      </c>
      <c r="BR78" s="68">
        <f>IF($U78=0,0,IF($F78=4,0,IF($F78=3,0,IF(OR(25&gt;$R78,BQ78&lt;=$I78),BQ78,BQ78-MIN(INT(ROUND(IF($F78=1,$C78*$J78,IF(FP78&gt;0,FP78*$K78,BQ78*$J78))*IF(25=$R78,$S78,12)/12,6)+$B$4),BQ78-$I78)))))</f>
        <v/>
      </c>
      <c r="BS78" s="68">
        <f>IF($U78=0,0,IF($F78=4,0,IF($F78=3,0,IF(OR(26&gt;$R78,BR78&lt;=$I78),BR78,BR78-MIN(INT(ROUND(IF($F78=1,$C78*$J78,IF(FQ78&gt;0,FQ78*$K78,BR78*$J78))*IF(26=$R78,$S78,12)/12,6)+$B$4),BR78-$I78)))))</f>
        <v/>
      </c>
      <c r="BT78" s="68">
        <f>IF($U78=0,0,IF($F78=4,0,IF($F78=3,0,IF(OR(27&gt;$R78,BS78&lt;=$I78),BS78,BS78-MIN(INT(ROUND(IF($F78=1,$C78*$J78,IF(FR78&gt;0,FR78*$K78,BS78*$J78))*IF(27=$R78,$S78,12)/12,6)+$B$4),BS78-$I78)))))</f>
        <v/>
      </c>
      <c r="BU78" s="68">
        <f>IF($U78=0,0,IF($F78=4,0,IF($F78=3,0,IF(OR(28&gt;$R78,BT78&lt;=$I78),BT78,BT78-MIN(INT(ROUND(IF($F78=1,$C78*$J78,IF(FS78&gt;0,FS78*$K78,BT78*$J78))*IF(28=$R78,$S78,12)/12,6)+$B$4),BT78-$I78)))))</f>
        <v/>
      </c>
      <c r="BV78" s="68">
        <f>IF($U78=0,0,IF($F78=4,0,IF($F78=3,0,IF(OR(29&gt;$R78,BU78&lt;=$I78),BU78,BU78-MIN(INT(ROUND(IF($F78=1,$C78*$J78,IF(FT78&gt;0,FT78*$K78,BU78*$J78))*IF(29=$R78,$S78,12)/12,6)+$B$4),BU78-$I78)))))</f>
        <v/>
      </c>
      <c r="BW78" s="68">
        <f>IF($U78=0,0,IF($F78=4,0,IF($F78=3,0,IF(OR(30&gt;$R78,BV78&lt;=$I78),BV78,BV78-MIN(INT(ROUND(IF($F78=1,$C78*$J78,IF(FU78&gt;0,FU78*$K78,BV78*$J78))*IF(30=$R78,$S78,12)/12,6)+$B$4),BV78-$I78)))))</f>
        <v/>
      </c>
      <c r="BX78" s="68">
        <f>IF($U78=0,0,IF($F78=4,0,IF($F78=3,0,IF(OR(31&gt;$R78,BW78&lt;=$I78),BW78,BW78-MIN(INT(ROUND(IF($F78=1,$C78*$J78,IF(FV78&gt;0,FV78*$K78,BW78*$J78))*IF(31=$R78,$S78,12)/12,6)+$B$4),BW78-$I78)))))</f>
        <v/>
      </c>
      <c r="BY78" s="68">
        <f>IF($U78=0,0,IF($F78=4,0,IF($F78=3,0,IF(OR(32&gt;$R78,BX78&lt;=$I78),BX78,BX78-MIN(INT(ROUND(IF($F78=1,$C78*$J78,IF(FW78&gt;0,FW78*$K78,BX78*$J78))*IF(32=$R78,$S78,12)/12,6)+$B$4),BX78-$I78)))))</f>
        <v/>
      </c>
      <c r="BZ78" s="68">
        <f>IF($U78=0,0,IF($F78=4,0,IF($F78=3,0,IF(OR(33&gt;$R78,BY78&lt;=$I78),BY78,BY78-MIN(INT(ROUND(IF($F78=1,$C78*$J78,IF(FX78&gt;0,FX78*$K78,BY78*$J78))*IF(33=$R78,$S78,12)/12,6)+$B$4),BY78-$I78)))))</f>
        <v/>
      </c>
      <c r="CA78" s="68">
        <f>IF($U78=0,0,IF($F78=4,0,IF($F78=3,0,IF(OR(34&gt;$R78,BZ78&lt;=$I78),BZ78,BZ78-MIN(INT(ROUND(IF($F78=1,$C78*$J78,IF(FY78&gt;0,FY78*$K78,BZ78*$J78))*IF(34=$R78,$S78,12)/12,6)+$B$4),BZ78-$I78)))))</f>
        <v/>
      </c>
      <c r="CB78" s="68">
        <f>IF($U78=0,0,IF($F78=4,0,IF($F78=3,0,IF(OR(35&gt;$R78,CA78&lt;=$I78),CA78,CA78-MIN(INT(ROUND(IF($F78=1,$C78*$J78,IF(FZ78&gt;0,FZ78*$K78,CA78*$J78))*IF(35=$R78,$S78,12)/12,6)+$B$4),CA78-$I78)))))</f>
        <v/>
      </c>
      <c r="CC78" s="68">
        <f>IF($U78=0,0,IF($F78=4,0,IF($F78=3,0,IF(OR(36&gt;$R78,CB78&lt;=$I78),CB78,CB78-MIN(INT(ROUND(IF($F78=1,$C78*$J78,IF(GA78&gt;0,GA78*$K78,CB78*$J78))*IF(36=$R78,$S78,12)/12,6)+$B$4),CB78-$I78)))))</f>
        <v/>
      </c>
      <c r="CD78" s="68">
        <f>IF($U78=0,0,IF($F78=4,0,IF($F78=3,0,IF(OR(37&gt;$R78,CC78&lt;=$I78),CC78,CC78-MIN(INT(ROUND(IF($F78=1,$C78*$J78,IF(GB78&gt;0,GB78*$K78,CC78*$J78))*IF(37=$R78,$S78,12)/12,6)+$B$4),CC78-$I78)))))</f>
        <v/>
      </c>
      <c r="CE78" s="68">
        <f>IF($U78=0,0,IF($F78=4,0,IF($F78=3,0,IF(OR(38&gt;$R78,CD78&lt;=$I78),CD78,CD78-MIN(INT(ROUND(IF($F78=1,$C78*$J78,IF(GC78&gt;0,GC78*$K78,CD78*$J78))*IF(38=$R78,$S78,12)/12,6)+$B$4),CD78-$I78)))))</f>
        <v/>
      </c>
      <c r="CF78" s="68">
        <f>IF($U78=0,0,IF($F78=4,0,IF($F78=3,0,IF(OR(39&gt;$R78,CE78&lt;=$I78),CE78,CE78-MIN(INT(ROUND(IF($F78=1,$C78*$J78,IF(GD78&gt;0,GD78*$K78,CE78*$J78))*IF(39=$R78,$S78,12)/12,6)+$B$4),CE78-$I78)))))</f>
        <v/>
      </c>
      <c r="CG78" s="68">
        <f>IF($U78=0,0,IF($F78=4,0,IF($F78=3,0,IF(OR(40&gt;$R78,CF78&lt;=$I78),CF78,CF78-MIN(INT(ROUND(IF($F78=1,$C78*$J78,IF(GE78&gt;0,GE78*$K78,CF78*$J78))*IF(40=$R78,$S78,12)/12,6)+$B$4),CF78-$I78)))))</f>
        <v/>
      </c>
      <c r="CH78" s="68">
        <f>IF($U78=0,0,IF($F78=4,0,IF($F78=3,0,IF(OR(41&gt;$R78,CG78&lt;=$I78),CG78,CG78-MIN(INT(ROUND(IF($F78=1,$C78*$J78,IF(GF78&gt;0,GF78*$K78,CG78*$J78))*IF(41=$R78,$S78,12)/12,6)+$B$4),CG78-$I78)))))</f>
        <v/>
      </c>
      <c r="CI78" s="68">
        <f>IF($U78=0,0,IF($F78=4,0,IF($F78=3,0,IF(OR(42&gt;$R78,CH78&lt;=$I78),CH78,CH78-MIN(INT(ROUND(IF($F78=1,$C78*$J78,IF(GG78&gt;0,GG78*$K78,CH78*$J78))*IF(42=$R78,$S78,12)/12,6)+$B$4),CH78-$I78)))))</f>
        <v/>
      </c>
      <c r="CJ78" s="68">
        <f>IF($U78=0,0,IF($F78=4,0,IF($F78=3,0,IF(OR(43&gt;$R78,CI78&lt;=$I78),CI78,CI78-MIN(INT(ROUND(IF($F78=1,$C78*$J78,IF(GH78&gt;0,GH78*$K78,CI78*$J78))*IF(43=$R78,$S78,12)/12,6)+$B$4),CI78-$I78)))))</f>
        <v/>
      </c>
      <c r="CK78" s="68">
        <f>IF($U78=0,0,IF($F78=4,0,IF($F78=3,0,IF(OR(44&gt;$R78,CJ78&lt;=$I78),CJ78,CJ78-MIN(INT(ROUND(IF($F78=1,$C78*$J78,IF(GI78&gt;0,GI78*$K78,CJ78*$J78))*IF(44=$R78,$S78,12)/12,6)+$B$4),CJ78-$I78)))))</f>
        <v/>
      </c>
      <c r="CL78" s="68">
        <f>IF($U78=0,0,IF($F78=4,0,IF($F78=3,0,IF(OR(45&gt;$R78,CK78&lt;=$I78),CK78,CK78-MIN(INT(ROUND(IF($F78=1,$C78*$J78,IF(GJ78&gt;0,GJ78*$K78,CK78*$J78))*IF(45=$R78,$S78,12)/12,6)+$B$4),CK78-$I78)))))</f>
        <v/>
      </c>
      <c r="CM78" s="68">
        <f>IF($U78=0,0,IF($F78=4,0,IF($F78=3,0,IF(OR(46&gt;$R78,CL78&lt;=$I78),CL78,CL78-MIN(INT(ROUND(IF($F78=1,$C78*$J78,IF(GK78&gt;0,GK78*$K78,CL78*$J78))*IF(46=$R78,$S78,12)/12,6)+$B$4),CL78-$I78)))))</f>
        <v/>
      </c>
      <c r="CN78" s="68">
        <f>IF($U78=0,0,IF($F78=4,0,IF($F78=3,0,IF(OR(47&gt;$R78,CM78&lt;=$I78),CM78,CM78-MIN(INT(ROUND(IF($F78=1,$C78*$J78,IF(GL78&gt;0,GL78*$K78,CM78*$J78))*IF(47=$R78,$S78,12)/12,6)+$B$4),CM78-$I78)))))</f>
        <v/>
      </c>
      <c r="CO78" s="68">
        <f>IF($U78=0,0,IF($F78=4,0,IF($F78=3,0,IF(OR(48&gt;$R78,CN78&lt;=$I78),CN78,CN78-MIN(INT(ROUND(IF($F78=1,$C78*$J78,IF(GM78&gt;0,GM78*$K78,CN78*$J78))*IF(48=$R78,$S78,12)/12,6)+$B$4),CN78-$I78)))))</f>
        <v/>
      </c>
      <c r="CP78" s="68">
        <f>IF($U78=0,0,IF($F78=4,0,IF($F78=3,0,IF(OR(49&gt;$R78,CO78&lt;=$I78),CO78,CO78-MIN(INT(ROUND(IF($F78=1,$C78*$J78,IF(GN78&gt;0,GN78*$K78,CO78*$J78))*IF(49=$R78,$S78,12)/12,6)+$B$4),CO78-$I78)))))</f>
        <v/>
      </c>
      <c r="CQ78" s="68">
        <f>IF($U78=0,0,IF($F78=4,0,IF($F78=3,0,IF(OR(50&gt;$R78,CP78&lt;=$I78),CP78,CP78-MIN(INT(ROUND(IF($F78=1,$C78*$J78,IF(GO78&gt;0,GO78*$K78,CP78*$J78))*IF(50=$R78,$S78,12)/12,6)+$B$4),CP78-$I78)))))</f>
        <v/>
      </c>
      <c r="CR78" s="68">
        <f>IF($U78=0,0,IF($F78=4,0,IF($F78=3,0,IF(OR(51&gt;$R78,CQ78&lt;=$I78),CQ78,CQ78-MIN(INT(ROUND(IF($F78=1,$C78*$J78,IF(GP78&gt;0,GP78*$K78,CQ78*$J78))*IF(51=$R78,$S78,12)/12,6)+$B$4),CQ78-$I78)))))</f>
        <v/>
      </c>
      <c r="CS78" s="68">
        <f>IF($U78=0,0,IF($F78=4,0,IF($F78=3,0,IF(OR(52&gt;$R78,CR78&lt;=$I78),CR78,CR78-MIN(INT(ROUND(IF($F78=1,$C78*$J78,IF(GQ78&gt;0,GQ78*$K78,CR78*$J78))*IF(52=$R78,$S78,12)/12,6)+$B$4),CR78-$I78)))))</f>
        <v/>
      </c>
      <c r="CT78" s="68">
        <f>IF($U78=0,0,IF($F78=4,0,IF($F78=3,0,IF(OR(53&gt;$R78,CS78&lt;=$I78),CS78,CS78-MIN(INT(ROUND(IF($F78=1,$C78*$J78,IF(GR78&gt;0,GR78*$K78,CS78*$J78))*IF(53=$R78,$S78,12)/12,6)+$B$4),CS78-$I78)))))</f>
        <v/>
      </c>
      <c r="CU78" s="68">
        <f>IF($U78=0,0,IF($F78=4,0,IF($F78=3,0,IF(OR(54&gt;$R78,CT78&lt;=$I78),CT78,CT78-MIN(INT(ROUND(IF($F78=1,$C78*$J78,IF(GS78&gt;0,GS78*$K78,CT78*$J78))*IF(54=$R78,$S78,12)/12,6)+$B$4),CT78-$I78)))))</f>
        <v/>
      </c>
      <c r="CV78" s="68">
        <f>IF($U78=0,0,IF($F78=4,0,IF($F78=3,0,IF(OR(55&gt;$R78,CU78&lt;=$I78),CU78,CU78-MIN(INT(ROUND(IF($F78=1,$C78*$J78,IF(GT78&gt;0,GT78*$K78,CU78*$J78))*IF(55=$R78,$S78,12)/12,6)+$B$4),CU78-$I78)))))</f>
        <v/>
      </c>
      <c r="CW78" s="68">
        <f>IF($U78=0,0,IF($F78=4,0,IF($F78=3,0,IF(OR(56&gt;$R78,CV78&lt;=$I78),CV78,CV78-MIN(INT(ROUND(IF($F78=1,$C78*$J78,IF(GU78&gt;0,GU78*$K78,CV78*$J78))*IF(56=$R78,$S78,12)/12,6)+$B$4),CV78-$I78)))))</f>
        <v/>
      </c>
      <c r="CX78" s="68">
        <f>IF($U78=0,0,IF($F78=4,0,IF($F78=3,0,IF(OR(57&gt;$R78,CW78&lt;=$I78),CW78,CW78-MIN(INT(ROUND(IF($F78=1,$C78*$J78,IF(GV78&gt;0,GV78*$K78,CW78*$J78))*IF(57=$R78,$S78,12)/12,6)+$B$4),CW78-$I78)))))</f>
        <v/>
      </c>
      <c r="CY78" s="68">
        <f>IF($U78=0,0,IF($F78=4,0,IF($F78=3,0,IF(OR(58&gt;$R78,CX78&lt;=$I78),CX78,CX78-MIN(INT(ROUND(IF($F78=1,$C78*$J78,IF(GW78&gt;0,GW78*$K78,CX78*$J78))*IF(58=$R78,$S78,12)/12,6)+$B$4),CX78-$I78)))))</f>
        <v/>
      </c>
      <c r="CZ78" s="68">
        <f>IF($U78=0,0,IF($F78=4,0,IF($F78=3,0,IF(OR(59&gt;$R78,CY78&lt;=$I78),CY78,CY78-MIN(INT(ROUND(IF($F78=1,$C78*$J78,IF(GX78&gt;0,GX78*$K78,CY78*$J78))*IF(59=$R78,$S78,12)/12,6)+$B$4),CY78-$I78)))))</f>
        <v/>
      </c>
      <c r="DA78" s="68">
        <f>IF($U78=0,0,IF($F78=4,0,IF($F78=3,0,IF(OR(60&gt;$R78,CZ78&lt;=$I78),CZ78,CZ78-MIN(INT(ROUND(IF($F78=1,$C78*$J78,IF(GY78&gt;0,GY78*$K78,CZ78*$J78))*IF(60=$R78,$S78,12)/12,6)+$B$4),CZ78-$I78)))))</f>
        <v/>
      </c>
      <c r="DB78" s="68">
        <f>IF($U78=0,0,IF($F78=4,0,IF($F78=3,0,IF(OR(61&gt;$R78,DA78&lt;=$I78),DA78,DA78-MIN(INT(ROUND(IF($F78=1,$C78*$J78,IF(GZ78&gt;0,GZ78*$K78,DA78*$J78))*IF(61=$R78,$S78,12)/12,6)+$B$4),DA78-$I78)))))</f>
        <v/>
      </c>
      <c r="DC78" s="68">
        <f>IF($U78=0,0,IF($F78=4,0,IF($F78=3,0,IF(OR(62&gt;$R78,DB78&lt;=$I78),DB78,DB78-MIN(INT(ROUND(IF($F78=1,$C78*$J78,IF(HA78&gt;0,HA78*$K78,DB78*$J78))*IF(62=$R78,$S78,12)/12,6)+$B$4),DB78-$I78)))))</f>
        <v/>
      </c>
      <c r="DD78" s="68">
        <f>IF($U78=0,0,IF($F78=4,0,IF($F78=3,0,IF(OR(63&gt;$R78,DC78&lt;=$I78),DC78,DC78-MIN(INT(ROUND(IF($F78=1,$C78*$J78,IF(HB78&gt;0,HB78*$K78,DC78*$J78))*IF(63=$R78,$S78,12)/12,6)+$B$4),DC78-$I78)))))</f>
        <v/>
      </c>
      <c r="DE78" s="68">
        <f>IF($U78=0,0,IF($F78=4,0,IF($F78=3,0,IF(OR(64&gt;$R78,DD78&lt;=$I78),DD78,DD78-MIN(INT(ROUND(IF($F78=1,$C78*$J78,IF(HC78&gt;0,HC78*$K78,DD78*$J78))*IF(64=$R78,$S78,12)/12,6)+$B$4),DD78-$I78)))))</f>
        <v/>
      </c>
      <c r="DF78" s="68">
        <f>IF($U78=0,0,IF($F78=4,0,IF($F78=3,0,IF(OR(65&gt;$R78,DE78&lt;=$I78),DE78,DE78-MIN(INT(ROUND(IF($F78=1,$C78*$J78,IF(HD78&gt;0,HD78*$K78,DE78*$J78))*IF(65=$R78,$S78,12)/12,6)+$B$4),DE78-$I78)))))</f>
        <v/>
      </c>
      <c r="DG78" s="68">
        <f>IF($U78=0,0,IF($F78=4,0,IF($F78=3,0,IF(OR(66&gt;$R78,DF78&lt;=$I78),DF78,DF78-MIN(INT(ROUND(IF($F78=1,$C78*$J78,IF(HE78&gt;0,HE78*$K78,DF78*$J78))*IF(66=$R78,$S78,12)/12,6)+$B$4),DF78-$I78)))))</f>
        <v/>
      </c>
      <c r="DH78" s="68">
        <f>IF($U78=0,0,IF($F78=4,0,IF($F78=3,0,IF(OR(67&gt;$R78,DG78&lt;=$I78),DG78,DG78-MIN(INT(ROUND(IF($F78=1,$C78*$J78,IF(HF78&gt;0,HF78*$K78,DG78*$J78))*IF(67=$R78,$S78,12)/12,6)+$B$4),DG78-$I78)))))</f>
        <v/>
      </c>
      <c r="DI78" s="68">
        <f>IF($U78=0,0,IF($F78=4,0,IF($F78=3,0,IF(OR(68&gt;$R78,DH78&lt;=$I78),DH78,DH78-MIN(INT(ROUND(IF($F78=1,$C78*$J78,IF(HG78&gt;0,HG78*$K78,DH78*$J78))*IF(68=$R78,$S78,12)/12,6)+$B$4),DH78-$I78)))))</f>
        <v/>
      </c>
      <c r="DJ78" s="68">
        <f>IF($U78=0,0,IF($F78=4,0,IF($F78=3,0,IF(OR(69&gt;$R78,DI78&lt;=$I78),DI78,DI78-MIN(INT(ROUND(IF($F78=1,$C78*$J78,IF(HH78&gt;0,HH78*$K78,DI78*$J78))*IF(69=$R78,$S78,12)/12,6)+$B$4),DI78-$I78)))))</f>
        <v/>
      </c>
      <c r="DK78" s="68">
        <f>IF($U78=0,0,IF($F78=4,0,IF($F78=3,0,IF(OR(70&gt;$R78,DJ78&lt;=$I78),DJ78,DJ78-MIN(INT(ROUND(IF($F78=1,$C78*$J78,IF(HI78&gt;0,HI78*$K78,DJ78*$J78))*IF(70=$R78,$S78,12)/12,6)+$B$4),DJ78-$I78)))))</f>
        <v/>
      </c>
      <c r="DL78" s="68">
        <f>IF($U78=0,0,IF($F78=4,0,IF($F78=3,0,IF(OR(71&gt;$R78,DK78&lt;=$I78),DK78,DK78-MIN(INT(ROUND(IF($F78=1,$C78*$J78,IF(HJ78&gt;0,HJ78*$K78,DK78*$J78))*IF(71=$R78,$S78,12)/12,6)+$B$4),DK78-$I78)))))</f>
        <v/>
      </c>
      <c r="DM78" s="68">
        <f>IF($U78=0,0,IF($F78=4,0,IF($F78=3,0,IF(OR(72&gt;$R78,DL78&lt;=$I78),DL78,DL78-MIN(INT(ROUND(IF($F78=1,$C78*$J78,IF(HK78&gt;0,HK78*$K78,DL78*$J78))*IF(72=$R78,$S78,12)/12,6)+$B$4),DL78-$I78)))))</f>
        <v/>
      </c>
      <c r="DN78" s="68">
        <f>IF($U78=0,0,IF($F78=4,0,IF($F78=3,0,IF(OR(73&gt;$R78,DM78&lt;=$I78),DM78,DM78-MIN(INT(ROUND(IF($F78=1,$C78*$J78,IF(HL78&gt;0,HL78*$K78,DM78*$J78))*IF(73=$R78,$S78,12)/12,6)+$B$4),DM78-$I78)))))</f>
        <v/>
      </c>
      <c r="DO78" s="68">
        <f>IF($U78=0,0,IF($F78=4,0,IF($F78=3,0,IF(OR(74&gt;$R78,DN78&lt;=$I78),DN78,DN78-MIN(INT(ROUND(IF($F78=1,$C78*$J78,IF(HM78&gt;0,HM78*$K78,DN78*$J78))*IF(74=$R78,$S78,12)/12,6)+$B$4),DN78-$I78)))))</f>
        <v/>
      </c>
      <c r="DP78" s="68">
        <f>IF($U78=0,0,IF($F78=4,0,IF($F78=3,0,IF(OR(75&gt;$R78,DO78&lt;=$I78),DO78,DO78-MIN(INT(ROUND(IF($F78=1,$C78*$J78,IF(HN78&gt;0,HN78*$K78,DO78*$J78))*IF(75=$R78,$S78,12)/12,6)+$B$4),DO78-$I78)))))</f>
        <v/>
      </c>
      <c r="DQ78" s="68">
        <f>IF($U78=0,0,IF($F78=4,0,IF($F78=3,0,IF(OR(76&gt;$R78,DP78&lt;=$I78),DP78,DP78-MIN(INT(ROUND(IF($F78=1,$C78*$J78,IF(HO78&gt;0,HO78*$K78,DP78*$J78))*IF(76=$R78,$S78,12)/12,6)+$B$4),DP78-$I78)))))</f>
        <v/>
      </c>
      <c r="DR78" s="68">
        <f>IF($U78=0,0,IF($F78=4,0,IF($F78=3,0,IF(OR(77&gt;$R78,DQ78&lt;=$I78),DQ78,DQ78-MIN(INT(ROUND(IF($F78=1,$C78*$J78,IF(HP78&gt;0,HP78*$K78,DQ78*$J78))*IF(77=$R78,$S78,12)/12,6)+$B$4),DQ78-$I78)))))</f>
        <v/>
      </c>
      <c r="DS78" s="68">
        <f>IF($U78=0,0,IF($F78=4,0,IF($F78=3,0,IF(OR(78&gt;$R78,DR78&lt;=$I78),DR78,DR78-MIN(INT(ROUND(IF($F78=1,$C78*$J78,IF(HQ78&gt;0,HQ78*$K78,DR78*$J78))*IF(78=$R78,$S78,12)/12,6)+$B$4),DR78-$I78)))))</f>
        <v/>
      </c>
      <c r="DT78" s="68">
        <f>IF($U78=0,0,IF($F78=4,0,IF($F78=3,0,IF(OR(79&gt;$R78,DS78&lt;=$I78),DS78,DS78-MIN(INT(ROUND(IF($F78=1,$C78*$J78,IF(HR78&gt;0,HR78*$K78,DS78*$J78))*IF(79=$R78,$S78,12)/12,6)+$B$4),DS78-$I78)))))</f>
        <v/>
      </c>
      <c r="DU78" s="68">
        <f>IF($U78=0,0,IF($F78=4,0,IF($F78=3,0,IF(OR(80&gt;$R78,DT78&lt;=$I78),DT78,DT78-MIN(INT(ROUND(IF($F78=1,$C78*$J78,IF(HS78&gt;0,HS78*$K78,DT78*$J78))*IF(80=$R78,$S78,12)/12,6)+$B$4),DT78-$I78)))))</f>
        <v/>
      </c>
      <c r="DV78" s="68">
        <f>IF($U78=0,0,IF($F78=4,0,IF($F78=3,0,IF(OR(81&gt;$R78,DU78&lt;=$I78),DU78,DU78-MIN(INT(ROUND(IF($F78=1,$C78*$J78,IF(HT78&gt;0,HT78*$K78,DU78*$J78))*IF(81=$R78,$S78,12)/12,6)+$B$4),DU78-$I78)))))</f>
        <v/>
      </c>
      <c r="DW78" s="68">
        <f>IF($U78=0,0,IF($F78=4,0,IF($F78=3,0,IF(OR(82&gt;$R78,DV78&lt;=$I78),DV78,DV78-MIN(INT(ROUND(IF($F78=1,$C78*$J78,IF(HU78&gt;0,HU78*$K78,DV78*$J78))*IF(82=$R78,$S78,12)/12,6)+$B$4),DV78-$I78)))))</f>
        <v/>
      </c>
      <c r="DX78" s="68">
        <f>IF($U78=0,0,IF($F78=4,0,IF($F78=3,0,IF(OR(83&gt;$R78,DW78&lt;=$I78),DW78,DW78-MIN(INT(ROUND(IF($F78=1,$C78*$J78,IF(HV78&gt;0,HV78*$K78,DW78*$J78))*IF(83=$R78,$S78,12)/12,6)+$B$4),DW78-$I78)))))</f>
        <v/>
      </c>
      <c r="DY78" s="68">
        <f>IF($U78=0,0,IF($F78=4,0,IF($F78=3,0,IF(OR(84&gt;$R78,DX78&lt;=$I78),DX78,DX78-MIN(INT(ROUND(IF($F78=1,$C78*$J78,IF(HW78&gt;0,HW78*$K78,DX78*$J78))*IF(84=$R78,$S78,12)/12,6)+$B$4),DX78-$I78)))))</f>
        <v/>
      </c>
      <c r="DZ78" s="68">
        <f>IF($U78=0,0,IF($F78=4,0,IF($F78=3,0,IF(OR(85&gt;$R78,DY78&lt;=$I78),DY78,DY78-MIN(INT(ROUND(IF($F78=1,$C78*$J78,IF(HX78&gt;0,HX78*$K78,DY78*$J78))*IF(85=$R78,$S78,12)/12,6)+$B$4),DY78-$I78)))))</f>
        <v/>
      </c>
      <c r="EA78" s="68">
        <f>IF($U78=0,0,IF($F78=4,0,IF($F78=3,0,IF(OR(86&gt;$R78,DZ78&lt;=$I78),DZ78,DZ78-MIN(INT(ROUND(IF($F78=1,$C78*$J78,IF(HY78&gt;0,HY78*$K78,DZ78*$J78))*IF(86=$R78,$S78,12)/12,6)+$B$4),DZ78-$I78)))))</f>
        <v/>
      </c>
      <c r="EB78" s="68">
        <f>IF($U78=0,0,IF($F78=4,0,IF($F78=3,0,IF(OR(87&gt;$R78,EA78&lt;=$I78),EA78,EA78-MIN(INT(ROUND(IF($F78=1,$C78*$J78,IF(HZ78&gt;0,HZ78*$K78,EA78*$J78))*IF(87=$R78,$S78,12)/12,6)+$B$4),EA78-$I78)))))</f>
        <v/>
      </c>
      <c r="EC78" s="68">
        <f>IF($U78=0,0,IF($F78=4,0,IF($F78=3,0,IF(OR(88&gt;$R78,EB78&lt;=$I78),EB78,EB78-MIN(INT(ROUND(IF($F78=1,$C78*$J78,IF(IA78&gt;0,IA78*$K78,EB78*$J78))*IF(88=$R78,$S78,12)/12,6)+$B$4),EB78-$I78)))))</f>
        <v/>
      </c>
      <c r="ED78" s="68">
        <f>IF($U78=0,0,IF($F78=4,0,IF($F78=3,0,IF(OR(89&gt;$R78,EC78&lt;=$I78),EC78,EC78-MIN(INT(ROUND(IF($F78=1,$C78*$J78,IF(IB78&gt;0,IB78*$K78,EC78*$J78))*IF(89=$R78,$S78,12)/12,6)+$B$4),EC78-$I78)))))</f>
        <v/>
      </c>
      <c r="EE78" s="68">
        <f>IF($U78=0,0,IF($F78=4,0,IF($F78=3,0,IF(OR(90&gt;$R78,ED78&lt;=$I78),ED78,ED78-MIN(INT(ROUND(IF($F78=1,$C78*$J78,IF(IC78&gt;0,IC78*$K78,ED78*$J78))*IF(90=$R78,$S78,12)/12,6)+$B$4),ED78-$I78)))))</f>
        <v/>
      </c>
      <c r="EF78" s="68">
        <f>IF($U78=0,0,IF($F78=4,0,IF($F78=3,0,IF(OR(91&gt;$R78,EE78&lt;=$I78),EE78,EE78-MIN(INT(ROUND(IF($F78=1,$C78*$J78,IF(ID78&gt;0,ID78*$K78,EE78*$J78))*IF(91=$R78,$S78,12)/12,6)+$B$4),EE78-$I78)))))</f>
        <v/>
      </c>
      <c r="EG78" s="68">
        <f>IF($U78=0,0,IF($F78=4,0,IF($F78=3,0,IF(OR(92&gt;$R78,EF78&lt;=$I78),EF78,EF78-MIN(INT(ROUND(IF($F78=1,$C78*$J78,IF(IE78&gt;0,IE78*$K78,EF78*$J78))*IF(92=$R78,$S78,12)/12,6)+$B$4),EF78-$I78)))))</f>
        <v/>
      </c>
      <c r="EH78" s="68">
        <f>IF($U78=0,0,IF($F78=4,0,IF($F78=3,0,IF(OR(93&gt;$R78,EG78&lt;=$I78),EG78,EG78-MIN(INT(ROUND(IF($F78=1,$C78*$J78,IF(IF78&gt;0,IF78*$K78,EG78*$J78))*IF(93=$R78,$S78,12)/12,6)+$B$4),EG78-$I78)))))</f>
        <v/>
      </c>
      <c r="EI78" s="68">
        <f>IF($U78=0,0,IF($F78=4,0,IF($F78=3,0,IF(OR(94&gt;$R78,EH78&lt;=$I78),EH78,EH78-MIN(INT(ROUND(IF($F78=1,$C78*$J78,IF(IG78&gt;0,IG78*$K78,EH78*$J78))*IF(94=$R78,$S78,12)/12,6)+$B$4),EH78-$I78)))))</f>
        <v/>
      </c>
      <c r="EJ78" s="68">
        <f>IF($U78=0,0,IF($F78=4,0,IF($F78=3,0,IF(OR(95&gt;$R78,EI78&lt;=$I78),EI78,EI78-MIN(INT(ROUND(IF($F78=1,$C78*$J78,IF(IH78&gt;0,IH78*$K78,EI78*$J78))*IF(95=$R78,$S78,12)/12,6)+$B$4),EI78-$I78)))))</f>
        <v/>
      </c>
      <c r="EK78" s="68">
        <f>IF($U78=0,0,IF($F78=4,0,IF($F78=3,0,IF(OR(96&gt;$R78,EJ78&lt;=$I78),EJ78,EJ78-MIN(INT(ROUND(IF($F78=1,$C78*$J78,IF(II78&gt;0,II78*$K78,EJ78*$J78))*IF(96=$R78,$S78,12)/12,6)+$B$4),EJ78-$I78)))))</f>
        <v/>
      </c>
      <c r="EL78" s="68">
        <f>IF($U78=0,0,IF($F78=4,0,IF($F78=3,0,IF(OR(97&gt;$R78,EK78&lt;=$I78),EK78,EK78-MIN(INT(ROUND(IF($F78=1,$C78*$J78,IF(IJ78&gt;0,IJ78*$K78,EK78*$J78))*IF(97=$R78,$S78,12)/12,6)+$B$4),EK78-$I78)))))</f>
        <v/>
      </c>
      <c r="EM78" s="68">
        <f>IF($U78=0,0,IF($F78=4,0,IF($F78=3,0,IF(OR(98&gt;$R78,EL78&lt;=$I78),EL78,EL78-MIN(INT(ROUND(IF($F78=1,$C78*$J78,IF(IK78&gt;0,IK78*$K78,EL78*$J78))*IF(98=$R78,$S78,12)/12,6)+$B$4),EL78-$I78)))))</f>
        <v/>
      </c>
      <c r="EN78" s="68">
        <f>IF($U78=0,0,IF($F78=4,0,IF($F78=3,0,IF(OR(99&gt;$R78,EM78&lt;=$I78),EM78,EM78-MIN(INT(ROUND(IF($F78=1,$C78*$J78,IF(IL78&gt;0,IL78*$K78,EM78*$J78))*IF(99=$R78,$S78,12)/12,6)+$B$4),EM78-$I78)))))</f>
        <v/>
      </c>
      <c r="EO78" s="68">
        <f>IF($U78=0,0,IF($F78=4,0,IF($F78=3,0,IF(OR(100&gt;$R78,EN78&lt;=$I78),EN78,EN78-MIN(INT(ROUND(IF($F78=1,$C78*$J78,IF(IM78&gt;0,IM78*$K78,EN78*$J78))*IF(100=$R78,$S78,12)/12,6)+$B$4),EN78-$I78)))))</f>
        <v/>
      </c>
      <c r="EP78" s="68">
        <f>IF($U78=0,0,IF($F78=4,0,IF($F78=3,0,IF(OR(101&gt;$R78,EO78&lt;=$I78),EO78,EO78-MIN(INT(ROUND(IF($F78=1,$C78*$J78,IF(IN78&gt;0,IN78*$K78,EO78*$J78))*IF(101=$R78,$S78,12)/12,6)+$B$4),EO78-$I78)))))</f>
        <v/>
      </c>
      <c r="EQ78" s="68" t="n"/>
      <c r="ER78" s="68">
        <f>IF(OR($U78=0,$F78&lt;&gt;2),0,IF(ROUND(AS78*$J78,6)&lt;ROUND($M78,6),AS78,0))</f>
        <v/>
      </c>
      <c r="ES78" s="68">
        <f>IF(OR($U78=0,$F78&lt;&gt;2),0,IF(ER78&gt;0,ER78,IF(ROUND(AT78*$J78,6)&lt;ROUND($M78,6),AT78,0)))</f>
        <v/>
      </c>
      <c r="ET78" s="68">
        <f>IF(OR($U78=0,$F78&lt;&gt;2),0,IF(ES78&gt;0,ES78,IF(ROUND(AU78*$J78,6)&lt;ROUND($M78,6),AU78,0)))</f>
        <v/>
      </c>
      <c r="EU78" s="68">
        <f>IF(OR($U78=0,$F78&lt;&gt;2),0,IF(ET78&gt;0,ET78,IF(ROUND(AV78*$J78,6)&lt;ROUND($M78,6),AV78,0)))</f>
        <v/>
      </c>
      <c r="EV78" s="68">
        <f>IF(OR($U78=0,$F78&lt;&gt;2),0,IF(EU78&gt;0,EU78,IF(ROUND(AW78*$J78,6)&lt;ROUND($M78,6),AW78,0)))</f>
        <v/>
      </c>
      <c r="EW78" s="68">
        <f>IF(OR($U78=0,$F78&lt;&gt;2),0,IF(EV78&gt;0,EV78,IF(ROUND(AX78*$J78,6)&lt;ROUND($M78,6),AX78,0)))</f>
        <v/>
      </c>
      <c r="EX78" s="68">
        <f>IF(OR($U78=0,$F78&lt;&gt;2),0,IF(EW78&gt;0,EW78,IF(ROUND(AY78*$J78,6)&lt;ROUND($M78,6),AY78,0)))</f>
        <v/>
      </c>
      <c r="EY78" s="68">
        <f>IF(OR($U78=0,$F78&lt;&gt;2),0,IF(EX78&gt;0,EX78,IF(ROUND(AZ78*$J78,6)&lt;ROUND($M78,6),AZ78,0)))</f>
        <v/>
      </c>
      <c r="EZ78" s="68">
        <f>IF(OR($U78=0,$F78&lt;&gt;2),0,IF(EY78&gt;0,EY78,IF(ROUND(BA78*$J78,6)&lt;ROUND($M78,6),BA78,0)))</f>
        <v/>
      </c>
      <c r="FA78" s="68">
        <f>IF(OR($U78=0,$F78&lt;&gt;2),0,IF(EZ78&gt;0,EZ78,IF(ROUND(BB78*$J78,6)&lt;ROUND($M78,6),BB78,0)))</f>
        <v/>
      </c>
      <c r="FB78" s="68">
        <f>IF(OR($U78=0,$F78&lt;&gt;2),0,IF(FA78&gt;0,FA78,IF(ROUND(BC78*$J78,6)&lt;ROUND($M78,6),BC78,0)))</f>
        <v/>
      </c>
      <c r="FC78" s="68">
        <f>IF(OR($U78=0,$F78&lt;&gt;2),0,IF(FB78&gt;0,FB78,IF(ROUND(BD78*$J78,6)&lt;ROUND($M78,6),BD78,0)))</f>
        <v/>
      </c>
      <c r="FD78" s="68">
        <f>IF(OR($U78=0,$F78&lt;&gt;2),0,IF(FC78&gt;0,FC78,IF(ROUND(BE78*$J78,6)&lt;ROUND($M78,6),BE78,0)))</f>
        <v/>
      </c>
      <c r="FE78" s="68">
        <f>IF(OR($U78=0,$F78&lt;&gt;2),0,IF(FD78&gt;0,FD78,IF(ROUND(BF78*$J78,6)&lt;ROUND($M78,6),BF78,0)))</f>
        <v/>
      </c>
      <c r="FF78" s="68">
        <f>IF(OR($U78=0,$F78&lt;&gt;2),0,IF(FE78&gt;0,FE78,IF(ROUND(BG78*$J78,6)&lt;ROUND($M78,6),BG78,0)))</f>
        <v/>
      </c>
      <c r="FG78" s="68">
        <f>IF(OR($U78=0,$F78&lt;&gt;2),0,IF(FF78&gt;0,FF78,IF(ROUND(BH78*$J78,6)&lt;ROUND($M78,6),BH78,0)))</f>
        <v/>
      </c>
      <c r="FH78" s="68">
        <f>IF(OR($U78=0,$F78&lt;&gt;2),0,IF(FG78&gt;0,FG78,IF(ROUND(BI78*$J78,6)&lt;ROUND($M78,6),BI78,0)))</f>
        <v/>
      </c>
      <c r="FI78" s="68">
        <f>IF(OR($U78=0,$F78&lt;&gt;2),0,IF(FH78&gt;0,FH78,IF(ROUND(BJ78*$J78,6)&lt;ROUND($M78,6),BJ78,0)))</f>
        <v/>
      </c>
      <c r="FJ78" s="68">
        <f>IF(OR($U78=0,$F78&lt;&gt;2),0,IF(FI78&gt;0,FI78,IF(ROUND(BK78*$J78,6)&lt;ROUND($M78,6),BK78,0)))</f>
        <v/>
      </c>
      <c r="FK78" s="68">
        <f>IF(OR($U78=0,$F78&lt;&gt;2),0,IF(FJ78&gt;0,FJ78,IF(ROUND(BL78*$J78,6)&lt;ROUND($M78,6),BL78,0)))</f>
        <v/>
      </c>
      <c r="FL78" s="68">
        <f>IF(OR($U78=0,$F78&lt;&gt;2),0,IF(FK78&gt;0,FK78,IF(ROUND(BM78*$J78,6)&lt;ROUND($M78,6),BM78,0)))</f>
        <v/>
      </c>
      <c r="FM78" s="68">
        <f>IF(OR($U78=0,$F78&lt;&gt;2),0,IF(FL78&gt;0,FL78,IF(ROUND(BN78*$J78,6)&lt;ROUND($M78,6),BN78,0)))</f>
        <v/>
      </c>
      <c r="FN78" s="68">
        <f>IF(OR($U78=0,$F78&lt;&gt;2),0,IF(FM78&gt;0,FM78,IF(ROUND(BO78*$J78,6)&lt;ROUND($M78,6),BO78,0)))</f>
        <v/>
      </c>
      <c r="FO78" s="68">
        <f>IF(OR($U78=0,$F78&lt;&gt;2),0,IF(FN78&gt;0,FN78,IF(ROUND(BP78*$J78,6)&lt;ROUND($M78,6),BP78,0)))</f>
        <v/>
      </c>
      <c r="FP78" s="68">
        <f>IF(OR($U78=0,$F78&lt;&gt;2),0,IF(FO78&gt;0,FO78,IF(ROUND(BQ78*$J78,6)&lt;ROUND($M78,6),BQ78,0)))</f>
        <v/>
      </c>
      <c r="FQ78" s="68">
        <f>IF(OR($U78=0,$F78&lt;&gt;2),0,IF(FP78&gt;0,FP78,IF(ROUND(BR78*$J78,6)&lt;ROUND($M78,6),BR78,0)))</f>
        <v/>
      </c>
      <c r="FR78" s="68">
        <f>IF(OR($U78=0,$F78&lt;&gt;2),0,IF(FQ78&gt;0,FQ78,IF(ROUND(BS78*$J78,6)&lt;ROUND($M78,6),BS78,0)))</f>
        <v/>
      </c>
      <c r="FS78" s="68">
        <f>IF(OR($U78=0,$F78&lt;&gt;2),0,IF(FR78&gt;0,FR78,IF(ROUND(BT78*$J78,6)&lt;ROUND($M78,6),BT78,0)))</f>
        <v/>
      </c>
      <c r="FT78" s="68">
        <f>IF(OR($U78=0,$F78&lt;&gt;2),0,IF(FS78&gt;0,FS78,IF(ROUND(BU78*$J78,6)&lt;ROUND($M78,6),BU78,0)))</f>
        <v/>
      </c>
      <c r="FU78" s="68">
        <f>IF(OR($U78=0,$F78&lt;&gt;2),0,IF(FT78&gt;0,FT78,IF(ROUND(BV78*$J78,6)&lt;ROUND($M78,6),BV78,0)))</f>
        <v/>
      </c>
      <c r="FV78" s="68">
        <f>IF(OR($U78=0,$F78&lt;&gt;2),0,IF(FU78&gt;0,FU78,IF(ROUND(BW78*$J78,6)&lt;ROUND($M78,6),BW78,0)))</f>
        <v/>
      </c>
      <c r="FW78" s="68">
        <f>IF(OR($U78=0,$F78&lt;&gt;2),0,IF(FV78&gt;0,FV78,IF(ROUND(BX78*$J78,6)&lt;ROUND($M78,6),BX78,0)))</f>
        <v/>
      </c>
      <c r="FX78" s="68">
        <f>IF(OR($U78=0,$F78&lt;&gt;2),0,IF(FW78&gt;0,FW78,IF(ROUND(BY78*$J78,6)&lt;ROUND($M78,6),BY78,0)))</f>
        <v/>
      </c>
      <c r="FY78" s="68">
        <f>IF(OR($U78=0,$F78&lt;&gt;2),0,IF(FX78&gt;0,FX78,IF(ROUND(BZ78*$J78,6)&lt;ROUND($M78,6),BZ78,0)))</f>
        <v/>
      </c>
      <c r="FZ78" s="68">
        <f>IF(OR($U78=0,$F78&lt;&gt;2),0,IF(FY78&gt;0,FY78,IF(ROUND(CA78*$J78,6)&lt;ROUND($M78,6),CA78,0)))</f>
        <v/>
      </c>
      <c r="GA78" s="68">
        <f>IF(OR($U78=0,$F78&lt;&gt;2),0,IF(FZ78&gt;0,FZ78,IF(ROUND(CB78*$J78,6)&lt;ROUND($M78,6),CB78,0)))</f>
        <v/>
      </c>
      <c r="GB78" s="68">
        <f>IF(OR($U78=0,$F78&lt;&gt;2),0,IF(GA78&gt;0,GA78,IF(ROUND(CC78*$J78,6)&lt;ROUND($M78,6),CC78,0)))</f>
        <v/>
      </c>
      <c r="GC78" s="68">
        <f>IF(OR($U78=0,$F78&lt;&gt;2),0,IF(GB78&gt;0,GB78,IF(ROUND(CD78*$J78,6)&lt;ROUND($M78,6),CD78,0)))</f>
        <v/>
      </c>
      <c r="GD78" s="68">
        <f>IF(OR($U78=0,$F78&lt;&gt;2),0,IF(GC78&gt;0,GC78,IF(ROUND(CE78*$J78,6)&lt;ROUND($M78,6),CE78,0)))</f>
        <v/>
      </c>
      <c r="GE78" s="68">
        <f>IF(OR($U78=0,$F78&lt;&gt;2),0,IF(GD78&gt;0,GD78,IF(ROUND(CF78*$J78,6)&lt;ROUND($M78,6),CF78,0)))</f>
        <v/>
      </c>
      <c r="GF78" s="68">
        <f>IF(OR($U78=0,$F78&lt;&gt;2),0,IF(GE78&gt;0,GE78,IF(ROUND(CG78*$J78,6)&lt;ROUND($M78,6),CG78,0)))</f>
        <v/>
      </c>
      <c r="GG78" s="68">
        <f>IF(OR($U78=0,$F78&lt;&gt;2),0,IF(GF78&gt;0,GF78,IF(ROUND(CH78*$J78,6)&lt;ROUND($M78,6),CH78,0)))</f>
        <v/>
      </c>
      <c r="GH78" s="68">
        <f>IF(OR($U78=0,$F78&lt;&gt;2),0,IF(GG78&gt;0,GG78,IF(ROUND(CI78*$J78,6)&lt;ROUND($M78,6),CI78,0)))</f>
        <v/>
      </c>
      <c r="GI78" s="68">
        <f>IF(OR($U78=0,$F78&lt;&gt;2),0,IF(GH78&gt;0,GH78,IF(ROUND(CJ78*$J78,6)&lt;ROUND($M78,6),CJ78,0)))</f>
        <v/>
      </c>
      <c r="GJ78" s="68">
        <f>IF(OR($U78=0,$F78&lt;&gt;2),0,IF(GI78&gt;0,GI78,IF(ROUND(CK78*$J78,6)&lt;ROUND($M78,6),CK78,0)))</f>
        <v/>
      </c>
      <c r="GK78" s="68">
        <f>IF(OR($U78=0,$F78&lt;&gt;2),0,IF(GJ78&gt;0,GJ78,IF(ROUND(CL78*$J78,6)&lt;ROUND($M78,6),CL78,0)))</f>
        <v/>
      </c>
      <c r="GL78" s="68">
        <f>IF(OR($U78=0,$F78&lt;&gt;2),0,IF(GK78&gt;0,GK78,IF(ROUND(CM78*$J78,6)&lt;ROUND($M78,6),CM78,0)))</f>
        <v/>
      </c>
      <c r="GM78" s="68">
        <f>IF(OR($U78=0,$F78&lt;&gt;2),0,IF(GL78&gt;0,GL78,IF(ROUND(CN78*$J78,6)&lt;ROUND($M78,6),CN78,0)))</f>
        <v/>
      </c>
      <c r="GN78" s="68">
        <f>IF(OR($U78=0,$F78&lt;&gt;2),0,IF(GM78&gt;0,GM78,IF(ROUND(CO78*$J78,6)&lt;ROUND($M78,6),CO78,0)))</f>
        <v/>
      </c>
      <c r="GO78" s="68">
        <f>IF(OR($U78=0,$F78&lt;&gt;2),0,IF(GN78&gt;0,GN78,IF(ROUND(CP78*$J78,6)&lt;ROUND($M78,6),CP78,0)))</f>
        <v/>
      </c>
      <c r="GP78" s="68">
        <f>IF(OR($U78=0,$F78&lt;&gt;2),0,IF(GO78&gt;0,GO78,IF(ROUND(CQ78*$J78,6)&lt;ROUND($M78,6),CQ78,0)))</f>
        <v/>
      </c>
      <c r="GQ78" s="68">
        <f>IF(OR($U78=0,$F78&lt;&gt;2),0,IF(GP78&gt;0,GP78,IF(ROUND(CR78*$J78,6)&lt;ROUND($M78,6),CR78,0)))</f>
        <v/>
      </c>
      <c r="GR78" s="68">
        <f>IF(OR($U78=0,$F78&lt;&gt;2),0,IF(GQ78&gt;0,GQ78,IF(ROUND(CS78*$J78,6)&lt;ROUND($M78,6),CS78,0)))</f>
        <v/>
      </c>
      <c r="GS78" s="68">
        <f>IF(OR($U78=0,$F78&lt;&gt;2),0,IF(GR78&gt;0,GR78,IF(ROUND(CT78*$J78,6)&lt;ROUND($M78,6),CT78,0)))</f>
        <v/>
      </c>
      <c r="GT78" s="68">
        <f>IF(OR($U78=0,$F78&lt;&gt;2),0,IF(GS78&gt;0,GS78,IF(ROUND(CU78*$J78,6)&lt;ROUND($M78,6),CU78,0)))</f>
        <v/>
      </c>
      <c r="GU78" s="68">
        <f>IF(OR($U78=0,$F78&lt;&gt;2),0,IF(GT78&gt;0,GT78,IF(ROUND(CV78*$J78,6)&lt;ROUND($M78,6),CV78,0)))</f>
        <v/>
      </c>
      <c r="GV78" s="68">
        <f>IF(OR($U78=0,$F78&lt;&gt;2),0,IF(GU78&gt;0,GU78,IF(ROUND(CW78*$J78,6)&lt;ROUND($M78,6),CW78,0)))</f>
        <v/>
      </c>
      <c r="GW78" s="68">
        <f>IF(OR($U78=0,$F78&lt;&gt;2),0,IF(GV78&gt;0,GV78,IF(ROUND(CX78*$J78,6)&lt;ROUND($M78,6),CX78,0)))</f>
        <v/>
      </c>
      <c r="GX78" s="68">
        <f>IF(OR($U78=0,$F78&lt;&gt;2),0,IF(GW78&gt;0,GW78,IF(ROUND(CY78*$J78,6)&lt;ROUND($M78,6),CY78,0)))</f>
        <v/>
      </c>
      <c r="GY78" s="68">
        <f>IF(OR($U78=0,$F78&lt;&gt;2),0,IF(GX78&gt;0,GX78,IF(ROUND(CZ78*$J78,6)&lt;ROUND($M78,6),CZ78,0)))</f>
        <v/>
      </c>
      <c r="GZ78" s="68">
        <f>IF(OR($U78=0,$F78&lt;&gt;2),0,IF(GY78&gt;0,GY78,IF(ROUND(DA78*$J78,6)&lt;ROUND($M78,6),DA78,0)))</f>
        <v/>
      </c>
      <c r="HA78" s="68">
        <f>IF(OR($U78=0,$F78&lt;&gt;2),0,IF(GZ78&gt;0,GZ78,IF(ROUND(DB78*$J78,6)&lt;ROUND($M78,6),DB78,0)))</f>
        <v/>
      </c>
      <c r="HB78" s="68">
        <f>IF(OR($U78=0,$F78&lt;&gt;2),0,IF(HA78&gt;0,HA78,IF(ROUND(DC78*$J78,6)&lt;ROUND($M78,6),DC78,0)))</f>
        <v/>
      </c>
      <c r="HC78" s="68">
        <f>IF(OR($U78=0,$F78&lt;&gt;2),0,IF(HB78&gt;0,HB78,IF(ROUND(DD78*$J78,6)&lt;ROUND($M78,6),DD78,0)))</f>
        <v/>
      </c>
      <c r="HD78" s="68">
        <f>IF(OR($U78=0,$F78&lt;&gt;2),0,IF(HC78&gt;0,HC78,IF(ROUND(DE78*$J78,6)&lt;ROUND($M78,6),DE78,0)))</f>
        <v/>
      </c>
      <c r="HE78" s="68">
        <f>IF(OR($U78=0,$F78&lt;&gt;2),0,IF(HD78&gt;0,HD78,IF(ROUND(DF78*$J78,6)&lt;ROUND($M78,6),DF78,0)))</f>
        <v/>
      </c>
      <c r="HF78" s="68">
        <f>IF(OR($U78=0,$F78&lt;&gt;2),0,IF(HE78&gt;0,HE78,IF(ROUND(DG78*$J78,6)&lt;ROUND($M78,6),DG78,0)))</f>
        <v/>
      </c>
      <c r="HG78" s="68">
        <f>IF(OR($U78=0,$F78&lt;&gt;2),0,IF(HF78&gt;0,HF78,IF(ROUND(DH78*$J78,6)&lt;ROUND($M78,6),DH78,0)))</f>
        <v/>
      </c>
      <c r="HH78" s="68">
        <f>IF(OR($U78=0,$F78&lt;&gt;2),0,IF(HG78&gt;0,HG78,IF(ROUND(DI78*$J78,6)&lt;ROUND($M78,6),DI78,0)))</f>
        <v/>
      </c>
      <c r="HI78" s="68">
        <f>IF(OR($U78=0,$F78&lt;&gt;2),0,IF(HH78&gt;0,HH78,IF(ROUND(DJ78*$J78,6)&lt;ROUND($M78,6),DJ78,0)))</f>
        <v/>
      </c>
      <c r="HJ78" s="68">
        <f>IF(OR($U78=0,$F78&lt;&gt;2),0,IF(HI78&gt;0,HI78,IF(ROUND(DK78*$J78,6)&lt;ROUND($M78,6),DK78,0)))</f>
        <v/>
      </c>
      <c r="HK78" s="68">
        <f>IF(OR($U78=0,$F78&lt;&gt;2),0,IF(HJ78&gt;0,HJ78,IF(ROUND(DL78*$J78,6)&lt;ROUND($M78,6),DL78,0)))</f>
        <v/>
      </c>
      <c r="HL78" s="68">
        <f>IF(OR($U78=0,$F78&lt;&gt;2),0,IF(HK78&gt;0,HK78,IF(ROUND(DM78*$J78,6)&lt;ROUND($M78,6),DM78,0)))</f>
        <v/>
      </c>
      <c r="HM78" s="68">
        <f>IF(OR($U78=0,$F78&lt;&gt;2),0,IF(HL78&gt;0,HL78,IF(ROUND(DN78*$J78,6)&lt;ROUND($M78,6),DN78,0)))</f>
        <v/>
      </c>
      <c r="HN78" s="68">
        <f>IF(OR($U78=0,$F78&lt;&gt;2),0,IF(HM78&gt;0,HM78,IF(ROUND(DO78*$J78,6)&lt;ROUND($M78,6),DO78,0)))</f>
        <v/>
      </c>
      <c r="HO78" s="68">
        <f>IF(OR($U78=0,$F78&lt;&gt;2),0,IF(HN78&gt;0,HN78,IF(ROUND(DP78*$J78,6)&lt;ROUND($M78,6),DP78,0)))</f>
        <v/>
      </c>
      <c r="HP78" s="68">
        <f>IF(OR($U78=0,$F78&lt;&gt;2),0,IF(HO78&gt;0,HO78,IF(ROUND(DQ78*$J78,6)&lt;ROUND($M78,6),DQ78,0)))</f>
        <v/>
      </c>
      <c r="HQ78" s="68">
        <f>IF(OR($U78=0,$F78&lt;&gt;2),0,IF(HP78&gt;0,HP78,IF(ROUND(DR78*$J78,6)&lt;ROUND($M78,6),DR78,0)))</f>
        <v/>
      </c>
      <c r="HR78" s="68">
        <f>IF(OR($U78=0,$F78&lt;&gt;2),0,IF(HQ78&gt;0,HQ78,IF(ROUND(DS78*$J78,6)&lt;ROUND($M78,6),DS78,0)))</f>
        <v/>
      </c>
      <c r="HS78" s="68">
        <f>IF(OR($U78=0,$F78&lt;&gt;2),0,IF(HR78&gt;0,HR78,IF(ROUND(DT78*$J78,6)&lt;ROUND($M78,6),DT78,0)))</f>
        <v/>
      </c>
      <c r="HT78" s="68">
        <f>IF(OR($U78=0,$F78&lt;&gt;2),0,IF(HS78&gt;0,HS78,IF(ROUND(DU78*$J78,6)&lt;ROUND($M78,6),DU78,0)))</f>
        <v/>
      </c>
      <c r="HU78" s="68">
        <f>IF(OR($U78=0,$F78&lt;&gt;2),0,IF(HT78&gt;0,HT78,IF(ROUND(DV78*$J78,6)&lt;ROUND($M78,6),DV78,0)))</f>
        <v/>
      </c>
      <c r="HV78" s="68">
        <f>IF(OR($U78=0,$F78&lt;&gt;2),0,IF(HU78&gt;0,HU78,IF(ROUND(DW78*$J78,6)&lt;ROUND($M78,6),DW78,0)))</f>
        <v/>
      </c>
      <c r="HW78" s="68">
        <f>IF(OR($U78=0,$F78&lt;&gt;2),0,IF(HV78&gt;0,HV78,IF(ROUND(DX78*$J78,6)&lt;ROUND($M78,6),DX78,0)))</f>
        <v/>
      </c>
      <c r="HX78" s="68">
        <f>IF(OR($U78=0,$F78&lt;&gt;2),0,IF(HW78&gt;0,HW78,IF(ROUND(DY78*$J78,6)&lt;ROUND($M78,6),DY78,0)))</f>
        <v/>
      </c>
      <c r="HY78" s="68">
        <f>IF(OR($U78=0,$F78&lt;&gt;2),0,IF(HX78&gt;0,HX78,IF(ROUND(DZ78*$J78,6)&lt;ROUND($M78,6),DZ78,0)))</f>
        <v/>
      </c>
      <c r="HZ78" s="68">
        <f>IF(OR($U78=0,$F78&lt;&gt;2),0,IF(HY78&gt;0,HY78,IF(ROUND(EA78*$J78,6)&lt;ROUND($M78,6),EA78,0)))</f>
        <v/>
      </c>
      <c r="IA78" s="68">
        <f>IF(OR($U78=0,$F78&lt;&gt;2),0,IF(HZ78&gt;0,HZ78,IF(ROUND(EB78*$J78,6)&lt;ROUND($M78,6),EB78,0)))</f>
        <v/>
      </c>
      <c r="IB78" s="68">
        <f>IF(OR($U78=0,$F78&lt;&gt;2),0,IF(IA78&gt;0,IA78,IF(ROUND(EC78*$J78,6)&lt;ROUND($M78,6),EC78,0)))</f>
        <v/>
      </c>
      <c r="IC78" s="68">
        <f>IF(OR($U78=0,$F78&lt;&gt;2),0,IF(IB78&gt;0,IB78,IF(ROUND(ED78*$J78,6)&lt;ROUND($M78,6),ED78,0)))</f>
        <v/>
      </c>
      <c r="ID78" s="68">
        <f>IF(OR($U78=0,$F78&lt;&gt;2),0,IF(IC78&gt;0,IC78,IF(ROUND(EE78*$J78,6)&lt;ROUND($M78,6),EE78,0)))</f>
        <v/>
      </c>
      <c r="IE78" s="68">
        <f>IF(OR($U78=0,$F78&lt;&gt;2),0,IF(ID78&gt;0,ID78,IF(ROUND(EF78*$J78,6)&lt;ROUND($M78,6),EF78,0)))</f>
        <v/>
      </c>
      <c r="IF78" s="68">
        <f>IF(OR($U78=0,$F78&lt;&gt;2),0,IF(IE78&gt;0,IE78,IF(ROUND(EG78*$J78,6)&lt;ROUND($M78,6),EG78,0)))</f>
        <v/>
      </c>
      <c r="IG78" s="68">
        <f>IF(OR($U78=0,$F78&lt;&gt;2),0,IF(IF78&gt;0,IF78,IF(ROUND(EH78*$J78,6)&lt;ROUND($M78,6),EH78,0)))</f>
        <v/>
      </c>
      <c r="IH78" s="68">
        <f>IF(OR($U78=0,$F78&lt;&gt;2),0,IF(IG78&gt;0,IG78,IF(ROUND(EI78*$J78,6)&lt;ROUND($M78,6),EI78,0)))</f>
        <v/>
      </c>
      <c r="II78" s="68">
        <f>IF(OR($U78=0,$F78&lt;&gt;2),0,IF(IH78&gt;0,IH78,IF(ROUND(EJ78*$J78,6)&lt;ROUND($M78,6),EJ78,0)))</f>
        <v/>
      </c>
      <c r="IJ78" s="68">
        <f>IF(OR($U78=0,$F78&lt;&gt;2),0,IF(II78&gt;0,II78,IF(ROUND(EK78*$J78,6)&lt;ROUND($M78,6),EK78,0)))</f>
        <v/>
      </c>
      <c r="IK78" s="68">
        <f>IF(OR($U78=0,$F78&lt;&gt;2),0,IF(IJ78&gt;0,IJ78,IF(ROUND(EL78*$J78,6)&lt;ROUND($M78,6),EL78,0)))</f>
        <v/>
      </c>
      <c r="IL78" s="68">
        <f>IF(OR($U78=0,$F78&lt;&gt;2),0,IF(IK78&gt;0,IK78,IF(ROUND(EM78*$J78,6)&lt;ROUND($M78,6),EM78,0)))</f>
        <v/>
      </c>
      <c r="IM78" s="68">
        <f>IF(OR($U78=0,$F78&lt;&gt;2),0,IF(IL78&gt;0,IL78,IF(ROUND(EN78*$J78,6)&lt;ROUND($M78,6),EN78,0)))</f>
        <v/>
      </c>
      <c r="IN78" s="68">
        <f>IF(OR($U78=0,$F78&lt;&gt;2),0,IF(IM78&gt;0,IM78,IF(ROUND(EO78*$J78,6)&lt;ROUND($M78,6),EO78,0)))</f>
        <v/>
      </c>
    </row>
    <row r="79">
      <c r="A79" s="68" t="n">
        <v>74</v>
      </c>
      <c r="B79" s="68">
        <f>IF(OR(TRIM('固定資産台帳'!$B79)&lt;&gt;"",'固定資産台帳'!$E79&lt;&gt;"",'固定資産台帳'!$G79&lt;&gt;"",'固定資産台帳'!$H79&lt;&gt;""),1,0)</f>
        <v/>
      </c>
      <c r="C79" s="68">
        <f>IF(ISNUMBER('固定資産台帳'!$G79),MAX(ROUND('固定資産台帳'!$G79,0),0),0)</f>
        <v/>
      </c>
      <c r="D79" s="84">
        <f>IF(ISNUMBER('固定資産台帳'!$E79),INT('固定資産台帳'!$E79),0)</f>
        <v/>
      </c>
      <c r="E79" s="84">
        <f>IF(ISNUMBER('固定資産台帳'!$F79),INT('固定資産台帳'!$F79),$D79)</f>
        <v/>
      </c>
      <c r="F79" s="68">
        <f>IF('固定資産台帳'!$H79="定額法",1,IF(OR('固定資産台帳'!$H79="定率法",'固定資産台帳'!$H79="定率法（200%）",'固定資産台帳'!$H79="定率法（250%）"),2,IF('固定資産台帳'!$H79="一括償却（3年）",3,IF('固定資産台帳'!$H79="少額特例",4,0))))</f>
        <v/>
      </c>
      <c r="G79" s="68">
        <f>IF('固定資産台帳'!$H79="定率法（250%）",250,IF('固定資産台帳'!$H79="定率法（200%）",200,IF($D79&gt;=DATE(2012,4,1),200,250)))</f>
        <v/>
      </c>
      <c r="H79" s="68">
        <f>IF(ISNUMBER('固定資産台帳'!$I79),IF(AND('固定資産台帳'!$I79&gt;=2,'固定資産台帳'!$I79&lt;=100,'固定資産台帳'!$I79=INT('固定資産台帳'!$I79)),'固定資産台帳'!$I79,0),0)</f>
        <v/>
      </c>
      <c r="I79" s="68">
        <f>IF('固定資産台帳'!$C79="無形固定資産",0,1)</f>
        <v/>
      </c>
      <c r="J79" s="68">
        <f>IF(OR($H79=0,$F79=0,$F79&gt;2),0,IF($F79=1,INDEX('償却率表'!$B$6:$B$104,$H79-1),IF($G79=200,INDEX('償却率表'!$C$6:$C$104,$H79-1),INDEX('償却率表'!$F$6:$F$104,$H79-1))))</f>
        <v/>
      </c>
      <c r="K79" s="68">
        <f>IF(AND($F79=2,$H79&gt;0),IF($G79=200,INDEX('償却率表'!$D$6:$D$104,$H79-1),INDEX('償却率表'!$G$6:$G$104,$H79-1)),0)</f>
        <v/>
      </c>
      <c r="L79" s="68">
        <f>IF(AND($F79=2,$H79&gt;0),IF($G79=200,INDEX('償却率表'!$E$6:$E$104,$H79-1),INDEX('償却率表'!$H$6:$H$104,$H79-1)),0)</f>
        <v/>
      </c>
      <c r="M79" s="68">
        <f>$C79*$L79</f>
        <v/>
      </c>
      <c r="N79" s="68">
        <f>IF($B$1=1,1,IF('固定資産台帳'!$J79="",1,IF(ISNUMBER('固定資産台帳'!$J79),IF(AND('固定資産台帳'!$J79&gt;0,'固定資産台帳'!$J79&lt;=1),'固定資産台帳'!$J79,0),0)))</f>
        <v/>
      </c>
      <c r="O79" s="68">
        <f>IF($E79=0,0,YEAR($E79)-IF(MONTH($E79)&lt;$B$2,1,0))</f>
        <v/>
      </c>
      <c r="P79" s="68">
        <f>IF($E79=0,0,12-MOD(MONTH($E79)-$B$2,12))</f>
        <v/>
      </c>
      <c r="Q79" s="84">
        <f>IF(ISNUMBER('固定資産台帳'!$K79),INT('固定資産台帳'!$K79),0)</f>
        <v/>
      </c>
      <c r="R79" s="68">
        <f>IF(OR($Q79=0,$E79=0),999,YEAR($Q79)-IF(MONTH($Q79)&lt;$B$2,1,0)-$O79)</f>
        <v/>
      </c>
      <c r="S79" s="68">
        <f>IF($R79=999,0,MOD(MONTH($Q79)-$B$2,12)+1-IF($R79=0,12-$P79,0))</f>
        <v/>
      </c>
      <c r="T79" s="68">
        <f>IF($B79=0,0,IF($C79&lt;=0,1,IF($D79=0,2,IF($F79=0,3,IF(AND($F79&lt;=2,$H79=0),4,IF(AND($F79&lt;=2,$D79&lt;DATE(2007,4,1)),5,IF($E79&lt;$D79,6,IF(AND($Q79&gt;0,$Q79&lt;$E79),7,IF($N79=0,8,IF($B$3=0,9,0))))))))))</f>
        <v/>
      </c>
      <c r="U79" s="68">
        <f>IF(AND($B79=1,$T79=0),1,0)</f>
        <v/>
      </c>
      <c r="V79" s="68">
        <f>$B$3-$O79</f>
        <v/>
      </c>
      <c r="W79" s="68">
        <f>IF(AND($U79=1,$V79&gt;=0),1,0)</f>
        <v/>
      </c>
      <c r="X79" s="68">
        <f>IF($W79=0,0,IF($V79=0,$C79,INDEX($AS79:$EP79,MIN($V79,102))))</f>
        <v/>
      </c>
      <c r="Y79" s="68">
        <f>IF($W79=0,0,INDEX($AS79:$EP79,MIN($V79,101)+1))</f>
        <v/>
      </c>
      <c r="Z79" s="68">
        <f>$X79-$Y79</f>
        <v/>
      </c>
      <c r="AA79" s="68">
        <f>IF(AND($W79=1,$F79=2,$V79&gt;=1),INDEX($ER79:$IN79,MIN($V79,101)),0)</f>
        <v/>
      </c>
      <c r="AB79" s="68">
        <f>IF(OR($W79=0,$F79&gt;2,$Z79=0),0,IF($V79=0,IF($R79=0,$S79,$P79),IF($V79=$R79,$S79,12)))</f>
        <v/>
      </c>
      <c r="AC79" s="68">
        <f>IF($W79=0,0,INT(ROUND($Z79*$N79,6)+$B$4))</f>
        <v/>
      </c>
      <c r="AD79" s="68">
        <f>IF(AND($W79=1,$F79&lt;=2,$V79=$R79),1,0)</f>
        <v/>
      </c>
      <c r="AE79" s="68">
        <f>IF(AND($W79=1,$F79&lt;=2,$V79&gt;$R79),1,0)</f>
        <v/>
      </c>
      <c r="AF79" s="68">
        <f>IF(AND($W79=1,$AE79=0,OR($Z79&gt;0,$AD79=1)),1,0)</f>
        <v/>
      </c>
      <c r="AG79" s="68">
        <f>IF($AF79=1,SUM($AF$6:$AF79),0)</f>
        <v/>
      </c>
      <c r="AH79" s="68">
        <f>IF($T79=0,"",CHOOSE($T79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79" s="68">
        <f>IF(AND($F79=2,OR('固定資産台帳'!$C79="建物",'固定資産台帳'!$C79="無形固定資産",AND(OR('固定資産台帳'!$C79="建物附属設備",'固定資産台帳'!$C79="構築物"),$D79&gt;=DATE(2016,4,1)))),"この資産は定額法だけです（定率法は使えません）。","")&amp;IF(AND($F79=3,$C79&gt;=200000),"一括償却は20万円未満の資産だけです。","")&amp;IF(AND($F79=3,$B$1=0,$C79&lt;100000),"10万円未満は一括償却にせず、全額をその年の経費にします。","")&amp;IF(AND($F79=4,$C79&lt;100000),"10万円未満は少額特例ではなく、全額をその年の経費にします。","")&amp;IF(AND($F79=4,$D79&lt;DATE(2026,4,1),$C79&gt;=300000),"2026年3月31日までの取得で少額特例が使えるのは30万円未満です。","")&amp;IF(AND($F79=4,$D79&gt;=DATE(2026,4,1),$C79&gt;=400000),"少額特例は40万円未満の資産だけです。","")&amp;IF(AND($F79=4,OR($D79&lt;DATE(2006,4,1),$D79&gt;DATE(2029,3,31))),"少額特例は2006年4月1日〜2029年3月31日に取得した資産だけです。","")&amp;IF(AND($F79=2,$G79=250,$D79&gt;DATE(2012,12,31)),"250%定率法は2012年12月31日までの取得だけです。","")</f>
        <v/>
      </c>
      <c r="AJ79" s="68">
        <f>IF(AND($F79=2,'固定資産台帳'!$H79="定率法（200%）",$D79&lt;DATE(2012,4,1)),"2012年3月31日までの取得に200%を使うのは、経過措置の届出をした場合です。","")&amp;IF(AND($F79=2,'固定資産台帳'!$H79="定率法（250%）",$D79&gt;=DATE(2012,4,1),$D79&lt;=DATE(2012,12,31)),"2012年4〜12月の取得に250%を使うのは、経過措置を選んだ場合です。","")</f>
        <v/>
      </c>
      <c r="AK79" s="68">
        <f>IF($U79=0,"",IF($V79&lt;0,"表示している年より後に使い始める資産です。",IF($AE79=1,"売却・除却済みです。",IF($AD79=1,"この年に売却・除却。期末の帳簿価額 "&amp;TEXT($Y79,"#,##0")&amp;"円を帳簿から外します。",IF($F79=4,IF($V79=0,"少額特例：この年に全額を経費にします。","少額特例で経費にした資産です。"),IF($F79=3,IF($V79&gt;2,"一括償却は終わっています。","一括償却 "&amp;($V79+1)&amp;"年目（3年のうち）。"),IF($Z79=0,"償却済み（帳簿価額 "&amp;TEXT($Y79,"#,##0")&amp;"円）。",IF($AA79&gt;0,"改定償却率で計算（改定取得価額 "&amp;TEXT($AA79,"#,##0")&amp;"円）。",IF($V79=0,"この年に使い始め（"&amp;$AB79&amp;"か月分）。","")))))))))</f>
        <v/>
      </c>
      <c r="AL79" s="68">
        <f>IF(AND($U79=1,$F79=4,$V79=0),$C79,0)</f>
        <v/>
      </c>
      <c r="AM79" s="68">
        <f>IF($F79=2,INT(ROUND($M79,6)+$B$4),0)</f>
        <v/>
      </c>
      <c r="AN79" s="68">
        <f>IF($W79=0,0,IF($F79=2,IF($AA79&gt;0,$AA79,$X79),$C79))</f>
        <v/>
      </c>
      <c r="AO79" s="68">
        <f>IF($W79=0,"",IF($F79=3,"1/3",IF($F79=4,"―",IF($AA79&gt;0,$K79,$J79))))</f>
        <v/>
      </c>
      <c r="AP79" s="68" t="n"/>
      <c r="AQ79" s="68" t="n"/>
      <c r="AR79" s="68" t="n"/>
      <c r="AS79" s="68">
        <f>IF($U79=0,0,IF($F79=4,0,IF($F79=3,MAX($C79-INT(ROUND($C79/3,6)+$B$4),0),$C79-MIN(INT(ROUND($C79*$J79*IF($R79=0,$S79,$P79)/12,6)+$B$4),MAX($C79-$I79,0)))))</f>
        <v/>
      </c>
      <c r="AT79" s="68">
        <f>IF($U79=0,0,IF($F79=4,0,IF($F79=3,AS79-MIN(INT(ROUND($C79/3,6)+$B$4),AS79),IF(OR(1&gt;$R79,AS79&lt;=$I79),AS79,AS79-MIN(INT(ROUND(IF($F79=1,$C79*$J79,IF(ER79&gt;0,ER79*$K79,AS79*$J79))*IF(1=$R79,$S79,12)/12,6)+$B$4),AS79-$I79)))))</f>
        <v/>
      </c>
      <c r="AU79" s="68">
        <f>IF($U79=0,0,IF($F79=4,0,IF($F79=3,0,IF(OR(2&gt;$R79,AT79&lt;=$I79),AT79,AT79-MIN(INT(ROUND(IF($F79=1,$C79*$J79,IF(ES79&gt;0,ES79*$K79,AT79*$J79))*IF(2=$R79,$S79,12)/12,6)+$B$4),AT79-$I79)))))</f>
        <v/>
      </c>
      <c r="AV79" s="68">
        <f>IF($U79=0,0,IF($F79=4,0,IF($F79=3,0,IF(OR(3&gt;$R79,AU79&lt;=$I79),AU79,AU79-MIN(INT(ROUND(IF($F79=1,$C79*$J79,IF(ET79&gt;0,ET79*$K79,AU79*$J79))*IF(3=$R79,$S79,12)/12,6)+$B$4),AU79-$I79)))))</f>
        <v/>
      </c>
      <c r="AW79" s="68">
        <f>IF($U79=0,0,IF($F79=4,0,IF($F79=3,0,IF(OR(4&gt;$R79,AV79&lt;=$I79),AV79,AV79-MIN(INT(ROUND(IF($F79=1,$C79*$J79,IF(EU79&gt;0,EU79*$K79,AV79*$J79))*IF(4=$R79,$S79,12)/12,6)+$B$4),AV79-$I79)))))</f>
        <v/>
      </c>
      <c r="AX79" s="68">
        <f>IF($U79=0,0,IF($F79=4,0,IF($F79=3,0,IF(OR(5&gt;$R79,AW79&lt;=$I79),AW79,AW79-MIN(INT(ROUND(IF($F79=1,$C79*$J79,IF(EV79&gt;0,EV79*$K79,AW79*$J79))*IF(5=$R79,$S79,12)/12,6)+$B$4),AW79-$I79)))))</f>
        <v/>
      </c>
      <c r="AY79" s="68">
        <f>IF($U79=0,0,IF($F79=4,0,IF($F79=3,0,IF(OR(6&gt;$R79,AX79&lt;=$I79),AX79,AX79-MIN(INT(ROUND(IF($F79=1,$C79*$J79,IF(EW79&gt;0,EW79*$K79,AX79*$J79))*IF(6=$R79,$S79,12)/12,6)+$B$4),AX79-$I79)))))</f>
        <v/>
      </c>
      <c r="AZ79" s="68">
        <f>IF($U79=0,0,IF($F79=4,0,IF($F79=3,0,IF(OR(7&gt;$R79,AY79&lt;=$I79),AY79,AY79-MIN(INT(ROUND(IF($F79=1,$C79*$J79,IF(EX79&gt;0,EX79*$K79,AY79*$J79))*IF(7=$R79,$S79,12)/12,6)+$B$4),AY79-$I79)))))</f>
        <v/>
      </c>
      <c r="BA79" s="68">
        <f>IF($U79=0,0,IF($F79=4,0,IF($F79=3,0,IF(OR(8&gt;$R79,AZ79&lt;=$I79),AZ79,AZ79-MIN(INT(ROUND(IF($F79=1,$C79*$J79,IF(EY79&gt;0,EY79*$K79,AZ79*$J79))*IF(8=$R79,$S79,12)/12,6)+$B$4),AZ79-$I79)))))</f>
        <v/>
      </c>
      <c r="BB79" s="68">
        <f>IF($U79=0,0,IF($F79=4,0,IF($F79=3,0,IF(OR(9&gt;$R79,BA79&lt;=$I79),BA79,BA79-MIN(INT(ROUND(IF($F79=1,$C79*$J79,IF(EZ79&gt;0,EZ79*$K79,BA79*$J79))*IF(9=$R79,$S79,12)/12,6)+$B$4),BA79-$I79)))))</f>
        <v/>
      </c>
      <c r="BC79" s="68">
        <f>IF($U79=0,0,IF($F79=4,0,IF($F79=3,0,IF(OR(10&gt;$R79,BB79&lt;=$I79),BB79,BB79-MIN(INT(ROUND(IF($F79=1,$C79*$J79,IF(FA79&gt;0,FA79*$K79,BB79*$J79))*IF(10=$R79,$S79,12)/12,6)+$B$4),BB79-$I79)))))</f>
        <v/>
      </c>
      <c r="BD79" s="68">
        <f>IF($U79=0,0,IF($F79=4,0,IF($F79=3,0,IF(OR(11&gt;$R79,BC79&lt;=$I79),BC79,BC79-MIN(INT(ROUND(IF($F79=1,$C79*$J79,IF(FB79&gt;0,FB79*$K79,BC79*$J79))*IF(11=$R79,$S79,12)/12,6)+$B$4),BC79-$I79)))))</f>
        <v/>
      </c>
      <c r="BE79" s="68">
        <f>IF($U79=0,0,IF($F79=4,0,IF($F79=3,0,IF(OR(12&gt;$R79,BD79&lt;=$I79),BD79,BD79-MIN(INT(ROUND(IF($F79=1,$C79*$J79,IF(FC79&gt;0,FC79*$K79,BD79*$J79))*IF(12=$R79,$S79,12)/12,6)+$B$4),BD79-$I79)))))</f>
        <v/>
      </c>
      <c r="BF79" s="68">
        <f>IF($U79=0,0,IF($F79=4,0,IF($F79=3,0,IF(OR(13&gt;$R79,BE79&lt;=$I79),BE79,BE79-MIN(INT(ROUND(IF($F79=1,$C79*$J79,IF(FD79&gt;0,FD79*$K79,BE79*$J79))*IF(13=$R79,$S79,12)/12,6)+$B$4),BE79-$I79)))))</f>
        <v/>
      </c>
      <c r="BG79" s="68">
        <f>IF($U79=0,0,IF($F79=4,0,IF($F79=3,0,IF(OR(14&gt;$R79,BF79&lt;=$I79),BF79,BF79-MIN(INT(ROUND(IF($F79=1,$C79*$J79,IF(FE79&gt;0,FE79*$K79,BF79*$J79))*IF(14=$R79,$S79,12)/12,6)+$B$4),BF79-$I79)))))</f>
        <v/>
      </c>
      <c r="BH79" s="68">
        <f>IF($U79=0,0,IF($F79=4,0,IF($F79=3,0,IF(OR(15&gt;$R79,BG79&lt;=$I79),BG79,BG79-MIN(INT(ROUND(IF($F79=1,$C79*$J79,IF(FF79&gt;0,FF79*$K79,BG79*$J79))*IF(15=$R79,$S79,12)/12,6)+$B$4),BG79-$I79)))))</f>
        <v/>
      </c>
      <c r="BI79" s="68">
        <f>IF($U79=0,0,IF($F79=4,0,IF($F79=3,0,IF(OR(16&gt;$R79,BH79&lt;=$I79),BH79,BH79-MIN(INT(ROUND(IF($F79=1,$C79*$J79,IF(FG79&gt;0,FG79*$K79,BH79*$J79))*IF(16=$R79,$S79,12)/12,6)+$B$4),BH79-$I79)))))</f>
        <v/>
      </c>
      <c r="BJ79" s="68">
        <f>IF($U79=0,0,IF($F79=4,0,IF($F79=3,0,IF(OR(17&gt;$R79,BI79&lt;=$I79),BI79,BI79-MIN(INT(ROUND(IF($F79=1,$C79*$J79,IF(FH79&gt;0,FH79*$K79,BI79*$J79))*IF(17=$R79,$S79,12)/12,6)+$B$4),BI79-$I79)))))</f>
        <v/>
      </c>
      <c r="BK79" s="68">
        <f>IF($U79=0,0,IF($F79=4,0,IF($F79=3,0,IF(OR(18&gt;$R79,BJ79&lt;=$I79),BJ79,BJ79-MIN(INT(ROUND(IF($F79=1,$C79*$J79,IF(FI79&gt;0,FI79*$K79,BJ79*$J79))*IF(18=$R79,$S79,12)/12,6)+$B$4),BJ79-$I79)))))</f>
        <v/>
      </c>
      <c r="BL79" s="68">
        <f>IF($U79=0,0,IF($F79=4,0,IF($F79=3,0,IF(OR(19&gt;$R79,BK79&lt;=$I79),BK79,BK79-MIN(INT(ROUND(IF($F79=1,$C79*$J79,IF(FJ79&gt;0,FJ79*$K79,BK79*$J79))*IF(19=$R79,$S79,12)/12,6)+$B$4),BK79-$I79)))))</f>
        <v/>
      </c>
      <c r="BM79" s="68">
        <f>IF($U79=0,0,IF($F79=4,0,IF($F79=3,0,IF(OR(20&gt;$R79,BL79&lt;=$I79),BL79,BL79-MIN(INT(ROUND(IF($F79=1,$C79*$J79,IF(FK79&gt;0,FK79*$K79,BL79*$J79))*IF(20=$R79,$S79,12)/12,6)+$B$4),BL79-$I79)))))</f>
        <v/>
      </c>
      <c r="BN79" s="68">
        <f>IF($U79=0,0,IF($F79=4,0,IF($F79=3,0,IF(OR(21&gt;$R79,BM79&lt;=$I79),BM79,BM79-MIN(INT(ROUND(IF($F79=1,$C79*$J79,IF(FL79&gt;0,FL79*$K79,BM79*$J79))*IF(21=$R79,$S79,12)/12,6)+$B$4),BM79-$I79)))))</f>
        <v/>
      </c>
      <c r="BO79" s="68">
        <f>IF($U79=0,0,IF($F79=4,0,IF($F79=3,0,IF(OR(22&gt;$R79,BN79&lt;=$I79),BN79,BN79-MIN(INT(ROUND(IF($F79=1,$C79*$J79,IF(FM79&gt;0,FM79*$K79,BN79*$J79))*IF(22=$R79,$S79,12)/12,6)+$B$4),BN79-$I79)))))</f>
        <v/>
      </c>
      <c r="BP79" s="68">
        <f>IF($U79=0,0,IF($F79=4,0,IF($F79=3,0,IF(OR(23&gt;$R79,BO79&lt;=$I79),BO79,BO79-MIN(INT(ROUND(IF($F79=1,$C79*$J79,IF(FN79&gt;0,FN79*$K79,BO79*$J79))*IF(23=$R79,$S79,12)/12,6)+$B$4),BO79-$I79)))))</f>
        <v/>
      </c>
      <c r="BQ79" s="68">
        <f>IF($U79=0,0,IF($F79=4,0,IF($F79=3,0,IF(OR(24&gt;$R79,BP79&lt;=$I79),BP79,BP79-MIN(INT(ROUND(IF($F79=1,$C79*$J79,IF(FO79&gt;0,FO79*$K79,BP79*$J79))*IF(24=$R79,$S79,12)/12,6)+$B$4),BP79-$I79)))))</f>
        <v/>
      </c>
      <c r="BR79" s="68">
        <f>IF($U79=0,0,IF($F79=4,0,IF($F79=3,0,IF(OR(25&gt;$R79,BQ79&lt;=$I79),BQ79,BQ79-MIN(INT(ROUND(IF($F79=1,$C79*$J79,IF(FP79&gt;0,FP79*$K79,BQ79*$J79))*IF(25=$R79,$S79,12)/12,6)+$B$4),BQ79-$I79)))))</f>
        <v/>
      </c>
      <c r="BS79" s="68">
        <f>IF($U79=0,0,IF($F79=4,0,IF($F79=3,0,IF(OR(26&gt;$R79,BR79&lt;=$I79),BR79,BR79-MIN(INT(ROUND(IF($F79=1,$C79*$J79,IF(FQ79&gt;0,FQ79*$K79,BR79*$J79))*IF(26=$R79,$S79,12)/12,6)+$B$4),BR79-$I79)))))</f>
        <v/>
      </c>
      <c r="BT79" s="68">
        <f>IF($U79=0,0,IF($F79=4,0,IF($F79=3,0,IF(OR(27&gt;$R79,BS79&lt;=$I79),BS79,BS79-MIN(INT(ROUND(IF($F79=1,$C79*$J79,IF(FR79&gt;0,FR79*$K79,BS79*$J79))*IF(27=$R79,$S79,12)/12,6)+$B$4),BS79-$I79)))))</f>
        <v/>
      </c>
      <c r="BU79" s="68">
        <f>IF($U79=0,0,IF($F79=4,0,IF($F79=3,0,IF(OR(28&gt;$R79,BT79&lt;=$I79),BT79,BT79-MIN(INT(ROUND(IF($F79=1,$C79*$J79,IF(FS79&gt;0,FS79*$K79,BT79*$J79))*IF(28=$R79,$S79,12)/12,6)+$B$4),BT79-$I79)))))</f>
        <v/>
      </c>
      <c r="BV79" s="68">
        <f>IF($U79=0,0,IF($F79=4,0,IF($F79=3,0,IF(OR(29&gt;$R79,BU79&lt;=$I79),BU79,BU79-MIN(INT(ROUND(IF($F79=1,$C79*$J79,IF(FT79&gt;0,FT79*$K79,BU79*$J79))*IF(29=$R79,$S79,12)/12,6)+$B$4),BU79-$I79)))))</f>
        <v/>
      </c>
      <c r="BW79" s="68">
        <f>IF($U79=0,0,IF($F79=4,0,IF($F79=3,0,IF(OR(30&gt;$R79,BV79&lt;=$I79),BV79,BV79-MIN(INT(ROUND(IF($F79=1,$C79*$J79,IF(FU79&gt;0,FU79*$K79,BV79*$J79))*IF(30=$R79,$S79,12)/12,6)+$B$4),BV79-$I79)))))</f>
        <v/>
      </c>
      <c r="BX79" s="68">
        <f>IF($U79=0,0,IF($F79=4,0,IF($F79=3,0,IF(OR(31&gt;$R79,BW79&lt;=$I79),BW79,BW79-MIN(INT(ROUND(IF($F79=1,$C79*$J79,IF(FV79&gt;0,FV79*$K79,BW79*$J79))*IF(31=$R79,$S79,12)/12,6)+$B$4),BW79-$I79)))))</f>
        <v/>
      </c>
      <c r="BY79" s="68">
        <f>IF($U79=0,0,IF($F79=4,0,IF($F79=3,0,IF(OR(32&gt;$R79,BX79&lt;=$I79),BX79,BX79-MIN(INT(ROUND(IF($F79=1,$C79*$J79,IF(FW79&gt;0,FW79*$K79,BX79*$J79))*IF(32=$R79,$S79,12)/12,6)+$B$4),BX79-$I79)))))</f>
        <v/>
      </c>
      <c r="BZ79" s="68">
        <f>IF($U79=0,0,IF($F79=4,0,IF($F79=3,0,IF(OR(33&gt;$R79,BY79&lt;=$I79),BY79,BY79-MIN(INT(ROUND(IF($F79=1,$C79*$J79,IF(FX79&gt;0,FX79*$K79,BY79*$J79))*IF(33=$R79,$S79,12)/12,6)+$B$4),BY79-$I79)))))</f>
        <v/>
      </c>
      <c r="CA79" s="68">
        <f>IF($U79=0,0,IF($F79=4,0,IF($F79=3,0,IF(OR(34&gt;$R79,BZ79&lt;=$I79),BZ79,BZ79-MIN(INT(ROUND(IF($F79=1,$C79*$J79,IF(FY79&gt;0,FY79*$K79,BZ79*$J79))*IF(34=$R79,$S79,12)/12,6)+$B$4),BZ79-$I79)))))</f>
        <v/>
      </c>
      <c r="CB79" s="68">
        <f>IF($U79=0,0,IF($F79=4,0,IF($F79=3,0,IF(OR(35&gt;$R79,CA79&lt;=$I79),CA79,CA79-MIN(INT(ROUND(IF($F79=1,$C79*$J79,IF(FZ79&gt;0,FZ79*$K79,CA79*$J79))*IF(35=$R79,$S79,12)/12,6)+$B$4),CA79-$I79)))))</f>
        <v/>
      </c>
      <c r="CC79" s="68">
        <f>IF($U79=0,0,IF($F79=4,0,IF($F79=3,0,IF(OR(36&gt;$R79,CB79&lt;=$I79),CB79,CB79-MIN(INT(ROUND(IF($F79=1,$C79*$J79,IF(GA79&gt;0,GA79*$K79,CB79*$J79))*IF(36=$R79,$S79,12)/12,6)+$B$4),CB79-$I79)))))</f>
        <v/>
      </c>
      <c r="CD79" s="68">
        <f>IF($U79=0,0,IF($F79=4,0,IF($F79=3,0,IF(OR(37&gt;$R79,CC79&lt;=$I79),CC79,CC79-MIN(INT(ROUND(IF($F79=1,$C79*$J79,IF(GB79&gt;0,GB79*$K79,CC79*$J79))*IF(37=$R79,$S79,12)/12,6)+$B$4),CC79-$I79)))))</f>
        <v/>
      </c>
      <c r="CE79" s="68">
        <f>IF($U79=0,0,IF($F79=4,0,IF($F79=3,0,IF(OR(38&gt;$R79,CD79&lt;=$I79),CD79,CD79-MIN(INT(ROUND(IF($F79=1,$C79*$J79,IF(GC79&gt;0,GC79*$K79,CD79*$J79))*IF(38=$R79,$S79,12)/12,6)+$B$4),CD79-$I79)))))</f>
        <v/>
      </c>
      <c r="CF79" s="68">
        <f>IF($U79=0,0,IF($F79=4,0,IF($F79=3,0,IF(OR(39&gt;$R79,CE79&lt;=$I79),CE79,CE79-MIN(INT(ROUND(IF($F79=1,$C79*$J79,IF(GD79&gt;0,GD79*$K79,CE79*$J79))*IF(39=$R79,$S79,12)/12,6)+$B$4),CE79-$I79)))))</f>
        <v/>
      </c>
      <c r="CG79" s="68">
        <f>IF($U79=0,0,IF($F79=4,0,IF($F79=3,0,IF(OR(40&gt;$R79,CF79&lt;=$I79),CF79,CF79-MIN(INT(ROUND(IF($F79=1,$C79*$J79,IF(GE79&gt;0,GE79*$K79,CF79*$J79))*IF(40=$R79,$S79,12)/12,6)+$B$4),CF79-$I79)))))</f>
        <v/>
      </c>
      <c r="CH79" s="68">
        <f>IF($U79=0,0,IF($F79=4,0,IF($F79=3,0,IF(OR(41&gt;$R79,CG79&lt;=$I79),CG79,CG79-MIN(INT(ROUND(IF($F79=1,$C79*$J79,IF(GF79&gt;0,GF79*$K79,CG79*$J79))*IF(41=$R79,$S79,12)/12,6)+$B$4),CG79-$I79)))))</f>
        <v/>
      </c>
      <c r="CI79" s="68">
        <f>IF($U79=0,0,IF($F79=4,0,IF($F79=3,0,IF(OR(42&gt;$R79,CH79&lt;=$I79),CH79,CH79-MIN(INT(ROUND(IF($F79=1,$C79*$J79,IF(GG79&gt;0,GG79*$K79,CH79*$J79))*IF(42=$R79,$S79,12)/12,6)+$B$4),CH79-$I79)))))</f>
        <v/>
      </c>
      <c r="CJ79" s="68">
        <f>IF($U79=0,0,IF($F79=4,0,IF($F79=3,0,IF(OR(43&gt;$R79,CI79&lt;=$I79),CI79,CI79-MIN(INT(ROUND(IF($F79=1,$C79*$J79,IF(GH79&gt;0,GH79*$K79,CI79*$J79))*IF(43=$R79,$S79,12)/12,6)+$B$4),CI79-$I79)))))</f>
        <v/>
      </c>
      <c r="CK79" s="68">
        <f>IF($U79=0,0,IF($F79=4,0,IF($F79=3,0,IF(OR(44&gt;$R79,CJ79&lt;=$I79),CJ79,CJ79-MIN(INT(ROUND(IF($F79=1,$C79*$J79,IF(GI79&gt;0,GI79*$K79,CJ79*$J79))*IF(44=$R79,$S79,12)/12,6)+$B$4),CJ79-$I79)))))</f>
        <v/>
      </c>
      <c r="CL79" s="68">
        <f>IF($U79=0,0,IF($F79=4,0,IF($F79=3,0,IF(OR(45&gt;$R79,CK79&lt;=$I79),CK79,CK79-MIN(INT(ROUND(IF($F79=1,$C79*$J79,IF(GJ79&gt;0,GJ79*$K79,CK79*$J79))*IF(45=$R79,$S79,12)/12,6)+$B$4),CK79-$I79)))))</f>
        <v/>
      </c>
      <c r="CM79" s="68">
        <f>IF($U79=0,0,IF($F79=4,0,IF($F79=3,0,IF(OR(46&gt;$R79,CL79&lt;=$I79),CL79,CL79-MIN(INT(ROUND(IF($F79=1,$C79*$J79,IF(GK79&gt;0,GK79*$K79,CL79*$J79))*IF(46=$R79,$S79,12)/12,6)+$B$4),CL79-$I79)))))</f>
        <v/>
      </c>
      <c r="CN79" s="68">
        <f>IF($U79=0,0,IF($F79=4,0,IF($F79=3,0,IF(OR(47&gt;$R79,CM79&lt;=$I79),CM79,CM79-MIN(INT(ROUND(IF($F79=1,$C79*$J79,IF(GL79&gt;0,GL79*$K79,CM79*$J79))*IF(47=$R79,$S79,12)/12,6)+$B$4),CM79-$I79)))))</f>
        <v/>
      </c>
      <c r="CO79" s="68">
        <f>IF($U79=0,0,IF($F79=4,0,IF($F79=3,0,IF(OR(48&gt;$R79,CN79&lt;=$I79),CN79,CN79-MIN(INT(ROUND(IF($F79=1,$C79*$J79,IF(GM79&gt;0,GM79*$K79,CN79*$J79))*IF(48=$R79,$S79,12)/12,6)+$B$4),CN79-$I79)))))</f>
        <v/>
      </c>
      <c r="CP79" s="68">
        <f>IF($U79=0,0,IF($F79=4,0,IF($F79=3,0,IF(OR(49&gt;$R79,CO79&lt;=$I79),CO79,CO79-MIN(INT(ROUND(IF($F79=1,$C79*$J79,IF(GN79&gt;0,GN79*$K79,CO79*$J79))*IF(49=$R79,$S79,12)/12,6)+$B$4),CO79-$I79)))))</f>
        <v/>
      </c>
      <c r="CQ79" s="68">
        <f>IF($U79=0,0,IF($F79=4,0,IF($F79=3,0,IF(OR(50&gt;$R79,CP79&lt;=$I79),CP79,CP79-MIN(INT(ROUND(IF($F79=1,$C79*$J79,IF(GO79&gt;0,GO79*$K79,CP79*$J79))*IF(50=$R79,$S79,12)/12,6)+$B$4),CP79-$I79)))))</f>
        <v/>
      </c>
      <c r="CR79" s="68">
        <f>IF($U79=0,0,IF($F79=4,0,IF($F79=3,0,IF(OR(51&gt;$R79,CQ79&lt;=$I79),CQ79,CQ79-MIN(INT(ROUND(IF($F79=1,$C79*$J79,IF(GP79&gt;0,GP79*$K79,CQ79*$J79))*IF(51=$R79,$S79,12)/12,6)+$B$4),CQ79-$I79)))))</f>
        <v/>
      </c>
      <c r="CS79" s="68">
        <f>IF($U79=0,0,IF($F79=4,0,IF($F79=3,0,IF(OR(52&gt;$R79,CR79&lt;=$I79),CR79,CR79-MIN(INT(ROUND(IF($F79=1,$C79*$J79,IF(GQ79&gt;0,GQ79*$K79,CR79*$J79))*IF(52=$R79,$S79,12)/12,6)+$B$4),CR79-$I79)))))</f>
        <v/>
      </c>
      <c r="CT79" s="68">
        <f>IF($U79=0,0,IF($F79=4,0,IF($F79=3,0,IF(OR(53&gt;$R79,CS79&lt;=$I79),CS79,CS79-MIN(INT(ROUND(IF($F79=1,$C79*$J79,IF(GR79&gt;0,GR79*$K79,CS79*$J79))*IF(53=$R79,$S79,12)/12,6)+$B$4),CS79-$I79)))))</f>
        <v/>
      </c>
      <c r="CU79" s="68">
        <f>IF($U79=0,0,IF($F79=4,0,IF($F79=3,0,IF(OR(54&gt;$R79,CT79&lt;=$I79),CT79,CT79-MIN(INT(ROUND(IF($F79=1,$C79*$J79,IF(GS79&gt;0,GS79*$K79,CT79*$J79))*IF(54=$R79,$S79,12)/12,6)+$B$4),CT79-$I79)))))</f>
        <v/>
      </c>
      <c r="CV79" s="68">
        <f>IF($U79=0,0,IF($F79=4,0,IF($F79=3,0,IF(OR(55&gt;$R79,CU79&lt;=$I79),CU79,CU79-MIN(INT(ROUND(IF($F79=1,$C79*$J79,IF(GT79&gt;0,GT79*$K79,CU79*$J79))*IF(55=$R79,$S79,12)/12,6)+$B$4),CU79-$I79)))))</f>
        <v/>
      </c>
      <c r="CW79" s="68">
        <f>IF($U79=0,0,IF($F79=4,0,IF($F79=3,0,IF(OR(56&gt;$R79,CV79&lt;=$I79),CV79,CV79-MIN(INT(ROUND(IF($F79=1,$C79*$J79,IF(GU79&gt;0,GU79*$K79,CV79*$J79))*IF(56=$R79,$S79,12)/12,6)+$B$4),CV79-$I79)))))</f>
        <v/>
      </c>
      <c r="CX79" s="68">
        <f>IF($U79=0,0,IF($F79=4,0,IF($F79=3,0,IF(OR(57&gt;$R79,CW79&lt;=$I79),CW79,CW79-MIN(INT(ROUND(IF($F79=1,$C79*$J79,IF(GV79&gt;0,GV79*$K79,CW79*$J79))*IF(57=$R79,$S79,12)/12,6)+$B$4),CW79-$I79)))))</f>
        <v/>
      </c>
      <c r="CY79" s="68">
        <f>IF($U79=0,0,IF($F79=4,0,IF($F79=3,0,IF(OR(58&gt;$R79,CX79&lt;=$I79),CX79,CX79-MIN(INT(ROUND(IF($F79=1,$C79*$J79,IF(GW79&gt;0,GW79*$K79,CX79*$J79))*IF(58=$R79,$S79,12)/12,6)+$B$4),CX79-$I79)))))</f>
        <v/>
      </c>
      <c r="CZ79" s="68">
        <f>IF($U79=0,0,IF($F79=4,0,IF($F79=3,0,IF(OR(59&gt;$R79,CY79&lt;=$I79),CY79,CY79-MIN(INT(ROUND(IF($F79=1,$C79*$J79,IF(GX79&gt;0,GX79*$K79,CY79*$J79))*IF(59=$R79,$S79,12)/12,6)+$B$4),CY79-$I79)))))</f>
        <v/>
      </c>
      <c r="DA79" s="68">
        <f>IF($U79=0,0,IF($F79=4,0,IF($F79=3,0,IF(OR(60&gt;$R79,CZ79&lt;=$I79),CZ79,CZ79-MIN(INT(ROUND(IF($F79=1,$C79*$J79,IF(GY79&gt;0,GY79*$K79,CZ79*$J79))*IF(60=$R79,$S79,12)/12,6)+$B$4),CZ79-$I79)))))</f>
        <v/>
      </c>
      <c r="DB79" s="68">
        <f>IF($U79=0,0,IF($F79=4,0,IF($F79=3,0,IF(OR(61&gt;$R79,DA79&lt;=$I79),DA79,DA79-MIN(INT(ROUND(IF($F79=1,$C79*$J79,IF(GZ79&gt;0,GZ79*$K79,DA79*$J79))*IF(61=$R79,$S79,12)/12,6)+$B$4),DA79-$I79)))))</f>
        <v/>
      </c>
      <c r="DC79" s="68">
        <f>IF($U79=0,0,IF($F79=4,0,IF($F79=3,0,IF(OR(62&gt;$R79,DB79&lt;=$I79),DB79,DB79-MIN(INT(ROUND(IF($F79=1,$C79*$J79,IF(HA79&gt;0,HA79*$K79,DB79*$J79))*IF(62=$R79,$S79,12)/12,6)+$B$4),DB79-$I79)))))</f>
        <v/>
      </c>
      <c r="DD79" s="68">
        <f>IF($U79=0,0,IF($F79=4,0,IF($F79=3,0,IF(OR(63&gt;$R79,DC79&lt;=$I79),DC79,DC79-MIN(INT(ROUND(IF($F79=1,$C79*$J79,IF(HB79&gt;0,HB79*$K79,DC79*$J79))*IF(63=$R79,$S79,12)/12,6)+$B$4),DC79-$I79)))))</f>
        <v/>
      </c>
      <c r="DE79" s="68">
        <f>IF($U79=0,0,IF($F79=4,0,IF($F79=3,0,IF(OR(64&gt;$R79,DD79&lt;=$I79),DD79,DD79-MIN(INT(ROUND(IF($F79=1,$C79*$J79,IF(HC79&gt;0,HC79*$K79,DD79*$J79))*IF(64=$R79,$S79,12)/12,6)+$B$4),DD79-$I79)))))</f>
        <v/>
      </c>
      <c r="DF79" s="68">
        <f>IF($U79=0,0,IF($F79=4,0,IF($F79=3,0,IF(OR(65&gt;$R79,DE79&lt;=$I79),DE79,DE79-MIN(INT(ROUND(IF($F79=1,$C79*$J79,IF(HD79&gt;0,HD79*$K79,DE79*$J79))*IF(65=$R79,$S79,12)/12,6)+$B$4),DE79-$I79)))))</f>
        <v/>
      </c>
      <c r="DG79" s="68">
        <f>IF($U79=0,0,IF($F79=4,0,IF($F79=3,0,IF(OR(66&gt;$R79,DF79&lt;=$I79),DF79,DF79-MIN(INT(ROUND(IF($F79=1,$C79*$J79,IF(HE79&gt;0,HE79*$K79,DF79*$J79))*IF(66=$R79,$S79,12)/12,6)+$B$4),DF79-$I79)))))</f>
        <v/>
      </c>
      <c r="DH79" s="68">
        <f>IF($U79=0,0,IF($F79=4,0,IF($F79=3,0,IF(OR(67&gt;$R79,DG79&lt;=$I79),DG79,DG79-MIN(INT(ROUND(IF($F79=1,$C79*$J79,IF(HF79&gt;0,HF79*$K79,DG79*$J79))*IF(67=$R79,$S79,12)/12,6)+$B$4),DG79-$I79)))))</f>
        <v/>
      </c>
      <c r="DI79" s="68">
        <f>IF($U79=0,0,IF($F79=4,0,IF($F79=3,0,IF(OR(68&gt;$R79,DH79&lt;=$I79),DH79,DH79-MIN(INT(ROUND(IF($F79=1,$C79*$J79,IF(HG79&gt;0,HG79*$K79,DH79*$J79))*IF(68=$R79,$S79,12)/12,6)+$B$4),DH79-$I79)))))</f>
        <v/>
      </c>
      <c r="DJ79" s="68">
        <f>IF($U79=0,0,IF($F79=4,0,IF($F79=3,0,IF(OR(69&gt;$R79,DI79&lt;=$I79),DI79,DI79-MIN(INT(ROUND(IF($F79=1,$C79*$J79,IF(HH79&gt;0,HH79*$K79,DI79*$J79))*IF(69=$R79,$S79,12)/12,6)+$B$4),DI79-$I79)))))</f>
        <v/>
      </c>
      <c r="DK79" s="68">
        <f>IF($U79=0,0,IF($F79=4,0,IF($F79=3,0,IF(OR(70&gt;$R79,DJ79&lt;=$I79),DJ79,DJ79-MIN(INT(ROUND(IF($F79=1,$C79*$J79,IF(HI79&gt;0,HI79*$K79,DJ79*$J79))*IF(70=$R79,$S79,12)/12,6)+$B$4),DJ79-$I79)))))</f>
        <v/>
      </c>
      <c r="DL79" s="68">
        <f>IF($U79=0,0,IF($F79=4,0,IF($F79=3,0,IF(OR(71&gt;$R79,DK79&lt;=$I79),DK79,DK79-MIN(INT(ROUND(IF($F79=1,$C79*$J79,IF(HJ79&gt;0,HJ79*$K79,DK79*$J79))*IF(71=$R79,$S79,12)/12,6)+$B$4),DK79-$I79)))))</f>
        <v/>
      </c>
      <c r="DM79" s="68">
        <f>IF($U79=0,0,IF($F79=4,0,IF($F79=3,0,IF(OR(72&gt;$R79,DL79&lt;=$I79),DL79,DL79-MIN(INT(ROUND(IF($F79=1,$C79*$J79,IF(HK79&gt;0,HK79*$K79,DL79*$J79))*IF(72=$R79,$S79,12)/12,6)+$B$4),DL79-$I79)))))</f>
        <v/>
      </c>
      <c r="DN79" s="68">
        <f>IF($U79=0,0,IF($F79=4,0,IF($F79=3,0,IF(OR(73&gt;$R79,DM79&lt;=$I79),DM79,DM79-MIN(INT(ROUND(IF($F79=1,$C79*$J79,IF(HL79&gt;0,HL79*$K79,DM79*$J79))*IF(73=$R79,$S79,12)/12,6)+$B$4),DM79-$I79)))))</f>
        <v/>
      </c>
      <c r="DO79" s="68">
        <f>IF($U79=0,0,IF($F79=4,0,IF($F79=3,0,IF(OR(74&gt;$R79,DN79&lt;=$I79),DN79,DN79-MIN(INT(ROUND(IF($F79=1,$C79*$J79,IF(HM79&gt;0,HM79*$K79,DN79*$J79))*IF(74=$R79,$S79,12)/12,6)+$B$4),DN79-$I79)))))</f>
        <v/>
      </c>
      <c r="DP79" s="68">
        <f>IF($U79=0,0,IF($F79=4,0,IF($F79=3,0,IF(OR(75&gt;$R79,DO79&lt;=$I79),DO79,DO79-MIN(INT(ROUND(IF($F79=1,$C79*$J79,IF(HN79&gt;0,HN79*$K79,DO79*$J79))*IF(75=$R79,$S79,12)/12,6)+$B$4),DO79-$I79)))))</f>
        <v/>
      </c>
      <c r="DQ79" s="68">
        <f>IF($U79=0,0,IF($F79=4,0,IF($F79=3,0,IF(OR(76&gt;$R79,DP79&lt;=$I79),DP79,DP79-MIN(INT(ROUND(IF($F79=1,$C79*$J79,IF(HO79&gt;0,HO79*$K79,DP79*$J79))*IF(76=$R79,$S79,12)/12,6)+$B$4),DP79-$I79)))))</f>
        <v/>
      </c>
      <c r="DR79" s="68">
        <f>IF($U79=0,0,IF($F79=4,0,IF($F79=3,0,IF(OR(77&gt;$R79,DQ79&lt;=$I79),DQ79,DQ79-MIN(INT(ROUND(IF($F79=1,$C79*$J79,IF(HP79&gt;0,HP79*$K79,DQ79*$J79))*IF(77=$R79,$S79,12)/12,6)+$B$4),DQ79-$I79)))))</f>
        <v/>
      </c>
      <c r="DS79" s="68">
        <f>IF($U79=0,0,IF($F79=4,0,IF($F79=3,0,IF(OR(78&gt;$R79,DR79&lt;=$I79),DR79,DR79-MIN(INT(ROUND(IF($F79=1,$C79*$J79,IF(HQ79&gt;0,HQ79*$K79,DR79*$J79))*IF(78=$R79,$S79,12)/12,6)+$B$4),DR79-$I79)))))</f>
        <v/>
      </c>
      <c r="DT79" s="68">
        <f>IF($U79=0,0,IF($F79=4,0,IF($F79=3,0,IF(OR(79&gt;$R79,DS79&lt;=$I79),DS79,DS79-MIN(INT(ROUND(IF($F79=1,$C79*$J79,IF(HR79&gt;0,HR79*$K79,DS79*$J79))*IF(79=$R79,$S79,12)/12,6)+$B$4),DS79-$I79)))))</f>
        <v/>
      </c>
      <c r="DU79" s="68">
        <f>IF($U79=0,0,IF($F79=4,0,IF($F79=3,0,IF(OR(80&gt;$R79,DT79&lt;=$I79),DT79,DT79-MIN(INT(ROUND(IF($F79=1,$C79*$J79,IF(HS79&gt;0,HS79*$K79,DT79*$J79))*IF(80=$R79,$S79,12)/12,6)+$B$4),DT79-$I79)))))</f>
        <v/>
      </c>
      <c r="DV79" s="68">
        <f>IF($U79=0,0,IF($F79=4,0,IF($F79=3,0,IF(OR(81&gt;$R79,DU79&lt;=$I79),DU79,DU79-MIN(INT(ROUND(IF($F79=1,$C79*$J79,IF(HT79&gt;0,HT79*$K79,DU79*$J79))*IF(81=$R79,$S79,12)/12,6)+$B$4),DU79-$I79)))))</f>
        <v/>
      </c>
      <c r="DW79" s="68">
        <f>IF($U79=0,0,IF($F79=4,0,IF($F79=3,0,IF(OR(82&gt;$R79,DV79&lt;=$I79),DV79,DV79-MIN(INT(ROUND(IF($F79=1,$C79*$J79,IF(HU79&gt;0,HU79*$K79,DV79*$J79))*IF(82=$R79,$S79,12)/12,6)+$B$4),DV79-$I79)))))</f>
        <v/>
      </c>
      <c r="DX79" s="68">
        <f>IF($U79=0,0,IF($F79=4,0,IF($F79=3,0,IF(OR(83&gt;$R79,DW79&lt;=$I79),DW79,DW79-MIN(INT(ROUND(IF($F79=1,$C79*$J79,IF(HV79&gt;0,HV79*$K79,DW79*$J79))*IF(83=$R79,$S79,12)/12,6)+$B$4),DW79-$I79)))))</f>
        <v/>
      </c>
      <c r="DY79" s="68">
        <f>IF($U79=0,0,IF($F79=4,0,IF($F79=3,0,IF(OR(84&gt;$R79,DX79&lt;=$I79),DX79,DX79-MIN(INT(ROUND(IF($F79=1,$C79*$J79,IF(HW79&gt;0,HW79*$K79,DX79*$J79))*IF(84=$R79,$S79,12)/12,6)+$B$4),DX79-$I79)))))</f>
        <v/>
      </c>
      <c r="DZ79" s="68">
        <f>IF($U79=0,0,IF($F79=4,0,IF($F79=3,0,IF(OR(85&gt;$R79,DY79&lt;=$I79),DY79,DY79-MIN(INT(ROUND(IF($F79=1,$C79*$J79,IF(HX79&gt;0,HX79*$K79,DY79*$J79))*IF(85=$R79,$S79,12)/12,6)+$B$4),DY79-$I79)))))</f>
        <v/>
      </c>
      <c r="EA79" s="68">
        <f>IF($U79=0,0,IF($F79=4,0,IF($F79=3,0,IF(OR(86&gt;$R79,DZ79&lt;=$I79),DZ79,DZ79-MIN(INT(ROUND(IF($F79=1,$C79*$J79,IF(HY79&gt;0,HY79*$K79,DZ79*$J79))*IF(86=$R79,$S79,12)/12,6)+$B$4),DZ79-$I79)))))</f>
        <v/>
      </c>
      <c r="EB79" s="68">
        <f>IF($U79=0,0,IF($F79=4,0,IF($F79=3,0,IF(OR(87&gt;$R79,EA79&lt;=$I79),EA79,EA79-MIN(INT(ROUND(IF($F79=1,$C79*$J79,IF(HZ79&gt;0,HZ79*$K79,EA79*$J79))*IF(87=$R79,$S79,12)/12,6)+$B$4),EA79-$I79)))))</f>
        <v/>
      </c>
      <c r="EC79" s="68">
        <f>IF($U79=0,0,IF($F79=4,0,IF($F79=3,0,IF(OR(88&gt;$R79,EB79&lt;=$I79),EB79,EB79-MIN(INT(ROUND(IF($F79=1,$C79*$J79,IF(IA79&gt;0,IA79*$K79,EB79*$J79))*IF(88=$R79,$S79,12)/12,6)+$B$4),EB79-$I79)))))</f>
        <v/>
      </c>
      <c r="ED79" s="68">
        <f>IF($U79=0,0,IF($F79=4,0,IF($F79=3,0,IF(OR(89&gt;$R79,EC79&lt;=$I79),EC79,EC79-MIN(INT(ROUND(IF($F79=1,$C79*$J79,IF(IB79&gt;0,IB79*$K79,EC79*$J79))*IF(89=$R79,$S79,12)/12,6)+$B$4),EC79-$I79)))))</f>
        <v/>
      </c>
      <c r="EE79" s="68">
        <f>IF($U79=0,0,IF($F79=4,0,IF($F79=3,0,IF(OR(90&gt;$R79,ED79&lt;=$I79),ED79,ED79-MIN(INT(ROUND(IF($F79=1,$C79*$J79,IF(IC79&gt;0,IC79*$K79,ED79*$J79))*IF(90=$R79,$S79,12)/12,6)+$B$4),ED79-$I79)))))</f>
        <v/>
      </c>
      <c r="EF79" s="68">
        <f>IF($U79=0,0,IF($F79=4,0,IF($F79=3,0,IF(OR(91&gt;$R79,EE79&lt;=$I79),EE79,EE79-MIN(INT(ROUND(IF($F79=1,$C79*$J79,IF(ID79&gt;0,ID79*$K79,EE79*$J79))*IF(91=$R79,$S79,12)/12,6)+$B$4),EE79-$I79)))))</f>
        <v/>
      </c>
      <c r="EG79" s="68">
        <f>IF($U79=0,0,IF($F79=4,0,IF($F79=3,0,IF(OR(92&gt;$R79,EF79&lt;=$I79),EF79,EF79-MIN(INT(ROUND(IF($F79=1,$C79*$J79,IF(IE79&gt;0,IE79*$K79,EF79*$J79))*IF(92=$R79,$S79,12)/12,6)+$B$4),EF79-$I79)))))</f>
        <v/>
      </c>
      <c r="EH79" s="68">
        <f>IF($U79=0,0,IF($F79=4,0,IF($F79=3,0,IF(OR(93&gt;$R79,EG79&lt;=$I79),EG79,EG79-MIN(INT(ROUND(IF($F79=1,$C79*$J79,IF(IF79&gt;0,IF79*$K79,EG79*$J79))*IF(93=$R79,$S79,12)/12,6)+$B$4),EG79-$I79)))))</f>
        <v/>
      </c>
      <c r="EI79" s="68">
        <f>IF($U79=0,0,IF($F79=4,0,IF($F79=3,0,IF(OR(94&gt;$R79,EH79&lt;=$I79),EH79,EH79-MIN(INT(ROUND(IF($F79=1,$C79*$J79,IF(IG79&gt;0,IG79*$K79,EH79*$J79))*IF(94=$R79,$S79,12)/12,6)+$B$4),EH79-$I79)))))</f>
        <v/>
      </c>
      <c r="EJ79" s="68">
        <f>IF($U79=0,0,IF($F79=4,0,IF($F79=3,0,IF(OR(95&gt;$R79,EI79&lt;=$I79),EI79,EI79-MIN(INT(ROUND(IF($F79=1,$C79*$J79,IF(IH79&gt;0,IH79*$K79,EI79*$J79))*IF(95=$R79,$S79,12)/12,6)+$B$4),EI79-$I79)))))</f>
        <v/>
      </c>
      <c r="EK79" s="68">
        <f>IF($U79=0,0,IF($F79=4,0,IF($F79=3,0,IF(OR(96&gt;$R79,EJ79&lt;=$I79),EJ79,EJ79-MIN(INT(ROUND(IF($F79=1,$C79*$J79,IF(II79&gt;0,II79*$K79,EJ79*$J79))*IF(96=$R79,$S79,12)/12,6)+$B$4),EJ79-$I79)))))</f>
        <v/>
      </c>
      <c r="EL79" s="68">
        <f>IF($U79=0,0,IF($F79=4,0,IF($F79=3,0,IF(OR(97&gt;$R79,EK79&lt;=$I79),EK79,EK79-MIN(INT(ROUND(IF($F79=1,$C79*$J79,IF(IJ79&gt;0,IJ79*$K79,EK79*$J79))*IF(97=$R79,$S79,12)/12,6)+$B$4),EK79-$I79)))))</f>
        <v/>
      </c>
      <c r="EM79" s="68">
        <f>IF($U79=0,0,IF($F79=4,0,IF($F79=3,0,IF(OR(98&gt;$R79,EL79&lt;=$I79),EL79,EL79-MIN(INT(ROUND(IF($F79=1,$C79*$J79,IF(IK79&gt;0,IK79*$K79,EL79*$J79))*IF(98=$R79,$S79,12)/12,6)+$B$4),EL79-$I79)))))</f>
        <v/>
      </c>
      <c r="EN79" s="68">
        <f>IF($U79=0,0,IF($F79=4,0,IF($F79=3,0,IF(OR(99&gt;$R79,EM79&lt;=$I79),EM79,EM79-MIN(INT(ROUND(IF($F79=1,$C79*$J79,IF(IL79&gt;0,IL79*$K79,EM79*$J79))*IF(99=$R79,$S79,12)/12,6)+$B$4),EM79-$I79)))))</f>
        <v/>
      </c>
      <c r="EO79" s="68">
        <f>IF($U79=0,0,IF($F79=4,0,IF($F79=3,0,IF(OR(100&gt;$R79,EN79&lt;=$I79),EN79,EN79-MIN(INT(ROUND(IF($F79=1,$C79*$J79,IF(IM79&gt;0,IM79*$K79,EN79*$J79))*IF(100=$R79,$S79,12)/12,6)+$B$4),EN79-$I79)))))</f>
        <v/>
      </c>
      <c r="EP79" s="68">
        <f>IF($U79=0,0,IF($F79=4,0,IF($F79=3,0,IF(OR(101&gt;$R79,EO79&lt;=$I79),EO79,EO79-MIN(INT(ROUND(IF($F79=1,$C79*$J79,IF(IN79&gt;0,IN79*$K79,EO79*$J79))*IF(101=$R79,$S79,12)/12,6)+$B$4),EO79-$I79)))))</f>
        <v/>
      </c>
      <c r="EQ79" s="68" t="n"/>
      <c r="ER79" s="68">
        <f>IF(OR($U79=0,$F79&lt;&gt;2),0,IF(ROUND(AS79*$J79,6)&lt;ROUND($M79,6),AS79,0))</f>
        <v/>
      </c>
      <c r="ES79" s="68">
        <f>IF(OR($U79=0,$F79&lt;&gt;2),0,IF(ER79&gt;0,ER79,IF(ROUND(AT79*$J79,6)&lt;ROUND($M79,6),AT79,0)))</f>
        <v/>
      </c>
      <c r="ET79" s="68">
        <f>IF(OR($U79=0,$F79&lt;&gt;2),0,IF(ES79&gt;0,ES79,IF(ROUND(AU79*$J79,6)&lt;ROUND($M79,6),AU79,0)))</f>
        <v/>
      </c>
      <c r="EU79" s="68">
        <f>IF(OR($U79=0,$F79&lt;&gt;2),0,IF(ET79&gt;0,ET79,IF(ROUND(AV79*$J79,6)&lt;ROUND($M79,6),AV79,0)))</f>
        <v/>
      </c>
      <c r="EV79" s="68">
        <f>IF(OR($U79=0,$F79&lt;&gt;2),0,IF(EU79&gt;0,EU79,IF(ROUND(AW79*$J79,6)&lt;ROUND($M79,6),AW79,0)))</f>
        <v/>
      </c>
      <c r="EW79" s="68">
        <f>IF(OR($U79=0,$F79&lt;&gt;2),0,IF(EV79&gt;0,EV79,IF(ROUND(AX79*$J79,6)&lt;ROUND($M79,6),AX79,0)))</f>
        <v/>
      </c>
      <c r="EX79" s="68">
        <f>IF(OR($U79=0,$F79&lt;&gt;2),0,IF(EW79&gt;0,EW79,IF(ROUND(AY79*$J79,6)&lt;ROUND($M79,6),AY79,0)))</f>
        <v/>
      </c>
      <c r="EY79" s="68">
        <f>IF(OR($U79=0,$F79&lt;&gt;2),0,IF(EX79&gt;0,EX79,IF(ROUND(AZ79*$J79,6)&lt;ROUND($M79,6),AZ79,0)))</f>
        <v/>
      </c>
      <c r="EZ79" s="68">
        <f>IF(OR($U79=0,$F79&lt;&gt;2),0,IF(EY79&gt;0,EY79,IF(ROUND(BA79*$J79,6)&lt;ROUND($M79,6),BA79,0)))</f>
        <v/>
      </c>
      <c r="FA79" s="68">
        <f>IF(OR($U79=0,$F79&lt;&gt;2),0,IF(EZ79&gt;0,EZ79,IF(ROUND(BB79*$J79,6)&lt;ROUND($M79,6),BB79,0)))</f>
        <v/>
      </c>
      <c r="FB79" s="68">
        <f>IF(OR($U79=0,$F79&lt;&gt;2),0,IF(FA79&gt;0,FA79,IF(ROUND(BC79*$J79,6)&lt;ROUND($M79,6),BC79,0)))</f>
        <v/>
      </c>
      <c r="FC79" s="68">
        <f>IF(OR($U79=0,$F79&lt;&gt;2),0,IF(FB79&gt;0,FB79,IF(ROUND(BD79*$J79,6)&lt;ROUND($M79,6),BD79,0)))</f>
        <v/>
      </c>
      <c r="FD79" s="68">
        <f>IF(OR($U79=0,$F79&lt;&gt;2),0,IF(FC79&gt;0,FC79,IF(ROUND(BE79*$J79,6)&lt;ROUND($M79,6),BE79,0)))</f>
        <v/>
      </c>
      <c r="FE79" s="68">
        <f>IF(OR($U79=0,$F79&lt;&gt;2),0,IF(FD79&gt;0,FD79,IF(ROUND(BF79*$J79,6)&lt;ROUND($M79,6),BF79,0)))</f>
        <v/>
      </c>
      <c r="FF79" s="68">
        <f>IF(OR($U79=0,$F79&lt;&gt;2),0,IF(FE79&gt;0,FE79,IF(ROUND(BG79*$J79,6)&lt;ROUND($M79,6),BG79,0)))</f>
        <v/>
      </c>
      <c r="FG79" s="68">
        <f>IF(OR($U79=0,$F79&lt;&gt;2),0,IF(FF79&gt;0,FF79,IF(ROUND(BH79*$J79,6)&lt;ROUND($M79,6),BH79,0)))</f>
        <v/>
      </c>
      <c r="FH79" s="68">
        <f>IF(OR($U79=0,$F79&lt;&gt;2),0,IF(FG79&gt;0,FG79,IF(ROUND(BI79*$J79,6)&lt;ROUND($M79,6),BI79,0)))</f>
        <v/>
      </c>
      <c r="FI79" s="68">
        <f>IF(OR($U79=0,$F79&lt;&gt;2),0,IF(FH79&gt;0,FH79,IF(ROUND(BJ79*$J79,6)&lt;ROUND($M79,6),BJ79,0)))</f>
        <v/>
      </c>
      <c r="FJ79" s="68">
        <f>IF(OR($U79=0,$F79&lt;&gt;2),0,IF(FI79&gt;0,FI79,IF(ROUND(BK79*$J79,6)&lt;ROUND($M79,6),BK79,0)))</f>
        <v/>
      </c>
      <c r="FK79" s="68">
        <f>IF(OR($U79=0,$F79&lt;&gt;2),0,IF(FJ79&gt;0,FJ79,IF(ROUND(BL79*$J79,6)&lt;ROUND($M79,6),BL79,0)))</f>
        <v/>
      </c>
      <c r="FL79" s="68">
        <f>IF(OR($U79=0,$F79&lt;&gt;2),0,IF(FK79&gt;0,FK79,IF(ROUND(BM79*$J79,6)&lt;ROUND($M79,6),BM79,0)))</f>
        <v/>
      </c>
      <c r="FM79" s="68">
        <f>IF(OR($U79=0,$F79&lt;&gt;2),0,IF(FL79&gt;0,FL79,IF(ROUND(BN79*$J79,6)&lt;ROUND($M79,6),BN79,0)))</f>
        <v/>
      </c>
      <c r="FN79" s="68">
        <f>IF(OR($U79=0,$F79&lt;&gt;2),0,IF(FM79&gt;0,FM79,IF(ROUND(BO79*$J79,6)&lt;ROUND($M79,6),BO79,0)))</f>
        <v/>
      </c>
      <c r="FO79" s="68">
        <f>IF(OR($U79=0,$F79&lt;&gt;2),0,IF(FN79&gt;0,FN79,IF(ROUND(BP79*$J79,6)&lt;ROUND($M79,6),BP79,0)))</f>
        <v/>
      </c>
      <c r="FP79" s="68">
        <f>IF(OR($U79=0,$F79&lt;&gt;2),0,IF(FO79&gt;0,FO79,IF(ROUND(BQ79*$J79,6)&lt;ROUND($M79,6),BQ79,0)))</f>
        <v/>
      </c>
      <c r="FQ79" s="68">
        <f>IF(OR($U79=0,$F79&lt;&gt;2),0,IF(FP79&gt;0,FP79,IF(ROUND(BR79*$J79,6)&lt;ROUND($M79,6),BR79,0)))</f>
        <v/>
      </c>
      <c r="FR79" s="68">
        <f>IF(OR($U79=0,$F79&lt;&gt;2),0,IF(FQ79&gt;0,FQ79,IF(ROUND(BS79*$J79,6)&lt;ROUND($M79,6),BS79,0)))</f>
        <v/>
      </c>
      <c r="FS79" s="68">
        <f>IF(OR($U79=0,$F79&lt;&gt;2),0,IF(FR79&gt;0,FR79,IF(ROUND(BT79*$J79,6)&lt;ROUND($M79,6),BT79,0)))</f>
        <v/>
      </c>
      <c r="FT79" s="68">
        <f>IF(OR($U79=0,$F79&lt;&gt;2),0,IF(FS79&gt;0,FS79,IF(ROUND(BU79*$J79,6)&lt;ROUND($M79,6),BU79,0)))</f>
        <v/>
      </c>
      <c r="FU79" s="68">
        <f>IF(OR($U79=0,$F79&lt;&gt;2),0,IF(FT79&gt;0,FT79,IF(ROUND(BV79*$J79,6)&lt;ROUND($M79,6),BV79,0)))</f>
        <v/>
      </c>
      <c r="FV79" s="68">
        <f>IF(OR($U79=0,$F79&lt;&gt;2),0,IF(FU79&gt;0,FU79,IF(ROUND(BW79*$J79,6)&lt;ROUND($M79,6),BW79,0)))</f>
        <v/>
      </c>
      <c r="FW79" s="68">
        <f>IF(OR($U79=0,$F79&lt;&gt;2),0,IF(FV79&gt;0,FV79,IF(ROUND(BX79*$J79,6)&lt;ROUND($M79,6),BX79,0)))</f>
        <v/>
      </c>
      <c r="FX79" s="68">
        <f>IF(OR($U79=0,$F79&lt;&gt;2),0,IF(FW79&gt;0,FW79,IF(ROUND(BY79*$J79,6)&lt;ROUND($M79,6),BY79,0)))</f>
        <v/>
      </c>
      <c r="FY79" s="68">
        <f>IF(OR($U79=0,$F79&lt;&gt;2),0,IF(FX79&gt;0,FX79,IF(ROUND(BZ79*$J79,6)&lt;ROUND($M79,6),BZ79,0)))</f>
        <v/>
      </c>
      <c r="FZ79" s="68">
        <f>IF(OR($U79=0,$F79&lt;&gt;2),0,IF(FY79&gt;0,FY79,IF(ROUND(CA79*$J79,6)&lt;ROUND($M79,6),CA79,0)))</f>
        <v/>
      </c>
      <c r="GA79" s="68">
        <f>IF(OR($U79=0,$F79&lt;&gt;2),0,IF(FZ79&gt;0,FZ79,IF(ROUND(CB79*$J79,6)&lt;ROUND($M79,6),CB79,0)))</f>
        <v/>
      </c>
      <c r="GB79" s="68">
        <f>IF(OR($U79=0,$F79&lt;&gt;2),0,IF(GA79&gt;0,GA79,IF(ROUND(CC79*$J79,6)&lt;ROUND($M79,6),CC79,0)))</f>
        <v/>
      </c>
      <c r="GC79" s="68">
        <f>IF(OR($U79=0,$F79&lt;&gt;2),0,IF(GB79&gt;0,GB79,IF(ROUND(CD79*$J79,6)&lt;ROUND($M79,6),CD79,0)))</f>
        <v/>
      </c>
      <c r="GD79" s="68">
        <f>IF(OR($U79=0,$F79&lt;&gt;2),0,IF(GC79&gt;0,GC79,IF(ROUND(CE79*$J79,6)&lt;ROUND($M79,6),CE79,0)))</f>
        <v/>
      </c>
      <c r="GE79" s="68">
        <f>IF(OR($U79=0,$F79&lt;&gt;2),0,IF(GD79&gt;0,GD79,IF(ROUND(CF79*$J79,6)&lt;ROUND($M79,6),CF79,0)))</f>
        <v/>
      </c>
      <c r="GF79" s="68">
        <f>IF(OR($U79=0,$F79&lt;&gt;2),0,IF(GE79&gt;0,GE79,IF(ROUND(CG79*$J79,6)&lt;ROUND($M79,6),CG79,0)))</f>
        <v/>
      </c>
      <c r="GG79" s="68">
        <f>IF(OR($U79=0,$F79&lt;&gt;2),0,IF(GF79&gt;0,GF79,IF(ROUND(CH79*$J79,6)&lt;ROUND($M79,6),CH79,0)))</f>
        <v/>
      </c>
      <c r="GH79" s="68">
        <f>IF(OR($U79=0,$F79&lt;&gt;2),0,IF(GG79&gt;0,GG79,IF(ROUND(CI79*$J79,6)&lt;ROUND($M79,6),CI79,0)))</f>
        <v/>
      </c>
      <c r="GI79" s="68">
        <f>IF(OR($U79=0,$F79&lt;&gt;2),0,IF(GH79&gt;0,GH79,IF(ROUND(CJ79*$J79,6)&lt;ROUND($M79,6),CJ79,0)))</f>
        <v/>
      </c>
      <c r="GJ79" s="68">
        <f>IF(OR($U79=0,$F79&lt;&gt;2),0,IF(GI79&gt;0,GI79,IF(ROUND(CK79*$J79,6)&lt;ROUND($M79,6),CK79,0)))</f>
        <v/>
      </c>
      <c r="GK79" s="68">
        <f>IF(OR($U79=0,$F79&lt;&gt;2),0,IF(GJ79&gt;0,GJ79,IF(ROUND(CL79*$J79,6)&lt;ROUND($M79,6),CL79,0)))</f>
        <v/>
      </c>
      <c r="GL79" s="68">
        <f>IF(OR($U79=0,$F79&lt;&gt;2),0,IF(GK79&gt;0,GK79,IF(ROUND(CM79*$J79,6)&lt;ROUND($M79,6),CM79,0)))</f>
        <v/>
      </c>
      <c r="GM79" s="68">
        <f>IF(OR($U79=0,$F79&lt;&gt;2),0,IF(GL79&gt;0,GL79,IF(ROUND(CN79*$J79,6)&lt;ROUND($M79,6),CN79,0)))</f>
        <v/>
      </c>
      <c r="GN79" s="68">
        <f>IF(OR($U79=0,$F79&lt;&gt;2),0,IF(GM79&gt;0,GM79,IF(ROUND(CO79*$J79,6)&lt;ROUND($M79,6),CO79,0)))</f>
        <v/>
      </c>
      <c r="GO79" s="68">
        <f>IF(OR($U79=0,$F79&lt;&gt;2),0,IF(GN79&gt;0,GN79,IF(ROUND(CP79*$J79,6)&lt;ROUND($M79,6),CP79,0)))</f>
        <v/>
      </c>
      <c r="GP79" s="68">
        <f>IF(OR($U79=0,$F79&lt;&gt;2),0,IF(GO79&gt;0,GO79,IF(ROUND(CQ79*$J79,6)&lt;ROUND($M79,6),CQ79,0)))</f>
        <v/>
      </c>
      <c r="GQ79" s="68">
        <f>IF(OR($U79=0,$F79&lt;&gt;2),0,IF(GP79&gt;0,GP79,IF(ROUND(CR79*$J79,6)&lt;ROUND($M79,6),CR79,0)))</f>
        <v/>
      </c>
      <c r="GR79" s="68">
        <f>IF(OR($U79=0,$F79&lt;&gt;2),0,IF(GQ79&gt;0,GQ79,IF(ROUND(CS79*$J79,6)&lt;ROUND($M79,6),CS79,0)))</f>
        <v/>
      </c>
      <c r="GS79" s="68">
        <f>IF(OR($U79=0,$F79&lt;&gt;2),0,IF(GR79&gt;0,GR79,IF(ROUND(CT79*$J79,6)&lt;ROUND($M79,6),CT79,0)))</f>
        <v/>
      </c>
      <c r="GT79" s="68">
        <f>IF(OR($U79=0,$F79&lt;&gt;2),0,IF(GS79&gt;0,GS79,IF(ROUND(CU79*$J79,6)&lt;ROUND($M79,6),CU79,0)))</f>
        <v/>
      </c>
      <c r="GU79" s="68">
        <f>IF(OR($U79=0,$F79&lt;&gt;2),0,IF(GT79&gt;0,GT79,IF(ROUND(CV79*$J79,6)&lt;ROUND($M79,6),CV79,0)))</f>
        <v/>
      </c>
      <c r="GV79" s="68">
        <f>IF(OR($U79=0,$F79&lt;&gt;2),0,IF(GU79&gt;0,GU79,IF(ROUND(CW79*$J79,6)&lt;ROUND($M79,6),CW79,0)))</f>
        <v/>
      </c>
      <c r="GW79" s="68">
        <f>IF(OR($U79=0,$F79&lt;&gt;2),0,IF(GV79&gt;0,GV79,IF(ROUND(CX79*$J79,6)&lt;ROUND($M79,6),CX79,0)))</f>
        <v/>
      </c>
      <c r="GX79" s="68">
        <f>IF(OR($U79=0,$F79&lt;&gt;2),0,IF(GW79&gt;0,GW79,IF(ROUND(CY79*$J79,6)&lt;ROUND($M79,6),CY79,0)))</f>
        <v/>
      </c>
      <c r="GY79" s="68">
        <f>IF(OR($U79=0,$F79&lt;&gt;2),0,IF(GX79&gt;0,GX79,IF(ROUND(CZ79*$J79,6)&lt;ROUND($M79,6),CZ79,0)))</f>
        <v/>
      </c>
      <c r="GZ79" s="68">
        <f>IF(OR($U79=0,$F79&lt;&gt;2),0,IF(GY79&gt;0,GY79,IF(ROUND(DA79*$J79,6)&lt;ROUND($M79,6),DA79,0)))</f>
        <v/>
      </c>
      <c r="HA79" s="68">
        <f>IF(OR($U79=0,$F79&lt;&gt;2),0,IF(GZ79&gt;0,GZ79,IF(ROUND(DB79*$J79,6)&lt;ROUND($M79,6),DB79,0)))</f>
        <v/>
      </c>
      <c r="HB79" s="68">
        <f>IF(OR($U79=0,$F79&lt;&gt;2),0,IF(HA79&gt;0,HA79,IF(ROUND(DC79*$J79,6)&lt;ROUND($M79,6),DC79,0)))</f>
        <v/>
      </c>
      <c r="HC79" s="68">
        <f>IF(OR($U79=0,$F79&lt;&gt;2),0,IF(HB79&gt;0,HB79,IF(ROUND(DD79*$J79,6)&lt;ROUND($M79,6),DD79,0)))</f>
        <v/>
      </c>
      <c r="HD79" s="68">
        <f>IF(OR($U79=0,$F79&lt;&gt;2),0,IF(HC79&gt;0,HC79,IF(ROUND(DE79*$J79,6)&lt;ROUND($M79,6),DE79,0)))</f>
        <v/>
      </c>
      <c r="HE79" s="68">
        <f>IF(OR($U79=0,$F79&lt;&gt;2),0,IF(HD79&gt;0,HD79,IF(ROUND(DF79*$J79,6)&lt;ROUND($M79,6),DF79,0)))</f>
        <v/>
      </c>
      <c r="HF79" s="68">
        <f>IF(OR($U79=0,$F79&lt;&gt;2),0,IF(HE79&gt;0,HE79,IF(ROUND(DG79*$J79,6)&lt;ROUND($M79,6),DG79,0)))</f>
        <v/>
      </c>
      <c r="HG79" s="68">
        <f>IF(OR($U79=0,$F79&lt;&gt;2),0,IF(HF79&gt;0,HF79,IF(ROUND(DH79*$J79,6)&lt;ROUND($M79,6),DH79,0)))</f>
        <v/>
      </c>
      <c r="HH79" s="68">
        <f>IF(OR($U79=0,$F79&lt;&gt;2),0,IF(HG79&gt;0,HG79,IF(ROUND(DI79*$J79,6)&lt;ROUND($M79,6),DI79,0)))</f>
        <v/>
      </c>
      <c r="HI79" s="68">
        <f>IF(OR($U79=0,$F79&lt;&gt;2),0,IF(HH79&gt;0,HH79,IF(ROUND(DJ79*$J79,6)&lt;ROUND($M79,6),DJ79,0)))</f>
        <v/>
      </c>
      <c r="HJ79" s="68">
        <f>IF(OR($U79=0,$F79&lt;&gt;2),0,IF(HI79&gt;0,HI79,IF(ROUND(DK79*$J79,6)&lt;ROUND($M79,6),DK79,0)))</f>
        <v/>
      </c>
      <c r="HK79" s="68">
        <f>IF(OR($U79=0,$F79&lt;&gt;2),0,IF(HJ79&gt;0,HJ79,IF(ROUND(DL79*$J79,6)&lt;ROUND($M79,6),DL79,0)))</f>
        <v/>
      </c>
      <c r="HL79" s="68">
        <f>IF(OR($U79=0,$F79&lt;&gt;2),0,IF(HK79&gt;0,HK79,IF(ROUND(DM79*$J79,6)&lt;ROUND($M79,6),DM79,0)))</f>
        <v/>
      </c>
      <c r="HM79" s="68">
        <f>IF(OR($U79=0,$F79&lt;&gt;2),0,IF(HL79&gt;0,HL79,IF(ROUND(DN79*$J79,6)&lt;ROUND($M79,6),DN79,0)))</f>
        <v/>
      </c>
      <c r="HN79" s="68">
        <f>IF(OR($U79=0,$F79&lt;&gt;2),0,IF(HM79&gt;0,HM79,IF(ROUND(DO79*$J79,6)&lt;ROUND($M79,6),DO79,0)))</f>
        <v/>
      </c>
      <c r="HO79" s="68">
        <f>IF(OR($U79=0,$F79&lt;&gt;2),0,IF(HN79&gt;0,HN79,IF(ROUND(DP79*$J79,6)&lt;ROUND($M79,6),DP79,0)))</f>
        <v/>
      </c>
      <c r="HP79" s="68">
        <f>IF(OR($U79=0,$F79&lt;&gt;2),0,IF(HO79&gt;0,HO79,IF(ROUND(DQ79*$J79,6)&lt;ROUND($M79,6),DQ79,0)))</f>
        <v/>
      </c>
      <c r="HQ79" s="68">
        <f>IF(OR($U79=0,$F79&lt;&gt;2),0,IF(HP79&gt;0,HP79,IF(ROUND(DR79*$J79,6)&lt;ROUND($M79,6),DR79,0)))</f>
        <v/>
      </c>
      <c r="HR79" s="68">
        <f>IF(OR($U79=0,$F79&lt;&gt;2),0,IF(HQ79&gt;0,HQ79,IF(ROUND(DS79*$J79,6)&lt;ROUND($M79,6),DS79,0)))</f>
        <v/>
      </c>
      <c r="HS79" s="68">
        <f>IF(OR($U79=0,$F79&lt;&gt;2),0,IF(HR79&gt;0,HR79,IF(ROUND(DT79*$J79,6)&lt;ROUND($M79,6),DT79,0)))</f>
        <v/>
      </c>
      <c r="HT79" s="68">
        <f>IF(OR($U79=0,$F79&lt;&gt;2),0,IF(HS79&gt;0,HS79,IF(ROUND(DU79*$J79,6)&lt;ROUND($M79,6),DU79,0)))</f>
        <v/>
      </c>
      <c r="HU79" s="68">
        <f>IF(OR($U79=0,$F79&lt;&gt;2),0,IF(HT79&gt;0,HT79,IF(ROUND(DV79*$J79,6)&lt;ROUND($M79,6),DV79,0)))</f>
        <v/>
      </c>
      <c r="HV79" s="68">
        <f>IF(OR($U79=0,$F79&lt;&gt;2),0,IF(HU79&gt;0,HU79,IF(ROUND(DW79*$J79,6)&lt;ROUND($M79,6),DW79,0)))</f>
        <v/>
      </c>
      <c r="HW79" s="68">
        <f>IF(OR($U79=0,$F79&lt;&gt;2),0,IF(HV79&gt;0,HV79,IF(ROUND(DX79*$J79,6)&lt;ROUND($M79,6),DX79,0)))</f>
        <v/>
      </c>
      <c r="HX79" s="68">
        <f>IF(OR($U79=0,$F79&lt;&gt;2),0,IF(HW79&gt;0,HW79,IF(ROUND(DY79*$J79,6)&lt;ROUND($M79,6),DY79,0)))</f>
        <v/>
      </c>
      <c r="HY79" s="68">
        <f>IF(OR($U79=0,$F79&lt;&gt;2),0,IF(HX79&gt;0,HX79,IF(ROUND(DZ79*$J79,6)&lt;ROUND($M79,6),DZ79,0)))</f>
        <v/>
      </c>
      <c r="HZ79" s="68">
        <f>IF(OR($U79=0,$F79&lt;&gt;2),0,IF(HY79&gt;0,HY79,IF(ROUND(EA79*$J79,6)&lt;ROUND($M79,6),EA79,0)))</f>
        <v/>
      </c>
      <c r="IA79" s="68">
        <f>IF(OR($U79=0,$F79&lt;&gt;2),0,IF(HZ79&gt;0,HZ79,IF(ROUND(EB79*$J79,6)&lt;ROUND($M79,6),EB79,0)))</f>
        <v/>
      </c>
      <c r="IB79" s="68">
        <f>IF(OR($U79=0,$F79&lt;&gt;2),0,IF(IA79&gt;0,IA79,IF(ROUND(EC79*$J79,6)&lt;ROUND($M79,6),EC79,0)))</f>
        <v/>
      </c>
      <c r="IC79" s="68">
        <f>IF(OR($U79=0,$F79&lt;&gt;2),0,IF(IB79&gt;0,IB79,IF(ROUND(ED79*$J79,6)&lt;ROUND($M79,6),ED79,0)))</f>
        <v/>
      </c>
      <c r="ID79" s="68">
        <f>IF(OR($U79=0,$F79&lt;&gt;2),0,IF(IC79&gt;0,IC79,IF(ROUND(EE79*$J79,6)&lt;ROUND($M79,6),EE79,0)))</f>
        <v/>
      </c>
      <c r="IE79" s="68">
        <f>IF(OR($U79=0,$F79&lt;&gt;2),0,IF(ID79&gt;0,ID79,IF(ROUND(EF79*$J79,6)&lt;ROUND($M79,6),EF79,0)))</f>
        <v/>
      </c>
      <c r="IF79" s="68">
        <f>IF(OR($U79=0,$F79&lt;&gt;2),0,IF(IE79&gt;0,IE79,IF(ROUND(EG79*$J79,6)&lt;ROUND($M79,6),EG79,0)))</f>
        <v/>
      </c>
      <c r="IG79" s="68">
        <f>IF(OR($U79=0,$F79&lt;&gt;2),0,IF(IF79&gt;0,IF79,IF(ROUND(EH79*$J79,6)&lt;ROUND($M79,6),EH79,0)))</f>
        <v/>
      </c>
      <c r="IH79" s="68">
        <f>IF(OR($U79=0,$F79&lt;&gt;2),0,IF(IG79&gt;0,IG79,IF(ROUND(EI79*$J79,6)&lt;ROUND($M79,6),EI79,0)))</f>
        <v/>
      </c>
      <c r="II79" s="68">
        <f>IF(OR($U79=0,$F79&lt;&gt;2),0,IF(IH79&gt;0,IH79,IF(ROUND(EJ79*$J79,6)&lt;ROUND($M79,6),EJ79,0)))</f>
        <v/>
      </c>
      <c r="IJ79" s="68">
        <f>IF(OR($U79=0,$F79&lt;&gt;2),0,IF(II79&gt;0,II79,IF(ROUND(EK79*$J79,6)&lt;ROUND($M79,6),EK79,0)))</f>
        <v/>
      </c>
      <c r="IK79" s="68">
        <f>IF(OR($U79=0,$F79&lt;&gt;2),0,IF(IJ79&gt;0,IJ79,IF(ROUND(EL79*$J79,6)&lt;ROUND($M79,6),EL79,0)))</f>
        <v/>
      </c>
      <c r="IL79" s="68">
        <f>IF(OR($U79=0,$F79&lt;&gt;2),0,IF(IK79&gt;0,IK79,IF(ROUND(EM79*$J79,6)&lt;ROUND($M79,6),EM79,0)))</f>
        <v/>
      </c>
      <c r="IM79" s="68">
        <f>IF(OR($U79=0,$F79&lt;&gt;2),0,IF(IL79&gt;0,IL79,IF(ROUND(EN79*$J79,6)&lt;ROUND($M79,6),EN79,0)))</f>
        <v/>
      </c>
      <c r="IN79" s="68">
        <f>IF(OR($U79=0,$F79&lt;&gt;2),0,IF(IM79&gt;0,IM79,IF(ROUND(EO79*$J79,6)&lt;ROUND($M79,6),EO79,0)))</f>
        <v/>
      </c>
    </row>
    <row r="80">
      <c r="A80" s="68" t="n">
        <v>75</v>
      </c>
      <c r="B80" s="68">
        <f>IF(OR(TRIM('固定資産台帳'!$B80)&lt;&gt;"",'固定資産台帳'!$E80&lt;&gt;"",'固定資産台帳'!$G80&lt;&gt;"",'固定資産台帳'!$H80&lt;&gt;""),1,0)</f>
        <v/>
      </c>
      <c r="C80" s="68">
        <f>IF(ISNUMBER('固定資産台帳'!$G80),MAX(ROUND('固定資産台帳'!$G80,0),0),0)</f>
        <v/>
      </c>
      <c r="D80" s="84">
        <f>IF(ISNUMBER('固定資産台帳'!$E80),INT('固定資産台帳'!$E80),0)</f>
        <v/>
      </c>
      <c r="E80" s="84">
        <f>IF(ISNUMBER('固定資産台帳'!$F80),INT('固定資産台帳'!$F80),$D80)</f>
        <v/>
      </c>
      <c r="F80" s="68">
        <f>IF('固定資産台帳'!$H80="定額法",1,IF(OR('固定資産台帳'!$H80="定率法",'固定資産台帳'!$H80="定率法（200%）",'固定資産台帳'!$H80="定率法（250%）"),2,IF('固定資産台帳'!$H80="一括償却（3年）",3,IF('固定資産台帳'!$H80="少額特例",4,0))))</f>
        <v/>
      </c>
      <c r="G80" s="68">
        <f>IF('固定資産台帳'!$H80="定率法（250%）",250,IF('固定資産台帳'!$H80="定率法（200%）",200,IF($D80&gt;=DATE(2012,4,1),200,250)))</f>
        <v/>
      </c>
      <c r="H80" s="68">
        <f>IF(ISNUMBER('固定資産台帳'!$I80),IF(AND('固定資産台帳'!$I80&gt;=2,'固定資産台帳'!$I80&lt;=100,'固定資産台帳'!$I80=INT('固定資産台帳'!$I80)),'固定資産台帳'!$I80,0),0)</f>
        <v/>
      </c>
      <c r="I80" s="68">
        <f>IF('固定資産台帳'!$C80="無形固定資産",0,1)</f>
        <v/>
      </c>
      <c r="J80" s="68">
        <f>IF(OR($H80=0,$F80=0,$F80&gt;2),0,IF($F80=1,INDEX('償却率表'!$B$6:$B$104,$H80-1),IF($G80=200,INDEX('償却率表'!$C$6:$C$104,$H80-1),INDEX('償却率表'!$F$6:$F$104,$H80-1))))</f>
        <v/>
      </c>
      <c r="K80" s="68">
        <f>IF(AND($F80=2,$H80&gt;0),IF($G80=200,INDEX('償却率表'!$D$6:$D$104,$H80-1),INDEX('償却率表'!$G$6:$G$104,$H80-1)),0)</f>
        <v/>
      </c>
      <c r="L80" s="68">
        <f>IF(AND($F80=2,$H80&gt;0),IF($G80=200,INDEX('償却率表'!$E$6:$E$104,$H80-1),INDEX('償却率表'!$H$6:$H$104,$H80-1)),0)</f>
        <v/>
      </c>
      <c r="M80" s="68">
        <f>$C80*$L80</f>
        <v/>
      </c>
      <c r="N80" s="68">
        <f>IF($B$1=1,1,IF('固定資産台帳'!$J80="",1,IF(ISNUMBER('固定資産台帳'!$J80),IF(AND('固定資産台帳'!$J80&gt;0,'固定資産台帳'!$J80&lt;=1),'固定資産台帳'!$J80,0),0)))</f>
        <v/>
      </c>
      <c r="O80" s="68">
        <f>IF($E80=0,0,YEAR($E80)-IF(MONTH($E80)&lt;$B$2,1,0))</f>
        <v/>
      </c>
      <c r="P80" s="68">
        <f>IF($E80=0,0,12-MOD(MONTH($E80)-$B$2,12))</f>
        <v/>
      </c>
      <c r="Q80" s="84">
        <f>IF(ISNUMBER('固定資産台帳'!$K80),INT('固定資産台帳'!$K80),0)</f>
        <v/>
      </c>
      <c r="R80" s="68">
        <f>IF(OR($Q80=0,$E80=0),999,YEAR($Q80)-IF(MONTH($Q80)&lt;$B$2,1,0)-$O80)</f>
        <v/>
      </c>
      <c r="S80" s="68">
        <f>IF($R80=999,0,MOD(MONTH($Q80)-$B$2,12)+1-IF($R80=0,12-$P80,0))</f>
        <v/>
      </c>
      <c r="T80" s="68">
        <f>IF($B80=0,0,IF($C80&lt;=0,1,IF($D80=0,2,IF($F80=0,3,IF(AND($F80&lt;=2,$H80=0),4,IF(AND($F80&lt;=2,$D80&lt;DATE(2007,4,1)),5,IF($E80&lt;$D80,6,IF(AND($Q80&gt;0,$Q80&lt;$E80),7,IF($N80=0,8,IF($B$3=0,9,0))))))))))</f>
        <v/>
      </c>
      <c r="U80" s="68">
        <f>IF(AND($B80=1,$T80=0),1,0)</f>
        <v/>
      </c>
      <c r="V80" s="68">
        <f>$B$3-$O80</f>
        <v/>
      </c>
      <c r="W80" s="68">
        <f>IF(AND($U80=1,$V80&gt;=0),1,0)</f>
        <v/>
      </c>
      <c r="X80" s="68">
        <f>IF($W80=0,0,IF($V80=0,$C80,INDEX($AS80:$EP80,MIN($V80,102))))</f>
        <v/>
      </c>
      <c r="Y80" s="68">
        <f>IF($W80=0,0,INDEX($AS80:$EP80,MIN($V80,101)+1))</f>
        <v/>
      </c>
      <c r="Z80" s="68">
        <f>$X80-$Y80</f>
        <v/>
      </c>
      <c r="AA80" s="68">
        <f>IF(AND($W80=1,$F80=2,$V80&gt;=1),INDEX($ER80:$IN80,MIN($V80,101)),0)</f>
        <v/>
      </c>
      <c r="AB80" s="68">
        <f>IF(OR($W80=0,$F80&gt;2,$Z80=0),0,IF($V80=0,IF($R80=0,$S80,$P80),IF($V80=$R80,$S80,12)))</f>
        <v/>
      </c>
      <c r="AC80" s="68">
        <f>IF($W80=0,0,INT(ROUND($Z80*$N80,6)+$B$4))</f>
        <v/>
      </c>
      <c r="AD80" s="68">
        <f>IF(AND($W80=1,$F80&lt;=2,$V80=$R80),1,0)</f>
        <v/>
      </c>
      <c r="AE80" s="68">
        <f>IF(AND($W80=1,$F80&lt;=2,$V80&gt;$R80),1,0)</f>
        <v/>
      </c>
      <c r="AF80" s="68">
        <f>IF(AND($W80=1,$AE80=0,OR($Z80&gt;0,$AD80=1)),1,0)</f>
        <v/>
      </c>
      <c r="AG80" s="68">
        <f>IF($AF80=1,SUM($AF$6:$AF80),0)</f>
        <v/>
      </c>
      <c r="AH80" s="68">
        <f>IF($T80=0,"",CHOOSE($T80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80" s="68">
        <f>IF(AND($F80=2,OR('固定資産台帳'!$C80="建物",'固定資産台帳'!$C80="無形固定資産",AND(OR('固定資産台帳'!$C80="建物附属設備",'固定資産台帳'!$C80="構築物"),$D80&gt;=DATE(2016,4,1)))),"この資産は定額法だけです（定率法は使えません）。","")&amp;IF(AND($F80=3,$C80&gt;=200000),"一括償却は20万円未満の資産だけです。","")&amp;IF(AND($F80=3,$B$1=0,$C80&lt;100000),"10万円未満は一括償却にせず、全額をその年の経費にします。","")&amp;IF(AND($F80=4,$C80&lt;100000),"10万円未満は少額特例ではなく、全額をその年の経費にします。","")&amp;IF(AND($F80=4,$D80&lt;DATE(2026,4,1),$C80&gt;=300000),"2026年3月31日までの取得で少額特例が使えるのは30万円未満です。","")&amp;IF(AND($F80=4,$D80&gt;=DATE(2026,4,1),$C80&gt;=400000),"少額特例は40万円未満の資産だけです。","")&amp;IF(AND($F80=4,OR($D80&lt;DATE(2006,4,1),$D80&gt;DATE(2029,3,31))),"少額特例は2006年4月1日〜2029年3月31日に取得した資産だけです。","")&amp;IF(AND($F80=2,$G80=250,$D80&gt;DATE(2012,12,31)),"250%定率法は2012年12月31日までの取得だけです。","")</f>
        <v/>
      </c>
      <c r="AJ80" s="68">
        <f>IF(AND($F80=2,'固定資産台帳'!$H80="定率法（200%）",$D80&lt;DATE(2012,4,1)),"2012年3月31日までの取得に200%を使うのは、経過措置の届出をした場合です。","")&amp;IF(AND($F80=2,'固定資産台帳'!$H80="定率法（250%）",$D80&gt;=DATE(2012,4,1),$D80&lt;=DATE(2012,12,31)),"2012年4〜12月の取得に250%を使うのは、経過措置を選んだ場合です。","")</f>
        <v/>
      </c>
      <c r="AK80" s="68">
        <f>IF($U80=0,"",IF($V80&lt;0,"表示している年より後に使い始める資産です。",IF($AE80=1,"売却・除却済みです。",IF($AD80=1,"この年に売却・除却。期末の帳簿価額 "&amp;TEXT($Y80,"#,##0")&amp;"円を帳簿から外します。",IF($F80=4,IF($V80=0,"少額特例：この年に全額を経費にします。","少額特例で経費にした資産です。"),IF($F80=3,IF($V80&gt;2,"一括償却は終わっています。","一括償却 "&amp;($V80+1)&amp;"年目（3年のうち）。"),IF($Z80=0,"償却済み（帳簿価額 "&amp;TEXT($Y80,"#,##0")&amp;"円）。",IF($AA80&gt;0,"改定償却率で計算（改定取得価額 "&amp;TEXT($AA80,"#,##0")&amp;"円）。",IF($V80=0,"この年に使い始め（"&amp;$AB80&amp;"か月分）。","")))))))))</f>
        <v/>
      </c>
      <c r="AL80" s="68">
        <f>IF(AND($U80=1,$F80=4,$V80=0),$C80,0)</f>
        <v/>
      </c>
      <c r="AM80" s="68">
        <f>IF($F80=2,INT(ROUND($M80,6)+$B$4),0)</f>
        <v/>
      </c>
      <c r="AN80" s="68">
        <f>IF($W80=0,0,IF($F80=2,IF($AA80&gt;0,$AA80,$X80),$C80))</f>
        <v/>
      </c>
      <c r="AO80" s="68">
        <f>IF($W80=0,"",IF($F80=3,"1/3",IF($F80=4,"―",IF($AA80&gt;0,$K80,$J80))))</f>
        <v/>
      </c>
      <c r="AP80" s="68" t="n"/>
      <c r="AQ80" s="68" t="n"/>
      <c r="AR80" s="68" t="n"/>
      <c r="AS80" s="68">
        <f>IF($U80=0,0,IF($F80=4,0,IF($F80=3,MAX($C80-INT(ROUND($C80/3,6)+$B$4),0),$C80-MIN(INT(ROUND($C80*$J80*IF($R80=0,$S80,$P80)/12,6)+$B$4),MAX($C80-$I80,0)))))</f>
        <v/>
      </c>
      <c r="AT80" s="68">
        <f>IF($U80=0,0,IF($F80=4,0,IF($F80=3,AS80-MIN(INT(ROUND($C80/3,6)+$B$4),AS80),IF(OR(1&gt;$R80,AS80&lt;=$I80),AS80,AS80-MIN(INT(ROUND(IF($F80=1,$C80*$J80,IF(ER80&gt;0,ER80*$K80,AS80*$J80))*IF(1=$R80,$S80,12)/12,6)+$B$4),AS80-$I80)))))</f>
        <v/>
      </c>
      <c r="AU80" s="68">
        <f>IF($U80=0,0,IF($F80=4,0,IF($F80=3,0,IF(OR(2&gt;$R80,AT80&lt;=$I80),AT80,AT80-MIN(INT(ROUND(IF($F80=1,$C80*$J80,IF(ES80&gt;0,ES80*$K80,AT80*$J80))*IF(2=$R80,$S80,12)/12,6)+$B$4),AT80-$I80)))))</f>
        <v/>
      </c>
      <c r="AV80" s="68">
        <f>IF($U80=0,0,IF($F80=4,0,IF($F80=3,0,IF(OR(3&gt;$R80,AU80&lt;=$I80),AU80,AU80-MIN(INT(ROUND(IF($F80=1,$C80*$J80,IF(ET80&gt;0,ET80*$K80,AU80*$J80))*IF(3=$R80,$S80,12)/12,6)+$B$4),AU80-$I80)))))</f>
        <v/>
      </c>
      <c r="AW80" s="68">
        <f>IF($U80=0,0,IF($F80=4,0,IF($F80=3,0,IF(OR(4&gt;$R80,AV80&lt;=$I80),AV80,AV80-MIN(INT(ROUND(IF($F80=1,$C80*$J80,IF(EU80&gt;0,EU80*$K80,AV80*$J80))*IF(4=$R80,$S80,12)/12,6)+$B$4),AV80-$I80)))))</f>
        <v/>
      </c>
      <c r="AX80" s="68">
        <f>IF($U80=0,0,IF($F80=4,0,IF($F80=3,0,IF(OR(5&gt;$R80,AW80&lt;=$I80),AW80,AW80-MIN(INT(ROUND(IF($F80=1,$C80*$J80,IF(EV80&gt;0,EV80*$K80,AW80*$J80))*IF(5=$R80,$S80,12)/12,6)+$B$4),AW80-$I80)))))</f>
        <v/>
      </c>
      <c r="AY80" s="68">
        <f>IF($U80=0,0,IF($F80=4,0,IF($F80=3,0,IF(OR(6&gt;$R80,AX80&lt;=$I80),AX80,AX80-MIN(INT(ROUND(IF($F80=1,$C80*$J80,IF(EW80&gt;0,EW80*$K80,AX80*$J80))*IF(6=$R80,$S80,12)/12,6)+$B$4),AX80-$I80)))))</f>
        <v/>
      </c>
      <c r="AZ80" s="68">
        <f>IF($U80=0,0,IF($F80=4,0,IF($F80=3,0,IF(OR(7&gt;$R80,AY80&lt;=$I80),AY80,AY80-MIN(INT(ROUND(IF($F80=1,$C80*$J80,IF(EX80&gt;0,EX80*$K80,AY80*$J80))*IF(7=$R80,$S80,12)/12,6)+$B$4),AY80-$I80)))))</f>
        <v/>
      </c>
      <c r="BA80" s="68">
        <f>IF($U80=0,0,IF($F80=4,0,IF($F80=3,0,IF(OR(8&gt;$R80,AZ80&lt;=$I80),AZ80,AZ80-MIN(INT(ROUND(IF($F80=1,$C80*$J80,IF(EY80&gt;0,EY80*$K80,AZ80*$J80))*IF(8=$R80,$S80,12)/12,6)+$B$4),AZ80-$I80)))))</f>
        <v/>
      </c>
      <c r="BB80" s="68">
        <f>IF($U80=0,0,IF($F80=4,0,IF($F80=3,0,IF(OR(9&gt;$R80,BA80&lt;=$I80),BA80,BA80-MIN(INT(ROUND(IF($F80=1,$C80*$J80,IF(EZ80&gt;0,EZ80*$K80,BA80*$J80))*IF(9=$R80,$S80,12)/12,6)+$B$4),BA80-$I80)))))</f>
        <v/>
      </c>
      <c r="BC80" s="68">
        <f>IF($U80=0,0,IF($F80=4,0,IF($F80=3,0,IF(OR(10&gt;$R80,BB80&lt;=$I80),BB80,BB80-MIN(INT(ROUND(IF($F80=1,$C80*$J80,IF(FA80&gt;0,FA80*$K80,BB80*$J80))*IF(10=$R80,$S80,12)/12,6)+$B$4),BB80-$I80)))))</f>
        <v/>
      </c>
      <c r="BD80" s="68">
        <f>IF($U80=0,0,IF($F80=4,0,IF($F80=3,0,IF(OR(11&gt;$R80,BC80&lt;=$I80),BC80,BC80-MIN(INT(ROUND(IF($F80=1,$C80*$J80,IF(FB80&gt;0,FB80*$K80,BC80*$J80))*IF(11=$R80,$S80,12)/12,6)+$B$4),BC80-$I80)))))</f>
        <v/>
      </c>
      <c r="BE80" s="68">
        <f>IF($U80=0,0,IF($F80=4,0,IF($F80=3,0,IF(OR(12&gt;$R80,BD80&lt;=$I80),BD80,BD80-MIN(INT(ROUND(IF($F80=1,$C80*$J80,IF(FC80&gt;0,FC80*$K80,BD80*$J80))*IF(12=$R80,$S80,12)/12,6)+$B$4),BD80-$I80)))))</f>
        <v/>
      </c>
      <c r="BF80" s="68">
        <f>IF($U80=0,0,IF($F80=4,0,IF($F80=3,0,IF(OR(13&gt;$R80,BE80&lt;=$I80),BE80,BE80-MIN(INT(ROUND(IF($F80=1,$C80*$J80,IF(FD80&gt;0,FD80*$K80,BE80*$J80))*IF(13=$R80,$S80,12)/12,6)+$B$4),BE80-$I80)))))</f>
        <v/>
      </c>
      <c r="BG80" s="68">
        <f>IF($U80=0,0,IF($F80=4,0,IF($F80=3,0,IF(OR(14&gt;$R80,BF80&lt;=$I80),BF80,BF80-MIN(INT(ROUND(IF($F80=1,$C80*$J80,IF(FE80&gt;0,FE80*$K80,BF80*$J80))*IF(14=$R80,$S80,12)/12,6)+$B$4),BF80-$I80)))))</f>
        <v/>
      </c>
      <c r="BH80" s="68">
        <f>IF($U80=0,0,IF($F80=4,0,IF($F80=3,0,IF(OR(15&gt;$R80,BG80&lt;=$I80),BG80,BG80-MIN(INT(ROUND(IF($F80=1,$C80*$J80,IF(FF80&gt;0,FF80*$K80,BG80*$J80))*IF(15=$R80,$S80,12)/12,6)+$B$4),BG80-$I80)))))</f>
        <v/>
      </c>
      <c r="BI80" s="68">
        <f>IF($U80=0,0,IF($F80=4,0,IF($F80=3,0,IF(OR(16&gt;$R80,BH80&lt;=$I80),BH80,BH80-MIN(INT(ROUND(IF($F80=1,$C80*$J80,IF(FG80&gt;0,FG80*$K80,BH80*$J80))*IF(16=$R80,$S80,12)/12,6)+$B$4),BH80-$I80)))))</f>
        <v/>
      </c>
      <c r="BJ80" s="68">
        <f>IF($U80=0,0,IF($F80=4,0,IF($F80=3,0,IF(OR(17&gt;$R80,BI80&lt;=$I80),BI80,BI80-MIN(INT(ROUND(IF($F80=1,$C80*$J80,IF(FH80&gt;0,FH80*$K80,BI80*$J80))*IF(17=$R80,$S80,12)/12,6)+$B$4),BI80-$I80)))))</f>
        <v/>
      </c>
      <c r="BK80" s="68">
        <f>IF($U80=0,0,IF($F80=4,0,IF($F80=3,0,IF(OR(18&gt;$R80,BJ80&lt;=$I80),BJ80,BJ80-MIN(INT(ROUND(IF($F80=1,$C80*$J80,IF(FI80&gt;0,FI80*$K80,BJ80*$J80))*IF(18=$R80,$S80,12)/12,6)+$B$4),BJ80-$I80)))))</f>
        <v/>
      </c>
      <c r="BL80" s="68">
        <f>IF($U80=0,0,IF($F80=4,0,IF($F80=3,0,IF(OR(19&gt;$R80,BK80&lt;=$I80),BK80,BK80-MIN(INT(ROUND(IF($F80=1,$C80*$J80,IF(FJ80&gt;0,FJ80*$K80,BK80*$J80))*IF(19=$R80,$S80,12)/12,6)+$B$4),BK80-$I80)))))</f>
        <v/>
      </c>
      <c r="BM80" s="68">
        <f>IF($U80=0,0,IF($F80=4,0,IF($F80=3,0,IF(OR(20&gt;$R80,BL80&lt;=$I80),BL80,BL80-MIN(INT(ROUND(IF($F80=1,$C80*$J80,IF(FK80&gt;0,FK80*$K80,BL80*$J80))*IF(20=$R80,$S80,12)/12,6)+$B$4),BL80-$I80)))))</f>
        <v/>
      </c>
      <c r="BN80" s="68">
        <f>IF($U80=0,0,IF($F80=4,0,IF($F80=3,0,IF(OR(21&gt;$R80,BM80&lt;=$I80),BM80,BM80-MIN(INT(ROUND(IF($F80=1,$C80*$J80,IF(FL80&gt;0,FL80*$K80,BM80*$J80))*IF(21=$R80,$S80,12)/12,6)+$B$4),BM80-$I80)))))</f>
        <v/>
      </c>
      <c r="BO80" s="68">
        <f>IF($U80=0,0,IF($F80=4,0,IF($F80=3,0,IF(OR(22&gt;$R80,BN80&lt;=$I80),BN80,BN80-MIN(INT(ROUND(IF($F80=1,$C80*$J80,IF(FM80&gt;0,FM80*$K80,BN80*$J80))*IF(22=$R80,$S80,12)/12,6)+$B$4),BN80-$I80)))))</f>
        <v/>
      </c>
      <c r="BP80" s="68">
        <f>IF($U80=0,0,IF($F80=4,0,IF($F80=3,0,IF(OR(23&gt;$R80,BO80&lt;=$I80),BO80,BO80-MIN(INT(ROUND(IF($F80=1,$C80*$J80,IF(FN80&gt;0,FN80*$K80,BO80*$J80))*IF(23=$R80,$S80,12)/12,6)+$B$4),BO80-$I80)))))</f>
        <v/>
      </c>
      <c r="BQ80" s="68">
        <f>IF($U80=0,0,IF($F80=4,0,IF($F80=3,0,IF(OR(24&gt;$R80,BP80&lt;=$I80),BP80,BP80-MIN(INT(ROUND(IF($F80=1,$C80*$J80,IF(FO80&gt;0,FO80*$K80,BP80*$J80))*IF(24=$R80,$S80,12)/12,6)+$B$4),BP80-$I80)))))</f>
        <v/>
      </c>
      <c r="BR80" s="68">
        <f>IF($U80=0,0,IF($F80=4,0,IF($F80=3,0,IF(OR(25&gt;$R80,BQ80&lt;=$I80),BQ80,BQ80-MIN(INT(ROUND(IF($F80=1,$C80*$J80,IF(FP80&gt;0,FP80*$K80,BQ80*$J80))*IF(25=$R80,$S80,12)/12,6)+$B$4),BQ80-$I80)))))</f>
        <v/>
      </c>
      <c r="BS80" s="68">
        <f>IF($U80=0,0,IF($F80=4,0,IF($F80=3,0,IF(OR(26&gt;$R80,BR80&lt;=$I80),BR80,BR80-MIN(INT(ROUND(IF($F80=1,$C80*$J80,IF(FQ80&gt;0,FQ80*$K80,BR80*$J80))*IF(26=$R80,$S80,12)/12,6)+$B$4),BR80-$I80)))))</f>
        <v/>
      </c>
      <c r="BT80" s="68">
        <f>IF($U80=0,0,IF($F80=4,0,IF($F80=3,0,IF(OR(27&gt;$R80,BS80&lt;=$I80),BS80,BS80-MIN(INT(ROUND(IF($F80=1,$C80*$J80,IF(FR80&gt;0,FR80*$K80,BS80*$J80))*IF(27=$R80,$S80,12)/12,6)+$B$4),BS80-$I80)))))</f>
        <v/>
      </c>
      <c r="BU80" s="68">
        <f>IF($U80=0,0,IF($F80=4,0,IF($F80=3,0,IF(OR(28&gt;$R80,BT80&lt;=$I80),BT80,BT80-MIN(INT(ROUND(IF($F80=1,$C80*$J80,IF(FS80&gt;0,FS80*$K80,BT80*$J80))*IF(28=$R80,$S80,12)/12,6)+$B$4),BT80-$I80)))))</f>
        <v/>
      </c>
      <c r="BV80" s="68">
        <f>IF($U80=0,0,IF($F80=4,0,IF($F80=3,0,IF(OR(29&gt;$R80,BU80&lt;=$I80),BU80,BU80-MIN(INT(ROUND(IF($F80=1,$C80*$J80,IF(FT80&gt;0,FT80*$K80,BU80*$J80))*IF(29=$R80,$S80,12)/12,6)+$B$4),BU80-$I80)))))</f>
        <v/>
      </c>
      <c r="BW80" s="68">
        <f>IF($U80=0,0,IF($F80=4,0,IF($F80=3,0,IF(OR(30&gt;$R80,BV80&lt;=$I80),BV80,BV80-MIN(INT(ROUND(IF($F80=1,$C80*$J80,IF(FU80&gt;0,FU80*$K80,BV80*$J80))*IF(30=$R80,$S80,12)/12,6)+$B$4),BV80-$I80)))))</f>
        <v/>
      </c>
      <c r="BX80" s="68">
        <f>IF($U80=0,0,IF($F80=4,0,IF($F80=3,0,IF(OR(31&gt;$R80,BW80&lt;=$I80),BW80,BW80-MIN(INT(ROUND(IF($F80=1,$C80*$J80,IF(FV80&gt;0,FV80*$K80,BW80*$J80))*IF(31=$R80,$S80,12)/12,6)+$B$4),BW80-$I80)))))</f>
        <v/>
      </c>
      <c r="BY80" s="68">
        <f>IF($U80=0,0,IF($F80=4,0,IF($F80=3,0,IF(OR(32&gt;$R80,BX80&lt;=$I80),BX80,BX80-MIN(INT(ROUND(IF($F80=1,$C80*$J80,IF(FW80&gt;0,FW80*$K80,BX80*$J80))*IF(32=$R80,$S80,12)/12,6)+$B$4),BX80-$I80)))))</f>
        <v/>
      </c>
      <c r="BZ80" s="68">
        <f>IF($U80=0,0,IF($F80=4,0,IF($F80=3,0,IF(OR(33&gt;$R80,BY80&lt;=$I80),BY80,BY80-MIN(INT(ROUND(IF($F80=1,$C80*$J80,IF(FX80&gt;0,FX80*$K80,BY80*$J80))*IF(33=$R80,$S80,12)/12,6)+$B$4),BY80-$I80)))))</f>
        <v/>
      </c>
      <c r="CA80" s="68">
        <f>IF($U80=0,0,IF($F80=4,0,IF($F80=3,0,IF(OR(34&gt;$R80,BZ80&lt;=$I80),BZ80,BZ80-MIN(INT(ROUND(IF($F80=1,$C80*$J80,IF(FY80&gt;0,FY80*$K80,BZ80*$J80))*IF(34=$R80,$S80,12)/12,6)+$B$4),BZ80-$I80)))))</f>
        <v/>
      </c>
      <c r="CB80" s="68">
        <f>IF($U80=0,0,IF($F80=4,0,IF($F80=3,0,IF(OR(35&gt;$R80,CA80&lt;=$I80),CA80,CA80-MIN(INT(ROUND(IF($F80=1,$C80*$J80,IF(FZ80&gt;0,FZ80*$K80,CA80*$J80))*IF(35=$R80,$S80,12)/12,6)+$B$4),CA80-$I80)))))</f>
        <v/>
      </c>
      <c r="CC80" s="68">
        <f>IF($U80=0,0,IF($F80=4,0,IF($F80=3,0,IF(OR(36&gt;$R80,CB80&lt;=$I80),CB80,CB80-MIN(INT(ROUND(IF($F80=1,$C80*$J80,IF(GA80&gt;0,GA80*$K80,CB80*$J80))*IF(36=$R80,$S80,12)/12,6)+$B$4),CB80-$I80)))))</f>
        <v/>
      </c>
      <c r="CD80" s="68">
        <f>IF($U80=0,0,IF($F80=4,0,IF($F80=3,0,IF(OR(37&gt;$R80,CC80&lt;=$I80),CC80,CC80-MIN(INT(ROUND(IF($F80=1,$C80*$J80,IF(GB80&gt;0,GB80*$K80,CC80*$J80))*IF(37=$R80,$S80,12)/12,6)+$B$4),CC80-$I80)))))</f>
        <v/>
      </c>
      <c r="CE80" s="68">
        <f>IF($U80=0,0,IF($F80=4,0,IF($F80=3,0,IF(OR(38&gt;$R80,CD80&lt;=$I80),CD80,CD80-MIN(INT(ROUND(IF($F80=1,$C80*$J80,IF(GC80&gt;0,GC80*$K80,CD80*$J80))*IF(38=$R80,$S80,12)/12,6)+$B$4),CD80-$I80)))))</f>
        <v/>
      </c>
      <c r="CF80" s="68">
        <f>IF($U80=0,0,IF($F80=4,0,IF($F80=3,0,IF(OR(39&gt;$R80,CE80&lt;=$I80),CE80,CE80-MIN(INT(ROUND(IF($F80=1,$C80*$J80,IF(GD80&gt;0,GD80*$K80,CE80*$J80))*IF(39=$R80,$S80,12)/12,6)+$B$4),CE80-$I80)))))</f>
        <v/>
      </c>
      <c r="CG80" s="68">
        <f>IF($U80=0,0,IF($F80=4,0,IF($F80=3,0,IF(OR(40&gt;$R80,CF80&lt;=$I80),CF80,CF80-MIN(INT(ROUND(IF($F80=1,$C80*$J80,IF(GE80&gt;0,GE80*$K80,CF80*$J80))*IF(40=$R80,$S80,12)/12,6)+$B$4),CF80-$I80)))))</f>
        <v/>
      </c>
      <c r="CH80" s="68">
        <f>IF($U80=0,0,IF($F80=4,0,IF($F80=3,0,IF(OR(41&gt;$R80,CG80&lt;=$I80),CG80,CG80-MIN(INT(ROUND(IF($F80=1,$C80*$J80,IF(GF80&gt;0,GF80*$K80,CG80*$J80))*IF(41=$R80,$S80,12)/12,6)+$B$4),CG80-$I80)))))</f>
        <v/>
      </c>
      <c r="CI80" s="68">
        <f>IF($U80=0,0,IF($F80=4,0,IF($F80=3,0,IF(OR(42&gt;$R80,CH80&lt;=$I80),CH80,CH80-MIN(INT(ROUND(IF($F80=1,$C80*$J80,IF(GG80&gt;0,GG80*$K80,CH80*$J80))*IF(42=$R80,$S80,12)/12,6)+$B$4),CH80-$I80)))))</f>
        <v/>
      </c>
      <c r="CJ80" s="68">
        <f>IF($U80=0,0,IF($F80=4,0,IF($F80=3,0,IF(OR(43&gt;$R80,CI80&lt;=$I80),CI80,CI80-MIN(INT(ROUND(IF($F80=1,$C80*$J80,IF(GH80&gt;0,GH80*$K80,CI80*$J80))*IF(43=$R80,$S80,12)/12,6)+$B$4),CI80-$I80)))))</f>
        <v/>
      </c>
      <c r="CK80" s="68">
        <f>IF($U80=0,0,IF($F80=4,0,IF($F80=3,0,IF(OR(44&gt;$R80,CJ80&lt;=$I80),CJ80,CJ80-MIN(INT(ROUND(IF($F80=1,$C80*$J80,IF(GI80&gt;0,GI80*$K80,CJ80*$J80))*IF(44=$R80,$S80,12)/12,6)+$B$4),CJ80-$I80)))))</f>
        <v/>
      </c>
      <c r="CL80" s="68">
        <f>IF($U80=0,0,IF($F80=4,0,IF($F80=3,0,IF(OR(45&gt;$R80,CK80&lt;=$I80),CK80,CK80-MIN(INT(ROUND(IF($F80=1,$C80*$J80,IF(GJ80&gt;0,GJ80*$K80,CK80*$J80))*IF(45=$R80,$S80,12)/12,6)+$B$4),CK80-$I80)))))</f>
        <v/>
      </c>
      <c r="CM80" s="68">
        <f>IF($U80=0,0,IF($F80=4,0,IF($F80=3,0,IF(OR(46&gt;$R80,CL80&lt;=$I80),CL80,CL80-MIN(INT(ROUND(IF($F80=1,$C80*$J80,IF(GK80&gt;0,GK80*$K80,CL80*$J80))*IF(46=$R80,$S80,12)/12,6)+$B$4),CL80-$I80)))))</f>
        <v/>
      </c>
      <c r="CN80" s="68">
        <f>IF($U80=0,0,IF($F80=4,0,IF($F80=3,0,IF(OR(47&gt;$R80,CM80&lt;=$I80),CM80,CM80-MIN(INT(ROUND(IF($F80=1,$C80*$J80,IF(GL80&gt;0,GL80*$K80,CM80*$J80))*IF(47=$R80,$S80,12)/12,6)+$B$4),CM80-$I80)))))</f>
        <v/>
      </c>
      <c r="CO80" s="68">
        <f>IF($U80=0,0,IF($F80=4,0,IF($F80=3,0,IF(OR(48&gt;$R80,CN80&lt;=$I80),CN80,CN80-MIN(INT(ROUND(IF($F80=1,$C80*$J80,IF(GM80&gt;0,GM80*$K80,CN80*$J80))*IF(48=$R80,$S80,12)/12,6)+$B$4),CN80-$I80)))))</f>
        <v/>
      </c>
      <c r="CP80" s="68">
        <f>IF($U80=0,0,IF($F80=4,0,IF($F80=3,0,IF(OR(49&gt;$R80,CO80&lt;=$I80),CO80,CO80-MIN(INT(ROUND(IF($F80=1,$C80*$J80,IF(GN80&gt;0,GN80*$K80,CO80*$J80))*IF(49=$R80,$S80,12)/12,6)+$B$4),CO80-$I80)))))</f>
        <v/>
      </c>
      <c r="CQ80" s="68">
        <f>IF($U80=0,0,IF($F80=4,0,IF($F80=3,0,IF(OR(50&gt;$R80,CP80&lt;=$I80),CP80,CP80-MIN(INT(ROUND(IF($F80=1,$C80*$J80,IF(GO80&gt;0,GO80*$K80,CP80*$J80))*IF(50=$R80,$S80,12)/12,6)+$B$4),CP80-$I80)))))</f>
        <v/>
      </c>
      <c r="CR80" s="68">
        <f>IF($U80=0,0,IF($F80=4,0,IF($F80=3,0,IF(OR(51&gt;$R80,CQ80&lt;=$I80),CQ80,CQ80-MIN(INT(ROUND(IF($F80=1,$C80*$J80,IF(GP80&gt;0,GP80*$K80,CQ80*$J80))*IF(51=$R80,$S80,12)/12,6)+$B$4),CQ80-$I80)))))</f>
        <v/>
      </c>
      <c r="CS80" s="68">
        <f>IF($U80=0,0,IF($F80=4,0,IF($F80=3,0,IF(OR(52&gt;$R80,CR80&lt;=$I80),CR80,CR80-MIN(INT(ROUND(IF($F80=1,$C80*$J80,IF(GQ80&gt;0,GQ80*$K80,CR80*$J80))*IF(52=$R80,$S80,12)/12,6)+$B$4),CR80-$I80)))))</f>
        <v/>
      </c>
      <c r="CT80" s="68">
        <f>IF($U80=0,0,IF($F80=4,0,IF($F80=3,0,IF(OR(53&gt;$R80,CS80&lt;=$I80),CS80,CS80-MIN(INT(ROUND(IF($F80=1,$C80*$J80,IF(GR80&gt;0,GR80*$K80,CS80*$J80))*IF(53=$R80,$S80,12)/12,6)+$B$4),CS80-$I80)))))</f>
        <v/>
      </c>
      <c r="CU80" s="68">
        <f>IF($U80=0,0,IF($F80=4,0,IF($F80=3,0,IF(OR(54&gt;$R80,CT80&lt;=$I80),CT80,CT80-MIN(INT(ROUND(IF($F80=1,$C80*$J80,IF(GS80&gt;0,GS80*$K80,CT80*$J80))*IF(54=$R80,$S80,12)/12,6)+$B$4),CT80-$I80)))))</f>
        <v/>
      </c>
      <c r="CV80" s="68">
        <f>IF($U80=0,0,IF($F80=4,0,IF($F80=3,0,IF(OR(55&gt;$R80,CU80&lt;=$I80),CU80,CU80-MIN(INT(ROUND(IF($F80=1,$C80*$J80,IF(GT80&gt;0,GT80*$K80,CU80*$J80))*IF(55=$R80,$S80,12)/12,6)+$B$4),CU80-$I80)))))</f>
        <v/>
      </c>
      <c r="CW80" s="68">
        <f>IF($U80=0,0,IF($F80=4,0,IF($F80=3,0,IF(OR(56&gt;$R80,CV80&lt;=$I80),CV80,CV80-MIN(INT(ROUND(IF($F80=1,$C80*$J80,IF(GU80&gt;0,GU80*$K80,CV80*$J80))*IF(56=$R80,$S80,12)/12,6)+$B$4),CV80-$I80)))))</f>
        <v/>
      </c>
      <c r="CX80" s="68">
        <f>IF($U80=0,0,IF($F80=4,0,IF($F80=3,0,IF(OR(57&gt;$R80,CW80&lt;=$I80),CW80,CW80-MIN(INT(ROUND(IF($F80=1,$C80*$J80,IF(GV80&gt;0,GV80*$K80,CW80*$J80))*IF(57=$R80,$S80,12)/12,6)+$B$4),CW80-$I80)))))</f>
        <v/>
      </c>
      <c r="CY80" s="68">
        <f>IF($U80=0,0,IF($F80=4,0,IF($F80=3,0,IF(OR(58&gt;$R80,CX80&lt;=$I80),CX80,CX80-MIN(INT(ROUND(IF($F80=1,$C80*$J80,IF(GW80&gt;0,GW80*$K80,CX80*$J80))*IF(58=$R80,$S80,12)/12,6)+$B$4),CX80-$I80)))))</f>
        <v/>
      </c>
      <c r="CZ80" s="68">
        <f>IF($U80=0,0,IF($F80=4,0,IF($F80=3,0,IF(OR(59&gt;$R80,CY80&lt;=$I80),CY80,CY80-MIN(INT(ROUND(IF($F80=1,$C80*$J80,IF(GX80&gt;0,GX80*$K80,CY80*$J80))*IF(59=$R80,$S80,12)/12,6)+$B$4),CY80-$I80)))))</f>
        <v/>
      </c>
      <c r="DA80" s="68">
        <f>IF($U80=0,0,IF($F80=4,0,IF($F80=3,0,IF(OR(60&gt;$R80,CZ80&lt;=$I80),CZ80,CZ80-MIN(INT(ROUND(IF($F80=1,$C80*$J80,IF(GY80&gt;0,GY80*$K80,CZ80*$J80))*IF(60=$R80,$S80,12)/12,6)+$B$4),CZ80-$I80)))))</f>
        <v/>
      </c>
      <c r="DB80" s="68">
        <f>IF($U80=0,0,IF($F80=4,0,IF($F80=3,0,IF(OR(61&gt;$R80,DA80&lt;=$I80),DA80,DA80-MIN(INT(ROUND(IF($F80=1,$C80*$J80,IF(GZ80&gt;0,GZ80*$K80,DA80*$J80))*IF(61=$R80,$S80,12)/12,6)+$B$4),DA80-$I80)))))</f>
        <v/>
      </c>
      <c r="DC80" s="68">
        <f>IF($U80=0,0,IF($F80=4,0,IF($F80=3,0,IF(OR(62&gt;$R80,DB80&lt;=$I80),DB80,DB80-MIN(INT(ROUND(IF($F80=1,$C80*$J80,IF(HA80&gt;0,HA80*$K80,DB80*$J80))*IF(62=$R80,$S80,12)/12,6)+$B$4),DB80-$I80)))))</f>
        <v/>
      </c>
      <c r="DD80" s="68">
        <f>IF($U80=0,0,IF($F80=4,0,IF($F80=3,0,IF(OR(63&gt;$R80,DC80&lt;=$I80),DC80,DC80-MIN(INT(ROUND(IF($F80=1,$C80*$J80,IF(HB80&gt;0,HB80*$K80,DC80*$J80))*IF(63=$R80,$S80,12)/12,6)+$B$4),DC80-$I80)))))</f>
        <v/>
      </c>
      <c r="DE80" s="68">
        <f>IF($U80=0,0,IF($F80=4,0,IF($F80=3,0,IF(OR(64&gt;$R80,DD80&lt;=$I80),DD80,DD80-MIN(INT(ROUND(IF($F80=1,$C80*$J80,IF(HC80&gt;0,HC80*$K80,DD80*$J80))*IF(64=$R80,$S80,12)/12,6)+$B$4),DD80-$I80)))))</f>
        <v/>
      </c>
      <c r="DF80" s="68">
        <f>IF($U80=0,0,IF($F80=4,0,IF($F80=3,0,IF(OR(65&gt;$R80,DE80&lt;=$I80),DE80,DE80-MIN(INT(ROUND(IF($F80=1,$C80*$J80,IF(HD80&gt;0,HD80*$K80,DE80*$J80))*IF(65=$R80,$S80,12)/12,6)+$B$4),DE80-$I80)))))</f>
        <v/>
      </c>
      <c r="DG80" s="68">
        <f>IF($U80=0,0,IF($F80=4,0,IF($F80=3,0,IF(OR(66&gt;$R80,DF80&lt;=$I80),DF80,DF80-MIN(INT(ROUND(IF($F80=1,$C80*$J80,IF(HE80&gt;0,HE80*$K80,DF80*$J80))*IF(66=$R80,$S80,12)/12,6)+$B$4),DF80-$I80)))))</f>
        <v/>
      </c>
      <c r="DH80" s="68">
        <f>IF($U80=0,0,IF($F80=4,0,IF($F80=3,0,IF(OR(67&gt;$R80,DG80&lt;=$I80),DG80,DG80-MIN(INT(ROUND(IF($F80=1,$C80*$J80,IF(HF80&gt;0,HF80*$K80,DG80*$J80))*IF(67=$R80,$S80,12)/12,6)+$B$4),DG80-$I80)))))</f>
        <v/>
      </c>
      <c r="DI80" s="68">
        <f>IF($U80=0,0,IF($F80=4,0,IF($F80=3,0,IF(OR(68&gt;$R80,DH80&lt;=$I80),DH80,DH80-MIN(INT(ROUND(IF($F80=1,$C80*$J80,IF(HG80&gt;0,HG80*$K80,DH80*$J80))*IF(68=$R80,$S80,12)/12,6)+$B$4),DH80-$I80)))))</f>
        <v/>
      </c>
      <c r="DJ80" s="68">
        <f>IF($U80=0,0,IF($F80=4,0,IF($F80=3,0,IF(OR(69&gt;$R80,DI80&lt;=$I80),DI80,DI80-MIN(INT(ROUND(IF($F80=1,$C80*$J80,IF(HH80&gt;0,HH80*$K80,DI80*$J80))*IF(69=$R80,$S80,12)/12,6)+$B$4),DI80-$I80)))))</f>
        <v/>
      </c>
      <c r="DK80" s="68">
        <f>IF($U80=0,0,IF($F80=4,0,IF($F80=3,0,IF(OR(70&gt;$R80,DJ80&lt;=$I80),DJ80,DJ80-MIN(INT(ROUND(IF($F80=1,$C80*$J80,IF(HI80&gt;0,HI80*$K80,DJ80*$J80))*IF(70=$R80,$S80,12)/12,6)+$B$4),DJ80-$I80)))))</f>
        <v/>
      </c>
      <c r="DL80" s="68">
        <f>IF($U80=0,0,IF($F80=4,0,IF($F80=3,0,IF(OR(71&gt;$R80,DK80&lt;=$I80),DK80,DK80-MIN(INT(ROUND(IF($F80=1,$C80*$J80,IF(HJ80&gt;0,HJ80*$K80,DK80*$J80))*IF(71=$R80,$S80,12)/12,6)+$B$4),DK80-$I80)))))</f>
        <v/>
      </c>
      <c r="DM80" s="68">
        <f>IF($U80=0,0,IF($F80=4,0,IF($F80=3,0,IF(OR(72&gt;$R80,DL80&lt;=$I80),DL80,DL80-MIN(INT(ROUND(IF($F80=1,$C80*$J80,IF(HK80&gt;0,HK80*$K80,DL80*$J80))*IF(72=$R80,$S80,12)/12,6)+$B$4),DL80-$I80)))))</f>
        <v/>
      </c>
      <c r="DN80" s="68">
        <f>IF($U80=0,0,IF($F80=4,0,IF($F80=3,0,IF(OR(73&gt;$R80,DM80&lt;=$I80),DM80,DM80-MIN(INT(ROUND(IF($F80=1,$C80*$J80,IF(HL80&gt;0,HL80*$K80,DM80*$J80))*IF(73=$R80,$S80,12)/12,6)+$B$4),DM80-$I80)))))</f>
        <v/>
      </c>
      <c r="DO80" s="68">
        <f>IF($U80=0,0,IF($F80=4,0,IF($F80=3,0,IF(OR(74&gt;$R80,DN80&lt;=$I80),DN80,DN80-MIN(INT(ROUND(IF($F80=1,$C80*$J80,IF(HM80&gt;0,HM80*$K80,DN80*$J80))*IF(74=$R80,$S80,12)/12,6)+$B$4),DN80-$I80)))))</f>
        <v/>
      </c>
      <c r="DP80" s="68">
        <f>IF($U80=0,0,IF($F80=4,0,IF($F80=3,0,IF(OR(75&gt;$R80,DO80&lt;=$I80),DO80,DO80-MIN(INT(ROUND(IF($F80=1,$C80*$J80,IF(HN80&gt;0,HN80*$K80,DO80*$J80))*IF(75=$R80,$S80,12)/12,6)+$B$4),DO80-$I80)))))</f>
        <v/>
      </c>
      <c r="DQ80" s="68">
        <f>IF($U80=0,0,IF($F80=4,0,IF($F80=3,0,IF(OR(76&gt;$R80,DP80&lt;=$I80),DP80,DP80-MIN(INT(ROUND(IF($F80=1,$C80*$J80,IF(HO80&gt;0,HO80*$K80,DP80*$J80))*IF(76=$R80,$S80,12)/12,6)+$B$4),DP80-$I80)))))</f>
        <v/>
      </c>
      <c r="DR80" s="68">
        <f>IF($U80=0,0,IF($F80=4,0,IF($F80=3,0,IF(OR(77&gt;$R80,DQ80&lt;=$I80),DQ80,DQ80-MIN(INT(ROUND(IF($F80=1,$C80*$J80,IF(HP80&gt;0,HP80*$K80,DQ80*$J80))*IF(77=$R80,$S80,12)/12,6)+$B$4),DQ80-$I80)))))</f>
        <v/>
      </c>
      <c r="DS80" s="68">
        <f>IF($U80=0,0,IF($F80=4,0,IF($F80=3,0,IF(OR(78&gt;$R80,DR80&lt;=$I80),DR80,DR80-MIN(INT(ROUND(IF($F80=1,$C80*$J80,IF(HQ80&gt;0,HQ80*$K80,DR80*$J80))*IF(78=$R80,$S80,12)/12,6)+$B$4),DR80-$I80)))))</f>
        <v/>
      </c>
      <c r="DT80" s="68">
        <f>IF($U80=0,0,IF($F80=4,0,IF($F80=3,0,IF(OR(79&gt;$R80,DS80&lt;=$I80),DS80,DS80-MIN(INT(ROUND(IF($F80=1,$C80*$J80,IF(HR80&gt;0,HR80*$K80,DS80*$J80))*IF(79=$R80,$S80,12)/12,6)+$B$4),DS80-$I80)))))</f>
        <v/>
      </c>
      <c r="DU80" s="68">
        <f>IF($U80=0,0,IF($F80=4,0,IF($F80=3,0,IF(OR(80&gt;$R80,DT80&lt;=$I80),DT80,DT80-MIN(INT(ROUND(IF($F80=1,$C80*$J80,IF(HS80&gt;0,HS80*$K80,DT80*$J80))*IF(80=$R80,$S80,12)/12,6)+$B$4),DT80-$I80)))))</f>
        <v/>
      </c>
      <c r="DV80" s="68">
        <f>IF($U80=0,0,IF($F80=4,0,IF($F80=3,0,IF(OR(81&gt;$R80,DU80&lt;=$I80),DU80,DU80-MIN(INT(ROUND(IF($F80=1,$C80*$J80,IF(HT80&gt;0,HT80*$K80,DU80*$J80))*IF(81=$R80,$S80,12)/12,6)+$B$4),DU80-$I80)))))</f>
        <v/>
      </c>
      <c r="DW80" s="68">
        <f>IF($U80=0,0,IF($F80=4,0,IF($F80=3,0,IF(OR(82&gt;$R80,DV80&lt;=$I80),DV80,DV80-MIN(INT(ROUND(IF($F80=1,$C80*$J80,IF(HU80&gt;0,HU80*$K80,DV80*$J80))*IF(82=$R80,$S80,12)/12,6)+$B$4),DV80-$I80)))))</f>
        <v/>
      </c>
      <c r="DX80" s="68">
        <f>IF($U80=0,0,IF($F80=4,0,IF($F80=3,0,IF(OR(83&gt;$R80,DW80&lt;=$I80),DW80,DW80-MIN(INT(ROUND(IF($F80=1,$C80*$J80,IF(HV80&gt;0,HV80*$K80,DW80*$J80))*IF(83=$R80,$S80,12)/12,6)+$B$4),DW80-$I80)))))</f>
        <v/>
      </c>
      <c r="DY80" s="68">
        <f>IF($U80=0,0,IF($F80=4,0,IF($F80=3,0,IF(OR(84&gt;$R80,DX80&lt;=$I80),DX80,DX80-MIN(INT(ROUND(IF($F80=1,$C80*$J80,IF(HW80&gt;0,HW80*$K80,DX80*$J80))*IF(84=$R80,$S80,12)/12,6)+$B$4),DX80-$I80)))))</f>
        <v/>
      </c>
      <c r="DZ80" s="68">
        <f>IF($U80=0,0,IF($F80=4,0,IF($F80=3,0,IF(OR(85&gt;$R80,DY80&lt;=$I80),DY80,DY80-MIN(INT(ROUND(IF($F80=1,$C80*$J80,IF(HX80&gt;0,HX80*$K80,DY80*$J80))*IF(85=$R80,$S80,12)/12,6)+$B$4),DY80-$I80)))))</f>
        <v/>
      </c>
      <c r="EA80" s="68">
        <f>IF($U80=0,0,IF($F80=4,0,IF($F80=3,0,IF(OR(86&gt;$R80,DZ80&lt;=$I80),DZ80,DZ80-MIN(INT(ROUND(IF($F80=1,$C80*$J80,IF(HY80&gt;0,HY80*$K80,DZ80*$J80))*IF(86=$R80,$S80,12)/12,6)+$B$4),DZ80-$I80)))))</f>
        <v/>
      </c>
      <c r="EB80" s="68">
        <f>IF($U80=0,0,IF($F80=4,0,IF($F80=3,0,IF(OR(87&gt;$R80,EA80&lt;=$I80),EA80,EA80-MIN(INT(ROUND(IF($F80=1,$C80*$J80,IF(HZ80&gt;0,HZ80*$K80,EA80*$J80))*IF(87=$R80,$S80,12)/12,6)+$B$4),EA80-$I80)))))</f>
        <v/>
      </c>
      <c r="EC80" s="68">
        <f>IF($U80=0,0,IF($F80=4,0,IF($F80=3,0,IF(OR(88&gt;$R80,EB80&lt;=$I80),EB80,EB80-MIN(INT(ROUND(IF($F80=1,$C80*$J80,IF(IA80&gt;0,IA80*$K80,EB80*$J80))*IF(88=$R80,$S80,12)/12,6)+$B$4),EB80-$I80)))))</f>
        <v/>
      </c>
      <c r="ED80" s="68">
        <f>IF($U80=0,0,IF($F80=4,0,IF($F80=3,0,IF(OR(89&gt;$R80,EC80&lt;=$I80),EC80,EC80-MIN(INT(ROUND(IF($F80=1,$C80*$J80,IF(IB80&gt;0,IB80*$K80,EC80*$J80))*IF(89=$R80,$S80,12)/12,6)+$B$4),EC80-$I80)))))</f>
        <v/>
      </c>
      <c r="EE80" s="68">
        <f>IF($U80=0,0,IF($F80=4,0,IF($F80=3,0,IF(OR(90&gt;$R80,ED80&lt;=$I80),ED80,ED80-MIN(INT(ROUND(IF($F80=1,$C80*$J80,IF(IC80&gt;0,IC80*$K80,ED80*$J80))*IF(90=$R80,$S80,12)/12,6)+$B$4),ED80-$I80)))))</f>
        <v/>
      </c>
      <c r="EF80" s="68">
        <f>IF($U80=0,0,IF($F80=4,0,IF($F80=3,0,IF(OR(91&gt;$R80,EE80&lt;=$I80),EE80,EE80-MIN(INT(ROUND(IF($F80=1,$C80*$J80,IF(ID80&gt;0,ID80*$K80,EE80*$J80))*IF(91=$R80,$S80,12)/12,6)+$B$4),EE80-$I80)))))</f>
        <v/>
      </c>
      <c r="EG80" s="68">
        <f>IF($U80=0,0,IF($F80=4,0,IF($F80=3,0,IF(OR(92&gt;$R80,EF80&lt;=$I80),EF80,EF80-MIN(INT(ROUND(IF($F80=1,$C80*$J80,IF(IE80&gt;0,IE80*$K80,EF80*$J80))*IF(92=$R80,$S80,12)/12,6)+$B$4),EF80-$I80)))))</f>
        <v/>
      </c>
      <c r="EH80" s="68">
        <f>IF($U80=0,0,IF($F80=4,0,IF($F80=3,0,IF(OR(93&gt;$R80,EG80&lt;=$I80),EG80,EG80-MIN(INT(ROUND(IF($F80=1,$C80*$J80,IF(IF80&gt;0,IF80*$K80,EG80*$J80))*IF(93=$R80,$S80,12)/12,6)+$B$4),EG80-$I80)))))</f>
        <v/>
      </c>
      <c r="EI80" s="68">
        <f>IF($U80=0,0,IF($F80=4,0,IF($F80=3,0,IF(OR(94&gt;$R80,EH80&lt;=$I80),EH80,EH80-MIN(INT(ROUND(IF($F80=1,$C80*$J80,IF(IG80&gt;0,IG80*$K80,EH80*$J80))*IF(94=$R80,$S80,12)/12,6)+$B$4),EH80-$I80)))))</f>
        <v/>
      </c>
      <c r="EJ80" s="68">
        <f>IF($U80=0,0,IF($F80=4,0,IF($F80=3,0,IF(OR(95&gt;$R80,EI80&lt;=$I80),EI80,EI80-MIN(INT(ROUND(IF($F80=1,$C80*$J80,IF(IH80&gt;0,IH80*$K80,EI80*$J80))*IF(95=$R80,$S80,12)/12,6)+$B$4),EI80-$I80)))))</f>
        <v/>
      </c>
      <c r="EK80" s="68">
        <f>IF($U80=0,0,IF($F80=4,0,IF($F80=3,0,IF(OR(96&gt;$R80,EJ80&lt;=$I80),EJ80,EJ80-MIN(INT(ROUND(IF($F80=1,$C80*$J80,IF(II80&gt;0,II80*$K80,EJ80*$J80))*IF(96=$R80,$S80,12)/12,6)+$B$4),EJ80-$I80)))))</f>
        <v/>
      </c>
      <c r="EL80" s="68">
        <f>IF($U80=0,0,IF($F80=4,0,IF($F80=3,0,IF(OR(97&gt;$R80,EK80&lt;=$I80),EK80,EK80-MIN(INT(ROUND(IF($F80=1,$C80*$J80,IF(IJ80&gt;0,IJ80*$K80,EK80*$J80))*IF(97=$R80,$S80,12)/12,6)+$B$4),EK80-$I80)))))</f>
        <v/>
      </c>
      <c r="EM80" s="68">
        <f>IF($U80=0,0,IF($F80=4,0,IF($F80=3,0,IF(OR(98&gt;$R80,EL80&lt;=$I80),EL80,EL80-MIN(INT(ROUND(IF($F80=1,$C80*$J80,IF(IK80&gt;0,IK80*$K80,EL80*$J80))*IF(98=$R80,$S80,12)/12,6)+$B$4),EL80-$I80)))))</f>
        <v/>
      </c>
      <c r="EN80" s="68">
        <f>IF($U80=0,0,IF($F80=4,0,IF($F80=3,0,IF(OR(99&gt;$R80,EM80&lt;=$I80),EM80,EM80-MIN(INT(ROUND(IF($F80=1,$C80*$J80,IF(IL80&gt;0,IL80*$K80,EM80*$J80))*IF(99=$R80,$S80,12)/12,6)+$B$4),EM80-$I80)))))</f>
        <v/>
      </c>
      <c r="EO80" s="68">
        <f>IF($U80=0,0,IF($F80=4,0,IF($F80=3,0,IF(OR(100&gt;$R80,EN80&lt;=$I80),EN80,EN80-MIN(INT(ROUND(IF($F80=1,$C80*$J80,IF(IM80&gt;0,IM80*$K80,EN80*$J80))*IF(100=$R80,$S80,12)/12,6)+$B$4),EN80-$I80)))))</f>
        <v/>
      </c>
      <c r="EP80" s="68">
        <f>IF($U80=0,0,IF($F80=4,0,IF($F80=3,0,IF(OR(101&gt;$R80,EO80&lt;=$I80),EO80,EO80-MIN(INT(ROUND(IF($F80=1,$C80*$J80,IF(IN80&gt;0,IN80*$K80,EO80*$J80))*IF(101=$R80,$S80,12)/12,6)+$B$4),EO80-$I80)))))</f>
        <v/>
      </c>
      <c r="EQ80" s="68" t="n"/>
      <c r="ER80" s="68">
        <f>IF(OR($U80=0,$F80&lt;&gt;2),0,IF(ROUND(AS80*$J80,6)&lt;ROUND($M80,6),AS80,0))</f>
        <v/>
      </c>
      <c r="ES80" s="68">
        <f>IF(OR($U80=0,$F80&lt;&gt;2),0,IF(ER80&gt;0,ER80,IF(ROUND(AT80*$J80,6)&lt;ROUND($M80,6),AT80,0)))</f>
        <v/>
      </c>
      <c r="ET80" s="68">
        <f>IF(OR($U80=0,$F80&lt;&gt;2),0,IF(ES80&gt;0,ES80,IF(ROUND(AU80*$J80,6)&lt;ROUND($M80,6),AU80,0)))</f>
        <v/>
      </c>
      <c r="EU80" s="68">
        <f>IF(OR($U80=0,$F80&lt;&gt;2),0,IF(ET80&gt;0,ET80,IF(ROUND(AV80*$J80,6)&lt;ROUND($M80,6),AV80,0)))</f>
        <v/>
      </c>
      <c r="EV80" s="68">
        <f>IF(OR($U80=0,$F80&lt;&gt;2),0,IF(EU80&gt;0,EU80,IF(ROUND(AW80*$J80,6)&lt;ROUND($M80,6),AW80,0)))</f>
        <v/>
      </c>
      <c r="EW80" s="68">
        <f>IF(OR($U80=0,$F80&lt;&gt;2),0,IF(EV80&gt;0,EV80,IF(ROUND(AX80*$J80,6)&lt;ROUND($M80,6),AX80,0)))</f>
        <v/>
      </c>
      <c r="EX80" s="68">
        <f>IF(OR($U80=0,$F80&lt;&gt;2),0,IF(EW80&gt;0,EW80,IF(ROUND(AY80*$J80,6)&lt;ROUND($M80,6),AY80,0)))</f>
        <v/>
      </c>
      <c r="EY80" s="68">
        <f>IF(OR($U80=0,$F80&lt;&gt;2),0,IF(EX80&gt;0,EX80,IF(ROUND(AZ80*$J80,6)&lt;ROUND($M80,6),AZ80,0)))</f>
        <v/>
      </c>
      <c r="EZ80" s="68">
        <f>IF(OR($U80=0,$F80&lt;&gt;2),0,IF(EY80&gt;0,EY80,IF(ROUND(BA80*$J80,6)&lt;ROUND($M80,6),BA80,0)))</f>
        <v/>
      </c>
      <c r="FA80" s="68">
        <f>IF(OR($U80=0,$F80&lt;&gt;2),0,IF(EZ80&gt;0,EZ80,IF(ROUND(BB80*$J80,6)&lt;ROUND($M80,6),BB80,0)))</f>
        <v/>
      </c>
      <c r="FB80" s="68">
        <f>IF(OR($U80=0,$F80&lt;&gt;2),0,IF(FA80&gt;0,FA80,IF(ROUND(BC80*$J80,6)&lt;ROUND($M80,6),BC80,0)))</f>
        <v/>
      </c>
      <c r="FC80" s="68">
        <f>IF(OR($U80=0,$F80&lt;&gt;2),0,IF(FB80&gt;0,FB80,IF(ROUND(BD80*$J80,6)&lt;ROUND($M80,6),BD80,0)))</f>
        <v/>
      </c>
      <c r="FD80" s="68">
        <f>IF(OR($U80=0,$F80&lt;&gt;2),0,IF(FC80&gt;0,FC80,IF(ROUND(BE80*$J80,6)&lt;ROUND($M80,6),BE80,0)))</f>
        <v/>
      </c>
      <c r="FE80" s="68">
        <f>IF(OR($U80=0,$F80&lt;&gt;2),0,IF(FD80&gt;0,FD80,IF(ROUND(BF80*$J80,6)&lt;ROUND($M80,6),BF80,0)))</f>
        <v/>
      </c>
      <c r="FF80" s="68">
        <f>IF(OR($U80=0,$F80&lt;&gt;2),0,IF(FE80&gt;0,FE80,IF(ROUND(BG80*$J80,6)&lt;ROUND($M80,6),BG80,0)))</f>
        <v/>
      </c>
      <c r="FG80" s="68">
        <f>IF(OR($U80=0,$F80&lt;&gt;2),0,IF(FF80&gt;0,FF80,IF(ROUND(BH80*$J80,6)&lt;ROUND($M80,6),BH80,0)))</f>
        <v/>
      </c>
      <c r="FH80" s="68">
        <f>IF(OR($U80=0,$F80&lt;&gt;2),0,IF(FG80&gt;0,FG80,IF(ROUND(BI80*$J80,6)&lt;ROUND($M80,6),BI80,0)))</f>
        <v/>
      </c>
      <c r="FI80" s="68">
        <f>IF(OR($U80=0,$F80&lt;&gt;2),0,IF(FH80&gt;0,FH80,IF(ROUND(BJ80*$J80,6)&lt;ROUND($M80,6),BJ80,0)))</f>
        <v/>
      </c>
      <c r="FJ80" s="68">
        <f>IF(OR($U80=0,$F80&lt;&gt;2),0,IF(FI80&gt;0,FI80,IF(ROUND(BK80*$J80,6)&lt;ROUND($M80,6),BK80,0)))</f>
        <v/>
      </c>
      <c r="FK80" s="68">
        <f>IF(OR($U80=0,$F80&lt;&gt;2),0,IF(FJ80&gt;0,FJ80,IF(ROUND(BL80*$J80,6)&lt;ROUND($M80,6),BL80,0)))</f>
        <v/>
      </c>
      <c r="FL80" s="68">
        <f>IF(OR($U80=0,$F80&lt;&gt;2),0,IF(FK80&gt;0,FK80,IF(ROUND(BM80*$J80,6)&lt;ROUND($M80,6),BM80,0)))</f>
        <v/>
      </c>
      <c r="FM80" s="68">
        <f>IF(OR($U80=0,$F80&lt;&gt;2),0,IF(FL80&gt;0,FL80,IF(ROUND(BN80*$J80,6)&lt;ROUND($M80,6),BN80,0)))</f>
        <v/>
      </c>
      <c r="FN80" s="68">
        <f>IF(OR($U80=0,$F80&lt;&gt;2),0,IF(FM80&gt;0,FM80,IF(ROUND(BO80*$J80,6)&lt;ROUND($M80,6),BO80,0)))</f>
        <v/>
      </c>
      <c r="FO80" s="68">
        <f>IF(OR($U80=0,$F80&lt;&gt;2),0,IF(FN80&gt;0,FN80,IF(ROUND(BP80*$J80,6)&lt;ROUND($M80,6),BP80,0)))</f>
        <v/>
      </c>
      <c r="FP80" s="68">
        <f>IF(OR($U80=0,$F80&lt;&gt;2),0,IF(FO80&gt;0,FO80,IF(ROUND(BQ80*$J80,6)&lt;ROUND($M80,6),BQ80,0)))</f>
        <v/>
      </c>
      <c r="FQ80" s="68">
        <f>IF(OR($U80=0,$F80&lt;&gt;2),0,IF(FP80&gt;0,FP80,IF(ROUND(BR80*$J80,6)&lt;ROUND($M80,6),BR80,0)))</f>
        <v/>
      </c>
      <c r="FR80" s="68">
        <f>IF(OR($U80=0,$F80&lt;&gt;2),0,IF(FQ80&gt;0,FQ80,IF(ROUND(BS80*$J80,6)&lt;ROUND($M80,6),BS80,0)))</f>
        <v/>
      </c>
      <c r="FS80" s="68">
        <f>IF(OR($U80=0,$F80&lt;&gt;2),0,IF(FR80&gt;0,FR80,IF(ROUND(BT80*$J80,6)&lt;ROUND($M80,6),BT80,0)))</f>
        <v/>
      </c>
      <c r="FT80" s="68">
        <f>IF(OR($U80=0,$F80&lt;&gt;2),0,IF(FS80&gt;0,FS80,IF(ROUND(BU80*$J80,6)&lt;ROUND($M80,6),BU80,0)))</f>
        <v/>
      </c>
      <c r="FU80" s="68">
        <f>IF(OR($U80=0,$F80&lt;&gt;2),0,IF(FT80&gt;0,FT80,IF(ROUND(BV80*$J80,6)&lt;ROUND($M80,6),BV80,0)))</f>
        <v/>
      </c>
      <c r="FV80" s="68">
        <f>IF(OR($U80=0,$F80&lt;&gt;2),0,IF(FU80&gt;0,FU80,IF(ROUND(BW80*$J80,6)&lt;ROUND($M80,6),BW80,0)))</f>
        <v/>
      </c>
      <c r="FW80" s="68">
        <f>IF(OR($U80=0,$F80&lt;&gt;2),0,IF(FV80&gt;0,FV80,IF(ROUND(BX80*$J80,6)&lt;ROUND($M80,6),BX80,0)))</f>
        <v/>
      </c>
      <c r="FX80" s="68">
        <f>IF(OR($U80=0,$F80&lt;&gt;2),0,IF(FW80&gt;0,FW80,IF(ROUND(BY80*$J80,6)&lt;ROUND($M80,6),BY80,0)))</f>
        <v/>
      </c>
      <c r="FY80" s="68">
        <f>IF(OR($U80=0,$F80&lt;&gt;2),0,IF(FX80&gt;0,FX80,IF(ROUND(BZ80*$J80,6)&lt;ROUND($M80,6),BZ80,0)))</f>
        <v/>
      </c>
      <c r="FZ80" s="68">
        <f>IF(OR($U80=0,$F80&lt;&gt;2),0,IF(FY80&gt;0,FY80,IF(ROUND(CA80*$J80,6)&lt;ROUND($M80,6),CA80,0)))</f>
        <v/>
      </c>
      <c r="GA80" s="68">
        <f>IF(OR($U80=0,$F80&lt;&gt;2),0,IF(FZ80&gt;0,FZ80,IF(ROUND(CB80*$J80,6)&lt;ROUND($M80,6),CB80,0)))</f>
        <v/>
      </c>
      <c r="GB80" s="68">
        <f>IF(OR($U80=0,$F80&lt;&gt;2),0,IF(GA80&gt;0,GA80,IF(ROUND(CC80*$J80,6)&lt;ROUND($M80,6),CC80,0)))</f>
        <v/>
      </c>
      <c r="GC80" s="68">
        <f>IF(OR($U80=0,$F80&lt;&gt;2),0,IF(GB80&gt;0,GB80,IF(ROUND(CD80*$J80,6)&lt;ROUND($M80,6),CD80,0)))</f>
        <v/>
      </c>
      <c r="GD80" s="68">
        <f>IF(OR($U80=0,$F80&lt;&gt;2),0,IF(GC80&gt;0,GC80,IF(ROUND(CE80*$J80,6)&lt;ROUND($M80,6),CE80,0)))</f>
        <v/>
      </c>
      <c r="GE80" s="68">
        <f>IF(OR($U80=0,$F80&lt;&gt;2),0,IF(GD80&gt;0,GD80,IF(ROUND(CF80*$J80,6)&lt;ROUND($M80,6),CF80,0)))</f>
        <v/>
      </c>
      <c r="GF80" s="68">
        <f>IF(OR($U80=0,$F80&lt;&gt;2),0,IF(GE80&gt;0,GE80,IF(ROUND(CG80*$J80,6)&lt;ROUND($M80,6),CG80,0)))</f>
        <v/>
      </c>
      <c r="GG80" s="68">
        <f>IF(OR($U80=0,$F80&lt;&gt;2),0,IF(GF80&gt;0,GF80,IF(ROUND(CH80*$J80,6)&lt;ROUND($M80,6),CH80,0)))</f>
        <v/>
      </c>
      <c r="GH80" s="68">
        <f>IF(OR($U80=0,$F80&lt;&gt;2),0,IF(GG80&gt;0,GG80,IF(ROUND(CI80*$J80,6)&lt;ROUND($M80,6),CI80,0)))</f>
        <v/>
      </c>
      <c r="GI80" s="68">
        <f>IF(OR($U80=0,$F80&lt;&gt;2),0,IF(GH80&gt;0,GH80,IF(ROUND(CJ80*$J80,6)&lt;ROUND($M80,6),CJ80,0)))</f>
        <v/>
      </c>
      <c r="GJ80" s="68">
        <f>IF(OR($U80=0,$F80&lt;&gt;2),0,IF(GI80&gt;0,GI80,IF(ROUND(CK80*$J80,6)&lt;ROUND($M80,6),CK80,0)))</f>
        <v/>
      </c>
      <c r="GK80" s="68">
        <f>IF(OR($U80=0,$F80&lt;&gt;2),0,IF(GJ80&gt;0,GJ80,IF(ROUND(CL80*$J80,6)&lt;ROUND($M80,6),CL80,0)))</f>
        <v/>
      </c>
      <c r="GL80" s="68">
        <f>IF(OR($U80=0,$F80&lt;&gt;2),0,IF(GK80&gt;0,GK80,IF(ROUND(CM80*$J80,6)&lt;ROUND($M80,6),CM80,0)))</f>
        <v/>
      </c>
      <c r="GM80" s="68">
        <f>IF(OR($U80=0,$F80&lt;&gt;2),0,IF(GL80&gt;0,GL80,IF(ROUND(CN80*$J80,6)&lt;ROUND($M80,6),CN80,0)))</f>
        <v/>
      </c>
      <c r="GN80" s="68">
        <f>IF(OR($U80=0,$F80&lt;&gt;2),0,IF(GM80&gt;0,GM80,IF(ROUND(CO80*$J80,6)&lt;ROUND($M80,6),CO80,0)))</f>
        <v/>
      </c>
      <c r="GO80" s="68">
        <f>IF(OR($U80=0,$F80&lt;&gt;2),0,IF(GN80&gt;0,GN80,IF(ROUND(CP80*$J80,6)&lt;ROUND($M80,6),CP80,0)))</f>
        <v/>
      </c>
      <c r="GP80" s="68">
        <f>IF(OR($U80=0,$F80&lt;&gt;2),0,IF(GO80&gt;0,GO80,IF(ROUND(CQ80*$J80,6)&lt;ROUND($M80,6),CQ80,0)))</f>
        <v/>
      </c>
      <c r="GQ80" s="68">
        <f>IF(OR($U80=0,$F80&lt;&gt;2),0,IF(GP80&gt;0,GP80,IF(ROUND(CR80*$J80,6)&lt;ROUND($M80,6),CR80,0)))</f>
        <v/>
      </c>
      <c r="GR80" s="68">
        <f>IF(OR($U80=0,$F80&lt;&gt;2),0,IF(GQ80&gt;0,GQ80,IF(ROUND(CS80*$J80,6)&lt;ROUND($M80,6),CS80,0)))</f>
        <v/>
      </c>
      <c r="GS80" s="68">
        <f>IF(OR($U80=0,$F80&lt;&gt;2),0,IF(GR80&gt;0,GR80,IF(ROUND(CT80*$J80,6)&lt;ROUND($M80,6),CT80,0)))</f>
        <v/>
      </c>
      <c r="GT80" s="68">
        <f>IF(OR($U80=0,$F80&lt;&gt;2),0,IF(GS80&gt;0,GS80,IF(ROUND(CU80*$J80,6)&lt;ROUND($M80,6),CU80,0)))</f>
        <v/>
      </c>
      <c r="GU80" s="68">
        <f>IF(OR($U80=0,$F80&lt;&gt;2),0,IF(GT80&gt;0,GT80,IF(ROUND(CV80*$J80,6)&lt;ROUND($M80,6),CV80,0)))</f>
        <v/>
      </c>
      <c r="GV80" s="68">
        <f>IF(OR($U80=0,$F80&lt;&gt;2),0,IF(GU80&gt;0,GU80,IF(ROUND(CW80*$J80,6)&lt;ROUND($M80,6),CW80,0)))</f>
        <v/>
      </c>
      <c r="GW80" s="68">
        <f>IF(OR($U80=0,$F80&lt;&gt;2),0,IF(GV80&gt;0,GV80,IF(ROUND(CX80*$J80,6)&lt;ROUND($M80,6),CX80,0)))</f>
        <v/>
      </c>
      <c r="GX80" s="68">
        <f>IF(OR($U80=0,$F80&lt;&gt;2),0,IF(GW80&gt;0,GW80,IF(ROUND(CY80*$J80,6)&lt;ROUND($M80,6),CY80,0)))</f>
        <v/>
      </c>
      <c r="GY80" s="68">
        <f>IF(OR($U80=0,$F80&lt;&gt;2),0,IF(GX80&gt;0,GX80,IF(ROUND(CZ80*$J80,6)&lt;ROUND($M80,6),CZ80,0)))</f>
        <v/>
      </c>
      <c r="GZ80" s="68">
        <f>IF(OR($U80=0,$F80&lt;&gt;2),0,IF(GY80&gt;0,GY80,IF(ROUND(DA80*$J80,6)&lt;ROUND($M80,6),DA80,0)))</f>
        <v/>
      </c>
      <c r="HA80" s="68">
        <f>IF(OR($U80=0,$F80&lt;&gt;2),0,IF(GZ80&gt;0,GZ80,IF(ROUND(DB80*$J80,6)&lt;ROUND($M80,6),DB80,0)))</f>
        <v/>
      </c>
      <c r="HB80" s="68">
        <f>IF(OR($U80=0,$F80&lt;&gt;2),0,IF(HA80&gt;0,HA80,IF(ROUND(DC80*$J80,6)&lt;ROUND($M80,6),DC80,0)))</f>
        <v/>
      </c>
      <c r="HC80" s="68">
        <f>IF(OR($U80=0,$F80&lt;&gt;2),0,IF(HB80&gt;0,HB80,IF(ROUND(DD80*$J80,6)&lt;ROUND($M80,6),DD80,0)))</f>
        <v/>
      </c>
      <c r="HD80" s="68">
        <f>IF(OR($U80=0,$F80&lt;&gt;2),0,IF(HC80&gt;0,HC80,IF(ROUND(DE80*$J80,6)&lt;ROUND($M80,6),DE80,0)))</f>
        <v/>
      </c>
      <c r="HE80" s="68">
        <f>IF(OR($U80=0,$F80&lt;&gt;2),0,IF(HD80&gt;0,HD80,IF(ROUND(DF80*$J80,6)&lt;ROUND($M80,6),DF80,0)))</f>
        <v/>
      </c>
      <c r="HF80" s="68">
        <f>IF(OR($U80=0,$F80&lt;&gt;2),0,IF(HE80&gt;0,HE80,IF(ROUND(DG80*$J80,6)&lt;ROUND($M80,6),DG80,0)))</f>
        <v/>
      </c>
      <c r="HG80" s="68">
        <f>IF(OR($U80=0,$F80&lt;&gt;2),0,IF(HF80&gt;0,HF80,IF(ROUND(DH80*$J80,6)&lt;ROUND($M80,6),DH80,0)))</f>
        <v/>
      </c>
      <c r="HH80" s="68">
        <f>IF(OR($U80=0,$F80&lt;&gt;2),0,IF(HG80&gt;0,HG80,IF(ROUND(DI80*$J80,6)&lt;ROUND($M80,6),DI80,0)))</f>
        <v/>
      </c>
      <c r="HI80" s="68">
        <f>IF(OR($U80=0,$F80&lt;&gt;2),0,IF(HH80&gt;0,HH80,IF(ROUND(DJ80*$J80,6)&lt;ROUND($M80,6),DJ80,0)))</f>
        <v/>
      </c>
      <c r="HJ80" s="68">
        <f>IF(OR($U80=0,$F80&lt;&gt;2),0,IF(HI80&gt;0,HI80,IF(ROUND(DK80*$J80,6)&lt;ROUND($M80,6),DK80,0)))</f>
        <v/>
      </c>
      <c r="HK80" s="68">
        <f>IF(OR($U80=0,$F80&lt;&gt;2),0,IF(HJ80&gt;0,HJ80,IF(ROUND(DL80*$J80,6)&lt;ROUND($M80,6),DL80,0)))</f>
        <v/>
      </c>
      <c r="HL80" s="68">
        <f>IF(OR($U80=0,$F80&lt;&gt;2),0,IF(HK80&gt;0,HK80,IF(ROUND(DM80*$J80,6)&lt;ROUND($M80,6),DM80,0)))</f>
        <v/>
      </c>
      <c r="HM80" s="68">
        <f>IF(OR($U80=0,$F80&lt;&gt;2),0,IF(HL80&gt;0,HL80,IF(ROUND(DN80*$J80,6)&lt;ROUND($M80,6),DN80,0)))</f>
        <v/>
      </c>
      <c r="HN80" s="68">
        <f>IF(OR($U80=0,$F80&lt;&gt;2),0,IF(HM80&gt;0,HM80,IF(ROUND(DO80*$J80,6)&lt;ROUND($M80,6),DO80,0)))</f>
        <v/>
      </c>
      <c r="HO80" s="68">
        <f>IF(OR($U80=0,$F80&lt;&gt;2),0,IF(HN80&gt;0,HN80,IF(ROUND(DP80*$J80,6)&lt;ROUND($M80,6),DP80,0)))</f>
        <v/>
      </c>
      <c r="HP80" s="68">
        <f>IF(OR($U80=0,$F80&lt;&gt;2),0,IF(HO80&gt;0,HO80,IF(ROUND(DQ80*$J80,6)&lt;ROUND($M80,6),DQ80,0)))</f>
        <v/>
      </c>
      <c r="HQ80" s="68">
        <f>IF(OR($U80=0,$F80&lt;&gt;2),0,IF(HP80&gt;0,HP80,IF(ROUND(DR80*$J80,6)&lt;ROUND($M80,6),DR80,0)))</f>
        <v/>
      </c>
      <c r="HR80" s="68">
        <f>IF(OR($U80=0,$F80&lt;&gt;2),0,IF(HQ80&gt;0,HQ80,IF(ROUND(DS80*$J80,6)&lt;ROUND($M80,6),DS80,0)))</f>
        <v/>
      </c>
      <c r="HS80" s="68">
        <f>IF(OR($U80=0,$F80&lt;&gt;2),0,IF(HR80&gt;0,HR80,IF(ROUND(DT80*$J80,6)&lt;ROUND($M80,6),DT80,0)))</f>
        <v/>
      </c>
      <c r="HT80" s="68">
        <f>IF(OR($U80=0,$F80&lt;&gt;2),0,IF(HS80&gt;0,HS80,IF(ROUND(DU80*$J80,6)&lt;ROUND($M80,6),DU80,0)))</f>
        <v/>
      </c>
      <c r="HU80" s="68">
        <f>IF(OR($U80=0,$F80&lt;&gt;2),0,IF(HT80&gt;0,HT80,IF(ROUND(DV80*$J80,6)&lt;ROUND($M80,6),DV80,0)))</f>
        <v/>
      </c>
      <c r="HV80" s="68">
        <f>IF(OR($U80=0,$F80&lt;&gt;2),0,IF(HU80&gt;0,HU80,IF(ROUND(DW80*$J80,6)&lt;ROUND($M80,6),DW80,0)))</f>
        <v/>
      </c>
      <c r="HW80" s="68">
        <f>IF(OR($U80=0,$F80&lt;&gt;2),0,IF(HV80&gt;0,HV80,IF(ROUND(DX80*$J80,6)&lt;ROUND($M80,6),DX80,0)))</f>
        <v/>
      </c>
      <c r="HX80" s="68">
        <f>IF(OR($U80=0,$F80&lt;&gt;2),0,IF(HW80&gt;0,HW80,IF(ROUND(DY80*$J80,6)&lt;ROUND($M80,6),DY80,0)))</f>
        <v/>
      </c>
      <c r="HY80" s="68">
        <f>IF(OR($U80=0,$F80&lt;&gt;2),0,IF(HX80&gt;0,HX80,IF(ROUND(DZ80*$J80,6)&lt;ROUND($M80,6),DZ80,0)))</f>
        <v/>
      </c>
      <c r="HZ80" s="68">
        <f>IF(OR($U80=0,$F80&lt;&gt;2),0,IF(HY80&gt;0,HY80,IF(ROUND(EA80*$J80,6)&lt;ROUND($M80,6),EA80,0)))</f>
        <v/>
      </c>
      <c r="IA80" s="68">
        <f>IF(OR($U80=0,$F80&lt;&gt;2),0,IF(HZ80&gt;0,HZ80,IF(ROUND(EB80*$J80,6)&lt;ROUND($M80,6),EB80,0)))</f>
        <v/>
      </c>
      <c r="IB80" s="68">
        <f>IF(OR($U80=0,$F80&lt;&gt;2),0,IF(IA80&gt;0,IA80,IF(ROUND(EC80*$J80,6)&lt;ROUND($M80,6),EC80,0)))</f>
        <v/>
      </c>
      <c r="IC80" s="68">
        <f>IF(OR($U80=0,$F80&lt;&gt;2),0,IF(IB80&gt;0,IB80,IF(ROUND(ED80*$J80,6)&lt;ROUND($M80,6),ED80,0)))</f>
        <v/>
      </c>
      <c r="ID80" s="68">
        <f>IF(OR($U80=0,$F80&lt;&gt;2),0,IF(IC80&gt;0,IC80,IF(ROUND(EE80*$J80,6)&lt;ROUND($M80,6),EE80,0)))</f>
        <v/>
      </c>
      <c r="IE80" s="68">
        <f>IF(OR($U80=0,$F80&lt;&gt;2),0,IF(ID80&gt;0,ID80,IF(ROUND(EF80*$J80,6)&lt;ROUND($M80,6),EF80,0)))</f>
        <v/>
      </c>
      <c r="IF80" s="68">
        <f>IF(OR($U80=0,$F80&lt;&gt;2),0,IF(IE80&gt;0,IE80,IF(ROUND(EG80*$J80,6)&lt;ROUND($M80,6),EG80,0)))</f>
        <v/>
      </c>
      <c r="IG80" s="68">
        <f>IF(OR($U80=0,$F80&lt;&gt;2),0,IF(IF80&gt;0,IF80,IF(ROUND(EH80*$J80,6)&lt;ROUND($M80,6),EH80,0)))</f>
        <v/>
      </c>
      <c r="IH80" s="68">
        <f>IF(OR($U80=0,$F80&lt;&gt;2),0,IF(IG80&gt;0,IG80,IF(ROUND(EI80*$J80,6)&lt;ROUND($M80,6),EI80,0)))</f>
        <v/>
      </c>
      <c r="II80" s="68">
        <f>IF(OR($U80=0,$F80&lt;&gt;2),0,IF(IH80&gt;0,IH80,IF(ROUND(EJ80*$J80,6)&lt;ROUND($M80,6),EJ80,0)))</f>
        <v/>
      </c>
      <c r="IJ80" s="68">
        <f>IF(OR($U80=0,$F80&lt;&gt;2),0,IF(II80&gt;0,II80,IF(ROUND(EK80*$J80,6)&lt;ROUND($M80,6),EK80,0)))</f>
        <v/>
      </c>
      <c r="IK80" s="68">
        <f>IF(OR($U80=0,$F80&lt;&gt;2),0,IF(IJ80&gt;0,IJ80,IF(ROUND(EL80*$J80,6)&lt;ROUND($M80,6),EL80,0)))</f>
        <v/>
      </c>
      <c r="IL80" s="68">
        <f>IF(OR($U80=0,$F80&lt;&gt;2),0,IF(IK80&gt;0,IK80,IF(ROUND(EM80*$J80,6)&lt;ROUND($M80,6),EM80,0)))</f>
        <v/>
      </c>
      <c r="IM80" s="68">
        <f>IF(OR($U80=0,$F80&lt;&gt;2),0,IF(IL80&gt;0,IL80,IF(ROUND(EN80*$J80,6)&lt;ROUND($M80,6),EN80,0)))</f>
        <v/>
      </c>
      <c r="IN80" s="68">
        <f>IF(OR($U80=0,$F80&lt;&gt;2),0,IF(IM80&gt;0,IM80,IF(ROUND(EO80*$J80,6)&lt;ROUND($M80,6),EO80,0)))</f>
        <v/>
      </c>
    </row>
    <row r="81">
      <c r="A81" s="68" t="n">
        <v>76</v>
      </c>
      <c r="B81" s="68">
        <f>IF(OR(TRIM('固定資産台帳'!$B81)&lt;&gt;"",'固定資産台帳'!$E81&lt;&gt;"",'固定資産台帳'!$G81&lt;&gt;"",'固定資産台帳'!$H81&lt;&gt;""),1,0)</f>
        <v/>
      </c>
      <c r="C81" s="68">
        <f>IF(ISNUMBER('固定資産台帳'!$G81),MAX(ROUND('固定資産台帳'!$G81,0),0),0)</f>
        <v/>
      </c>
      <c r="D81" s="84">
        <f>IF(ISNUMBER('固定資産台帳'!$E81),INT('固定資産台帳'!$E81),0)</f>
        <v/>
      </c>
      <c r="E81" s="84">
        <f>IF(ISNUMBER('固定資産台帳'!$F81),INT('固定資産台帳'!$F81),$D81)</f>
        <v/>
      </c>
      <c r="F81" s="68">
        <f>IF('固定資産台帳'!$H81="定額法",1,IF(OR('固定資産台帳'!$H81="定率法",'固定資産台帳'!$H81="定率法（200%）",'固定資産台帳'!$H81="定率法（250%）"),2,IF('固定資産台帳'!$H81="一括償却（3年）",3,IF('固定資産台帳'!$H81="少額特例",4,0))))</f>
        <v/>
      </c>
      <c r="G81" s="68">
        <f>IF('固定資産台帳'!$H81="定率法（250%）",250,IF('固定資産台帳'!$H81="定率法（200%）",200,IF($D81&gt;=DATE(2012,4,1),200,250)))</f>
        <v/>
      </c>
      <c r="H81" s="68">
        <f>IF(ISNUMBER('固定資産台帳'!$I81),IF(AND('固定資産台帳'!$I81&gt;=2,'固定資産台帳'!$I81&lt;=100,'固定資産台帳'!$I81=INT('固定資産台帳'!$I81)),'固定資産台帳'!$I81,0),0)</f>
        <v/>
      </c>
      <c r="I81" s="68">
        <f>IF('固定資産台帳'!$C81="無形固定資産",0,1)</f>
        <v/>
      </c>
      <c r="J81" s="68">
        <f>IF(OR($H81=0,$F81=0,$F81&gt;2),0,IF($F81=1,INDEX('償却率表'!$B$6:$B$104,$H81-1),IF($G81=200,INDEX('償却率表'!$C$6:$C$104,$H81-1),INDEX('償却率表'!$F$6:$F$104,$H81-1))))</f>
        <v/>
      </c>
      <c r="K81" s="68">
        <f>IF(AND($F81=2,$H81&gt;0),IF($G81=200,INDEX('償却率表'!$D$6:$D$104,$H81-1),INDEX('償却率表'!$G$6:$G$104,$H81-1)),0)</f>
        <v/>
      </c>
      <c r="L81" s="68">
        <f>IF(AND($F81=2,$H81&gt;0),IF($G81=200,INDEX('償却率表'!$E$6:$E$104,$H81-1),INDEX('償却率表'!$H$6:$H$104,$H81-1)),0)</f>
        <v/>
      </c>
      <c r="M81" s="68">
        <f>$C81*$L81</f>
        <v/>
      </c>
      <c r="N81" s="68">
        <f>IF($B$1=1,1,IF('固定資産台帳'!$J81="",1,IF(ISNUMBER('固定資産台帳'!$J81),IF(AND('固定資産台帳'!$J81&gt;0,'固定資産台帳'!$J81&lt;=1),'固定資産台帳'!$J81,0),0)))</f>
        <v/>
      </c>
      <c r="O81" s="68">
        <f>IF($E81=0,0,YEAR($E81)-IF(MONTH($E81)&lt;$B$2,1,0))</f>
        <v/>
      </c>
      <c r="P81" s="68">
        <f>IF($E81=0,0,12-MOD(MONTH($E81)-$B$2,12))</f>
        <v/>
      </c>
      <c r="Q81" s="84">
        <f>IF(ISNUMBER('固定資産台帳'!$K81),INT('固定資産台帳'!$K81),0)</f>
        <v/>
      </c>
      <c r="R81" s="68">
        <f>IF(OR($Q81=0,$E81=0),999,YEAR($Q81)-IF(MONTH($Q81)&lt;$B$2,1,0)-$O81)</f>
        <v/>
      </c>
      <c r="S81" s="68">
        <f>IF($R81=999,0,MOD(MONTH($Q81)-$B$2,12)+1-IF($R81=0,12-$P81,0))</f>
        <v/>
      </c>
      <c r="T81" s="68">
        <f>IF($B81=0,0,IF($C81&lt;=0,1,IF($D81=0,2,IF($F81=0,3,IF(AND($F81&lt;=2,$H81=0),4,IF(AND($F81&lt;=2,$D81&lt;DATE(2007,4,1)),5,IF($E81&lt;$D81,6,IF(AND($Q81&gt;0,$Q81&lt;$E81),7,IF($N81=0,8,IF($B$3=0,9,0))))))))))</f>
        <v/>
      </c>
      <c r="U81" s="68">
        <f>IF(AND($B81=1,$T81=0),1,0)</f>
        <v/>
      </c>
      <c r="V81" s="68">
        <f>$B$3-$O81</f>
        <v/>
      </c>
      <c r="W81" s="68">
        <f>IF(AND($U81=1,$V81&gt;=0),1,0)</f>
        <v/>
      </c>
      <c r="X81" s="68">
        <f>IF($W81=0,0,IF($V81=0,$C81,INDEX($AS81:$EP81,MIN($V81,102))))</f>
        <v/>
      </c>
      <c r="Y81" s="68">
        <f>IF($W81=0,0,INDEX($AS81:$EP81,MIN($V81,101)+1))</f>
        <v/>
      </c>
      <c r="Z81" s="68">
        <f>$X81-$Y81</f>
        <v/>
      </c>
      <c r="AA81" s="68">
        <f>IF(AND($W81=1,$F81=2,$V81&gt;=1),INDEX($ER81:$IN81,MIN($V81,101)),0)</f>
        <v/>
      </c>
      <c r="AB81" s="68">
        <f>IF(OR($W81=0,$F81&gt;2,$Z81=0),0,IF($V81=0,IF($R81=0,$S81,$P81),IF($V81=$R81,$S81,12)))</f>
        <v/>
      </c>
      <c r="AC81" s="68">
        <f>IF($W81=0,0,INT(ROUND($Z81*$N81,6)+$B$4))</f>
        <v/>
      </c>
      <c r="AD81" s="68">
        <f>IF(AND($W81=1,$F81&lt;=2,$V81=$R81),1,0)</f>
        <v/>
      </c>
      <c r="AE81" s="68">
        <f>IF(AND($W81=1,$F81&lt;=2,$V81&gt;$R81),1,0)</f>
        <v/>
      </c>
      <c r="AF81" s="68">
        <f>IF(AND($W81=1,$AE81=0,OR($Z81&gt;0,$AD81=1)),1,0)</f>
        <v/>
      </c>
      <c r="AG81" s="68">
        <f>IF($AF81=1,SUM($AF$6:$AF81),0)</f>
        <v/>
      </c>
      <c r="AH81" s="68">
        <f>IF($T81=0,"",CHOOSE($T81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81" s="68">
        <f>IF(AND($F81=2,OR('固定資産台帳'!$C81="建物",'固定資産台帳'!$C81="無形固定資産",AND(OR('固定資産台帳'!$C81="建物附属設備",'固定資産台帳'!$C81="構築物"),$D81&gt;=DATE(2016,4,1)))),"この資産は定額法だけです（定率法は使えません）。","")&amp;IF(AND($F81=3,$C81&gt;=200000),"一括償却は20万円未満の資産だけです。","")&amp;IF(AND($F81=3,$B$1=0,$C81&lt;100000),"10万円未満は一括償却にせず、全額をその年の経費にします。","")&amp;IF(AND($F81=4,$C81&lt;100000),"10万円未満は少額特例ではなく、全額をその年の経費にします。","")&amp;IF(AND($F81=4,$D81&lt;DATE(2026,4,1),$C81&gt;=300000),"2026年3月31日までの取得で少額特例が使えるのは30万円未満です。","")&amp;IF(AND($F81=4,$D81&gt;=DATE(2026,4,1),$C81&gt;=400000),"少額特例は40万円未満の資産だけです。","")&amp;IF(AND($F81=4,OR($D81&lt;DATE(2006,4,1),$D81&gt;DATE(2029,3,31))),"少額特例は2006年4月1日〜2029年3月31日に取得した資産だけです。","")&amp;IF(AND($F81=2,$G81=250,$D81&gt;DATE(2012,12,31)),"250%定率法は2012年12月31日までの取得だけです。","")</f>
        <v/>
      </c>
      <c r="AJ81" s="68">
        <f>IF(AND($F81=2,'固定資産台帳'!$H81="定率法（200%）",$D81&lt;DATE(2012,4,1)),"2012年3月31日までの取得に200%を使うのは、経過措置の届出をした場合です。","")&amp;IF(AND($F81=2,'固定資産台帳'!$H81="定率法（250%）",$D81&gt;=DATE(2012,4,1),$D81&lt;=DATE(2012,12,31)),"2012年4〜12月の取得に250%を使うのは、経過措置を選んだ場合です。","")</f>
        <v/>
      </c>
      <c r="AK81" s="68">
        <f>IF($U81=0,"",IF($V81&lt;0,"表示している年より後に使い始める資産です。",IF($AE81=1,"売却・除却済みです。",IF($AD81=1,"この年に売却・除却。期末の帳簿価額 "&amp;TEXT($Y81,"#,##0")&amp;"円を帳簿から外します。",IF($F81=4,IF($V81=0,"少額特例：この年に全額を経費にします。","少額特例で経費にした資産です。"),IF($F81=3,IF($V81&gt;2,"一括償却は終わっています。","一括償却 "&amp;($V81+1)&amp;"年目（3年のうち）。"),IF($Z81=0,"償却済み（帳簿価額 "&amp;TEXT($Y81,"#,##0")&amp;"円）。",IF($AA81&gt;0,"改定償却率で計算（改定取得価額 "&amp;TEXT($AA81,"#,##0")&amp;"円）。",IF($V81=0,"この年に使い始め（"&amp;$AB81&amp;"か月分）。","")))))))))</f>
        <v/>
      </c>
      <c r="AL81" s="68">
        <f>IF(AND($U81=1,$F81=4,$V81=0),$C81,0)</f>
        <v/>
      </c>
      <c r="AM81" s="68">
        <f>IF($F81=2,INT(ROUND($M81,6)+$B$4),0)</f>
        <v/>
      </c>
      <c r="AN81" s="68">
        <f>IF($W81=0,0,IF($F81=2,IF($AA81&gt;0,$AA81,$X81),$C81))</f>
        <v/>
      </c>
      <c r="AO81" s="68">
        <f>IF($W81=0,"",IF($F81=3,"1/3",IF($F81=4,"―",IF($AA81&gt;0,$K81,$J81))))</f>
        <v/>
      </c>
      <c r="AP81" s="68" t="n"/>
      <c r="AQ81" s="68" t="n"/>
      <c r="AR81" s="68" t="n"/>
      <c r="AS81" s="68">
        <f>IF($U81=0,0,IF($F81=4,0,IF($F81=3,MAX($C81-INT(ROUND($C81/3,6)+$B$4),0),$C81-MIN(INT(ROUND($C81*$J81*IF($R81=0,$S81,$P81)/12,6)+$B$4),MAX($C81-$I81,0)))))</f>
        <v/>
      </c>
      <c r="AT81" s="68">
        <f>IF($U81=0,0,IF($F81=4,0,IF($F81=3,AS81-MIN(INT(ROUND($C81/3,6)+$B$4),AS81),IF(OR(1&gt;$R81,AS81&lt;=$I81),AS81,AS81-MIN(INT(ROUND(IF($F81=1,$C81*$J81,IF(ER81&gt;0,ER81*$K81,AS81*$J81))*IF(1=$R81,$S81,12)/12,6)+$B$4),AS81-$I81)))))</f>
        <v/>
      </c>
      <c r="AU81" s="68">
        <f>IF($U81=0,0,IF($F81=4,0,IF($F81=3,0,IF(OR(2&gt;$R81,AT81&lt;=$I81),AT81,AT81-MIN(INT(ROUND(IF($F81=1,$C81*$J81,IF(ES81&gt;0,ES81*$K81,AT81*$J81))*IF(2=$R81,$S81,12)/12,6)+$B$4),AT81-$I81)))))</f>
        <v/>
      </c>
      <c r="AV81" s="68">
        <f>IF($U81=0,0,IF($F81=4,0,IF($F81=3,0,IF(OR(3&gt;$R81,AU81&lt;=$I81),AU81,AU81-MIN(INT(ROUND(IF($F81=1,$C81*$J81,IF(ET81&gt;0,ET81*$K81,AU81*$J81))*IF(3=$R81,$S81,12)/12,6)+$B$4),AU81-$I81)))))</f>
        <v/>
      </c>
      <c r="AW81" s="68">
        <f>IF($U81=0,0,IF($F81=4,0,IF($F81=3,0,IF(OR(4&gt;$R81,AV81&lt;=$I81),AV81,AV81-MIN(INT(ROUND(IF($F81=1,$C81*$J81,IF(EU81&gt;0,EU81*$K81,AV81*$J81))*IF(4=$R81,$S81,12)/12,6)+$B$4),AV81-$I81)))))</f>
        <v/>
      </c>
      <c r="AX81" s="68">
        <f>IF($U81=0,0,IF($F81=4,0,IF($F81=3,0,IF(OR(5&gt;$R81,AW81&lt;=$I81),AW81,AW81-MIN(INT(ROUND(IF($F81=1,$C81*$J81,IF(EV81&gt;0,EV81*$K81,AW81*$J81))*IF(5=$R81,$S81,12)/12,6)+$B$4),AW81-$I81)))))</f>
        <v/>
      </c>
      <c r="AY81" s="68">
        <f>IF($U81=0,0,IF($F81=4,0,IF($F81=3,0,IF(OR(6&gt;$R81,AX81&lt;=$I81),AX81,AX81-MIN(INT(ROUND(IF($F81=1,$C81*$J81,IF(EW81&gt;0,EW81*$K81,AX81*$J81))*IF(6=$R81,$S81,12)/12,6)+$B$4),AX81-$I81)))))</f>
        <v/>
      </c>
      <c r="AZ81" s="68">
        <f>IF($U81=0,0,IF($F81=4,0,IF($F81=3,0,IF(OR(7&gt;$R81,AY81&lt;=$I81),AY81,AY81-MIN(INT(ROUND(IF($F81=1,$C81*$J81,IF(EX81&gt;0,EX81*$K81,AY81*$J81))*IF(7=$R81,$S81,12)/12,6)+$B$4),AY81-$I81)))))</f>
        <v/>
      </c>
      <c r="BA81" s="68">
        <f>IF($U81=0,0,IF($F81=4,0,IF($F81=3,0,IF(OR(8&gt;$R81,AZ81&lt;=$I81),AZ81,AZ81-MIN(INT(ROUND(IF($F81=1,$C81*$J81,IF(EY81&gt;0,EY81*$K81,AZ81*$J81))*IF(8=$R81,$S81,12)/12,6)+$B$4),AZ81-$I81)))))</f>
        <v/>
      </c>
      <c r="BB81" s="68">
        <f>IF($U81=0,0,IF($F81=4,0,IF($F81=3,0,IF(OR(9&gt;$R81,BA81&lt;=$I81),BA81,BA81-MIN(INT(ROUND(IF($F81=1,$C81*$J81,IF(EZ81&gt;0,EZ81*$K81,BA81*$J81))*IF(9=$R81,$S81,12)/12,6)+$B$4),BA81-$I81)))))</f>
        <v/>
      </c>
      <c r="BC81" s="68">
        <f>IF($U81=0,0,IF($F81=4,0,IF($F81=3,0,IF(OR(10&gt;$R81,BB81&lt;=$I81),BB81,BB81-MIN(INT(ROUND(IF($F81=1,$C81*$J81,IF(FA81&gt;0,FA81*$K81,BB81*$J81))*IF(10=$R81,$S81,12)/12,6)+$B$4),BB81-$I81)))))</f>
        <v/>
      </c>
      <c r="BD81" s="68">
        <f>IF($U81=0,0,IF($F81=4,0,IF($F81=3,0,IF(OR(11&gt;$R81,BC81&lt;=$I81),BC81,BC81-MIN(INT(ROUND(IF($F81=1,$C81*$J81,IF(FB81&gt;0,FB81*$K81,BC81*$J81))*IF(11=$R81,$S81,12)/12,6)+$B$4),BC81-$I81)))))</f>
        <v/>
      </c>
      <c r="BE81" s="68">
        <f>IF($U81=0,0,IF($F81=4,0,IF($F81=3,0,IF(OR(12&gt;$R81,BD81&lt;=$I81),BD81,BD81-MIN(INT(ROUND(IF($F81=1,$C81*$J81,IF(FC81&gt;0,FC81*$K81,BD81*$J81))*IF(12=$R81,$S81,12)/12,6)+$B$4),BD81-$I81)))))</f>
        <v/>
      </c>
      <c r="BF81" s="68">
        <f>IF($U81=0,0,IF($F81=4,0,IF($F81=3,0,IF(OR(13&gt;$R81,BE81&lt;=$I81),BE81,BE81-MIN(INT(ROUND(IF($F81=1,$C81*$J81,IF(FD81&gt;0,FD81*$K81,BE81*$J81))*IF(13=$R81,$S81,12)/12,6)+$B$4),BE81-$I81)))))</f>
        <v/>
      </c>
      <c r="BG81" s="68">
        <f>IF($U81=0,0,IF($F81=4,0,IF($F81=3,0,IF(OR(14&gt;$R81,BF81&lt;=$I81),BF81,BF81-MIN(INT(ROUND(IF($F81=1,$C81*$J81,IF(FE81&gt;0,FE81*$K81,BF81*$J81))*IF(14=$R81,$S81,12)/12,6)+$B$4),BF81-$I81)))))</f>
        <v/>
      </c>
      <c r="BH81" s="68">
        <f>IF($U81=0,0,IF($F81=4,0,IF($F81=3,0,IF(OR(15&gt;$R81,BG81&lt;=$I81),BG81,BG81-MIN(INT(ROUND(IF($F81=1,$C81*$J81,IF(FF81&gt;0,FF81*$K81,BG81*$J81))*IF(15=$R81,$S81,12)/12,6)+$B$4),BG81-$I81)))))</f>
        <v/>
      </c>
      <c r="BI81" s="68">
        <f>IF($U81=0,0,IF($F81=4,0,IF($F81=3,0,IF(OR(16&gt;$R81,BH81&lt;=$I81),BH81,BH81-MIN(INT(ROUND(IF($F81=1,$C81*$J81,IF(FG81&gt;0,FG81*$K81,BH81*$J81))*IF(16=$R81,$S81,12)/12,6)+$B$4),BH81-$I81)))))</f>
        <v/>
      </c>
      <c r="BJ81" s="68">
        <f>IF($U81=0,0,IF($F81=4,0,IF($F81=3,0,IF(OR(17&gt;$R81,BI81&lt;=$I81),BI81,BI81-MIN(INT(ROUND(IF($F81=1,$C81*$J81,IF(FH81&gt;0,FH81*$K81,BI81*$J81))*IF(17=$R81,$S81,12)/12,6)+$B$4),BI81-$I81)))))</f>
        <v/>
      </c>
      <c r="BK81" s="68">
        <f>IF($U81=0,0,IF($F81=4,0,IF($F81=3,0,IF(OR(18&gt;$R81,BJ81&lt;=$I81),BJ81,BJ81-MIN(INT(ROUND(IF($F81=1,$C81*$J81,IF(FI81&gt;0,FI81*$K81,BJ81*$J81))*IF(18=$R81,$S81,12)/12,6)+$B$4),BJ81-$I81)))))</f>
        <v/>
      </c>
      <c r="BL81" s="68">
        <f>IF($U81=0,0,IF($F81=4,0,IF($F81=3,0,IF(OR(19&gt;$R81,BK81&lt;=$I81),BK81,BK81-MIN(INT(ROUND(IF($F81=1,$C81*$J81,IF(FJ81&gt;0,FJ81*$K81,BK81*$J81))*IF(19=$R81,$S81,12)/12,6)+$B$4),BK81-$I81)))))</f>
        <v/>
      </c>
      <c r="BM81" s="68">
        <f>IF($U81=0,0,IF($F81=4,0,IF($F81=3,0,IF(OR(20&gt;$R81,BL81&lt;=$I81),BL81,BL81-MIN(INT(ROUND(IF($F81=1,$C81*$J81,IF(FK81&gt;0,FK81*$K81,BL81*$J81))*IF(20=$R81,$S81,12)/12,6)+$B$4),BL81-$I81)))))</f>
        <v/>
      </c>
      <c r="BN81" s="68">
        <f>IF($U81=0,0,IF($F81=4,0,IF($F81=3,0,IF(OR(21&gt;$R81,BM81&lt;=$I81),BM81,BM81-MIN(INT(ROUND(IF($F81=1,$C81*$J81,IF(FL81&gt;0,FL81*$K81,BM81*$J81))*IF(21=$R81,$S81,12)/12,6)+$B$4),BM81-$I81)))))</f>
        <v/>
      </c>
      <c r="BO81" s="68">
        <f>IF($U81=0,0,IF($F81=4,0,IF($F81=3,0,IF(OR(22&gt;$R81,BN81&lt;=$I81),BN81,BN81-MIN(INT(ROUND(IF($F81=1,$C81*$J81,IF(FM81&gt;0,FM81*$K81,BN81*$J81))*IF(22=$R81,$S81,12)/12,6)+$B$4),BN81-$I81)))))</f>
        <v/>
      </c>
      <c r="BP81" s="68">
        <f>IF($U81=0,0,IF($F81=4,0,IF($F81=3,0,IF(OR(23&gt;$R81,BO81&lt;=$I81),BO81,BO81-MIN(INT(ROUND(IF($F81=1,$C81*$J81,IF(FN81&gt;0,FN81*$K81,BO81*$J81))*IF(23=$R81,$S81,12)/12,6)+$B$4),BO81-$I81)))))</f>
        <v/>
      </c>
      <c r="BQ81" s="68">
        <f>IF($U81=0,0,IF($F81=4,0,IF($F81=3,0,IF(OR(24&gt;$R81,BP81&lt;=$I81),BP81,BP81-MIN(INT(ROUND(IF($F81=1,$C81*$J81,IF(FO81&gt;0,FO81*$K81,BP81*$J81))*IF(24=$R81,$S81,12)/12,6)+$B$4),BP81-$I81)))))</f>
        <v/>
      </c>
      <c r="BR81" s="68">
        <f>IF($U81=0,0,IF($F81=4,0,IF($F81=3,0,IF(OR(25&gt;$R81,BQ81&lt;=$I81),BQ81,BQ81-MIN(INT(ROUND(IF($F81=1,$C81*$J81,IF(FP81&gt;0,FP81*$K81,BQ81*$J81))*IF(25=$R81,$S81,12)/12,6)+$B$4),BQ81-$I81)))))</f>
        <v/>
      </c>
      <c r="BS81" s="68">
        <f>IF($U81=0,0,IF($F81=4,0,IF($F81=3,0,IF(OR(26&gt;$R81,BR81&lt;=$I81),BR81,BR81-MIN(INT(ROUND(IF($F81=1,$C81*$J81,IF(FQ81&gt;0,FQ81*$K81,BR81*$J81))*IF(26=$R81,$S81,12)/12,6)+$B$4),BR81-$I81)))))</f>
        <v/>
      </c>
      <c r="BT81" s="68">
        <f>IF($U81=0,0,IF($F81=4,0,IF($F81=3,0,IF(OR(27&gt;$R81,BS81&lt;=$I81),BS81,BS81-MIN(INT(ROUND(IF($F81=1,$C81*$J81,IF(FR81&gt;0,FR81*$K81,BS81*$J81))*IF(27=$R81,$S81,12)/12,6)+$B$4),BS81-$I81)))))</f>
        <v/>
      </c>
      <c r="BU81" s="68">
        <f>IF($U81=0,0,IF($F81=4,0,IF($F81=3,0,IF(OR(28&gt;$R81,BT81&lt;=$I81),BT81,BT81-MIN(INT(ROUND(IF($F81=1,$C81*$J81,IF(FS81&gt;0,FS81*$K81,BT81*$J81))*IF(28=$R81,$S81,12)/12,6)+$B$4),BT81-$I81)))))</f>
        <v/>
      </c>
      <c r="BV81" s="68">
        <f>IF($U81=0,0,IF($F81=4,0,IF($F81=3,0,IF(OR(29&gt;$R81,BU81&lt;=$I81),BU81,BU81-MIN(INT(ROUND(IF($F81=1,$C81*$J81,IF(FT81&gt;0,FT81*$K81,BU81*$J81))*IF(29=$R81,$S81,12)/12,6)+$B$4),BU81-$I81)))))</f>
        <v/>
      </c>
      <c r="BW81" s="68">
        <f>IF($U81=0,0,IF($F81=4,0,IF($F81=3,0,IF(OR(30&gt;$R81,BV81&lt;=$I81),BV81,BV81-MIN(INT(ROUND(IF($F81=1,$C81*$J81,IF(FU81&gt;0,FU81*$K81,BV81*$J81))*IF(30=$R81,$S81,12)/12,6)+$B$4),BV81-$I81)))))</f>
        <v/>
      </c>
      <c r="BX81" s="68">
        <f>IF($U81=0,0,IF($F81=4,0,IF($F81=3,0,IF(OR(31&gt;$R81,BW81&lt;=$I81),BW81,BW81-MIN(INT(ROUND(IF($F81=1,$C81*$J81,IF(FV81&gt;0,FV81*$K81,BW81*$J81))*IF(31=$R81,$S81,12)/12,6)+$B$4),BW81-$I81)))))</f>
        <v/>
      </c>
      <c r="BY81" s="68">
        <f>IF($U81=0,0,IF($F81=4,0,IF($F81=3,0,IF(OR(32&gt;$R81,BX81&lt;=$I81),BX81,BX81-MIN(INT(ROUND(IF($F81=1,$C81*$J81,IF(FW81&gt;0,FW81*$K81,BX81*$J81))*IF(32=$R81,$S81,12)/12,6)+$B$4),BX81-$I81)))))</f>
        <v/>
      </c>
      <c r="BZ81" s="68">
        <f>IF($U81=0,0,IF($F81=4,0,IF($F81=3,0,IF(OR(33&gt;$R81,BY81&lt;=$I81),BY81,BY81-MIN(INT(ROUND(IF($F81=1,$C81*$J81,IF(FX81&gt;0,FX81*$K81,BY81*$J81))*IF(33=$R81,$S81,12)/12,6)+$B$4),BY81-$I81)))))</f>
        <v/>
      </c>
      <c r="CA81" s="68">
        <f>IF($U81=0,0,IF($F81=4,0,IF($F81=3,0,IF(OR(34&gt;$R81,BZ81&lt;=$I81),BZ81,BZ81-MIN(INT(ROUND(IF($F81=1,$C81*$J81,IF(FY81&gt;0,FY81*$K81,BZ81*$J81))*IF(34=$R81,$S81,12)/12,6)+$B$4),BZ81-$I81)))))</f>
        <v/>
      </c>
      <c r="CB81" s="68">
        <f>IF($U81=0,0,IF($F81=4,0,IF($F81=3,0,IF(OR(35&gt;$R81,CA81&lt;=$I81),CA81,CA81-MIN(INT(ROUND(IF($F81=1,$C81*$J81,IF(FZ81&gt;0,FZ81*$K81,CA81*$J81))*IF(35=$R81,$S81,12)/12,6)+$B$4),CA81-$I81)))))</f>
        <v/>
      </c>
      <c r="CC81" s="68">
        <f>IF($U81=0,0,IF($F81=4,0,IF($F81=3,0,IF(OR(36&gt;$R81,CB81&lt;=$I81),CB81,CB81-MIN(INT(ROUND(IF($F81=1,$C81*$J81,IF(GA81&gt;0,GA81*$K81,CB81*$J81))*IF(36=$R81,$S81,12)/12,6)+$B$4),CB81-$I81)))))</f>
        <v/>
      </c>
      <c r="CD81" s="68">
        <f>IF($U81=0,0,IF($F81=4,0,IF($F81=3,0,IF(OR(37&gt;$R81,CC81&lt;=$I81),CC81,CC81-MIN(INT(ROUND(IF($F81=1,$C81*$J81,IF(GB81&gt;0,GB81*$K81,CC81*$J81))*IF(37=$R81,$S81,12)/12,6)+$B$4),CC81-$I81)))))</f>
        <v/>
      </c>
      <c r="CE81" s="68">
        <f>IF($U81=0,0,IF($F81=4,0,IF($F81=3,0,IF(OR(38&gt;$R81,CD81&lt;=$I81),CD81,CD81-MIN(INT(ROUND(IF($F81=1,$C81*$J81,IF(GC81&gt;0,GC81*$K81,CD81*$J81))*IF(38=$R81,$S81,12)/12,6)+$B$4),CD81-$I81)))))</f>
        <v/>
      </c>
      <c r="CF81" s="68">
        <f>IF($U81=0,0,IF($F81=4,0,IF($F81=3,0,IF(OR(39&gt;$R81,CE81&lt;=$I81),CE81,CE81-MIN(INT(ROUND(IF($F81=1,$C81*$J81,IF(GD81&gt;0,GD81*$K81,CE81*$J81))*IF(39=$R81,$S81,12)/12,6)+$B$4),CE81-$I81)))))</f>
        <v/>
      </c>
      <c r="CG81" s="68">
        <f>IF($U81=0,0,IF($F81=4,0,IF($F81=3,0,IF(OR(40&gt;$R81,CF81&lt;=$I81),CF81,CF81-MIN(INT(ROUND(IF($F81=1,$C81*$J81,IF(GE81&gt;0,GE81*$K81,CF81*$J81))*IF(40=$R81,$S81,12)/12,6)+$B$4),CF81-$I81)))))</f>
        <v/>
      </c>
      <c r="CH81" s="68">
        <f>IF($U81=0,0,IF($F81=4,0,IF($F81=3,0,IF(OR(41&gt;$R81,CG81&lt;=$I81),CG81,CG81-MIN(INT(ROUND(IF($F81=1,$C81*$J81,IF(GF81&gt;0,GF81*$K81,CG81*$J81))*IF(41=$R81,$S81,12)/12,6)+$B$4),CG81-$I81)))))</f>
        <v/>
      </c>
      <c r="CI81" s="68">
        <f>IF($U81=0,0,IF($F81=4,0,IF($F81=3,0,IF(OR(42&gt;$R81,CH81&lt;=$I81),CH81,CH81-MIN(INT(ROUND(IF($F81=1,$C81*$J81,IF(GG81&gt;0,GG81*$K81,CH81*$J81))*IF(42=$R81,$S81,12)/12,6)+$B$4),CH81-$I81)))))</f>
        <v/>
      </c>
      <c r="CJ81" s="68">
        <f>IF($U81=0,0,IF($F81=4,0,IF($F81=3,0,IF(OR(43&gt;$R81,CI81&lt;=$I81),CI81,CI81-MIN(INT(ROUND(IF($F81=1,$C81*$J81,IF(GH81&gt;0,GH81*$K81,CI81*$J81))*IF(43=$R81,$S81,12)/12,6)+$B$4),CI81-$I81)))))</f>
        <v/>
      </c>
      <c r="CK81" s="68">
        <f>IF($U81=0,0,IF($F81=4,0,IF($F81=3,0,IF(OR(44&gt;$R81,CJ81&lt;=$I81),CJ81,CJ81-MIN(INT(ROUND(IF($F81=1,$C81*$J81,IF(GI81&gt;0,GI81*$K81,CJ81*$J81))*IF(44=$R81,$S81,12)/12,6)+$B$4),CJ81-$I81)))))</f>
        <v/>
      </c>
      <c r="CL81" s="68">
        <f>IF($U81=0,0,IF($F81=4,0,IF($F81=3,0,IF(OR(45&gt;$R81,CK81&lt;=$I81),CK81,CK81-MIN(INT(ROUND(IF($F81=1,$C81*$J81,IF(GJ81&gt;0,GJ81*$K81,CK81*$J81))*IF(45=$R81,$S81,12)/12,6)+$B$4),CK81-$I81)))))</f>
        <v/>
      </c>
      <c r="CM81" s="68">
        <f>IF($U81=0,0,IF($F81=4,0,IF($F81=3,0,IF(OR(46&gt;$R81,CL81&lt;=$I81),CL81,CL81-MIN(INT(ROUND(IF($F81=1,$C81*$J81,IF(GK81&gt;0,GK81*$K81,CL81*$J81))*IF(46=$R81,$S81,12)/12,6)+$B$4),CL81-$I81)))))</f>
        <v/>
      </c>
      <c r="CN81" s="68">
        <f>IF($U81=0,0,IF($F81=4,0,IF($F81=3,0,IF(OR(47&gt;$R81,CM81&lt;=$I81),CM81,CM81-MIN(INT(ROUND(IF($F81=1,$C81*$J81,IF(GL81&gt;0,GL81*$K81,CM81*$J81))*IF(47=$R81,$S81,12)/12,6)+$B$4),CM81-$I81)))))</f>
        <v/>
      </c>
      <c r="CO81" s="68">
        <f>IF($U81=0,0,IF($F81=4,0,IF($F81=3,0,IF(OR(48&gt;$R81,CN81&lt;=$I81),CN81,CN81-MIN(INT(ROUND(IF($F81=1,$C81*$J81,IF(GM81&gt;0,GM81*$K81,CN81*$J81))*IF(48=$R81,$S81,12)/12,6)+$B$4),CN81-$I81)))))</f>
        <v/>
      </c>
      <c r="CP81" s="68">
        <f>IF($U81=0,0,IF($F81=4,0,IF($F81=3,0,IF(OR(49&gt;$R81,CO81&lt;=$I81),CO81,CO81-MIN(INT(ROUND(IF($F81=1,$C81*$J81,IF(GN81&gt;0,GN81*$K81,CO81*$J81))*IF(49=$R81,$S81,12)/12,6)+$B$4),CO81-$I81)))))</f>
        <v/>
      </c>
      <c r="CQ81" s="68">
        <f>IF($U81=0,0,IF($F81=4,0,IF($F81=3,0,IF(OR(50&gt;$R81,CP81&lt;=$I81),CP81,CP81-MIN(INT(ROUND(IF($F81=1,$C81*$J81,IF(GO81&gt;0,GO81*$K81,CP81*$J81))*IF(50=$R81,$S81,12)/12,6)+$B$4),CP81-$I81)))))</f>
        <v/>
      </c>
      <c r="CR81" s="68">
        <f>IF($U81=0,0,IF($F81=4,0,IF($F81=3,0,IF(OR(51&gt;$R81,CQ81&lt;=$I81),CQ81,CQ81-MIN(INT(ROUND(IF($F81=1,$C81*$J81,IF(GP81&gt;0,GP81*$K81,CQ81*$J81))*IF(51=$R81,$S81,12)/12,6)+$B$4),CQ81-$I81)))))</f>
        <v/>
      </c>
      <c r="CS81" s="68">
        <f>IF($U81=0,0,IF($F81=4,0,IF($F81=3,0,IF(OR(52&gt;$R81,CR81&lt;=$I81),CR81,CR81-MIN(INT(ROUND(IF($F81=1,$C81*$J81,IF(GQ81&gt;0,GQ81*$K81,CR81*$J81))*IF(52=$R81,$S81,12)/12,6)+$B$4),CR81-$I81)))))</f>
        <v/>
      </c>
      <c r="CT81" s="68">
        <f>IF($U81=0,0,IF($F81=4,0,IF($F81=3,0,IF(OR(53&gt;$R81,CS81&lt;=$I81),CS81,CS81-MIN(INT(ROUND(IF($F81=1,$C81*$J81,IF(GR81&gt;0,GR81*$K81,CS81*$J81))*IF(53=$R81,$S81,12)/12,6)+$B$4),CS81-$I81)))))</f>
        <v/>
      </c>
      <c r="CU81" s="68">
        <f>IF($U81=0,0,IF($F81=4,0,IF($F81=3,0,IF(OR(54&gt;$R81,CT81&lt;=$I81),CT81,CT81-MIN(INT(ROUND(IF($F81=1,$C81*$J81,IF(GS81&gt;0,GS81*$K81,CT81*$J81))*IF(54=$R81,$S81,12)/12,6)+$B$4),CT81-$I81)))))</f>
        <v/>
      </c>
      <c r="CV81" s="68">
        <f>IF($U81=0,0,IF($F81=4,0,IF($F81=3,0,IF(OR(55&gt;$R81,CU81&lt;=$I81),CU81,CU81-MIN(INT(ROUND(IF($F81=1,$C81*$J81,IF(GT81&gt;0,GT81*$K81,CU81*$J81))*IF(55=$R81,$S81,12)/12,6)+$B$4),CU81-$I81)))))</f>
        <v/>
      </c>
      <c r="CW81" s="68">
        <f>IF($U81=0,0,IF($F81=4,0,IF($F81=3,0,IF(OR(56&gt;$R81,CV81&lt;=$I81),CV81,CV81-MIN(INT(ROUND(IF($F81=1,$C81*$J81,IF(GU81&gt;0,GU81*$K81,CV81*$J81))*IF(56=$R81,$S81,12)/12,6)+$B$4),CV81-$I81)))))</f>
        <v/>
      </c>
      <c r="CX81" s="68">
        <f>IF($U81=0,0,IF($F81=4,0,IF($F81=3,0,IF(OR(57&gt;$R81,CW81&lt;=$I81),CW81,CW81-MIN(INT(ROUND(IF($F81=1,$C81*$J81,IF(GV81&gt;0,GV81*$K81,CW81*$J81))*IF(57=$R81,$S81,12)/12,6)+$B$4),CW81-$I81)))))</f>
        <v/>
      </c>
      <c r="CY81" s="68">
        <f>IF($U81=0,0,IF($F81=4,0,IF($F81=3,0,IF(OR(58&gt;$R81,CX81&lt;=$I81),CX81,CX81-MIN(INT(ROUND(IF($F81=1,$C81*$J81,IF(GW81&gt;0,GW81*$K81,CX81*$J81))*IF(58=$R81,$S81,12)/12,6)+$B$4),CX81-$I81)))))</f>
        <v/>
      </c>
      <c r="CZ81" s="68">
        <f>IF($U81=0,0,IF($F81=4,0,IF($F81=3,0,IF(OR(59&gt;$R81,CY81&lt;=$I81),CY81,CY81-MIN(INT(ROUND(IF($F81=1,$C81*$J81,IF(GX81&gt;0,GX81*$K81,CY81*$J81))*IF(59=$R81,$S81,12)/12,6)+$B$4),CY81-$I81)))))</f>
        <v/>
      </c>
      <c r="DA81" s="68">
        <f>IF($U81=0,0,IF($F81=4,0,IF($F81=3,0,IF(OR(60&gt;$R81,CZ81&lt;=$I81),CZ81,CZ81-MIN(INT(ROUND(IF($F81=1,$C81*$J81,IF(GY81&gt;0,GY81*$K81,CZ81*$J81))*IF(60=$R81,$S81,12)/12,6)+$B$4),CZ81-$I81)))))</f>
        <v/>
      </c>
      <c r="DB81" s="68">
        <f>IF($U81=0,0,IF($F81=4,0,IF($F81=3,0,IF(OR(61&gt;$R81,DA81&lt;=$I81),DA81,DA81-MIN(INT(ROUND(IF($F81=1,$C81*$J81,IF(GZ81&gt;0,GZ81*$K81,DA81*$J81))*IF(61=$R81,$S81,12)/12,6)+$B$4),DA81-$I81)))))</f>
        <v/>
      </c>
      <c r="DC81" s="68">
        <f>IF($U81=0,0,IF($F81=4,0,IF($F81=3,0,IF(OR(62&gt;$R81,DB81&lt;=$I81),DB81,DB81-MIN(INT(ROUND(IF($F81=1,$C81*$J81,IF(HA81&gt;0,HA81*$K81,DB81*$J81))*IF(62=$R81,$S81,12)/12,6)+$B$4),DB81-$I81)))))</f>
        <v/>
      </c>
      <c r="DD81" s="68">
        <f>IF($U81=0,0,IF($F81=4,0,IF($F81=3,0,IF(OR(63&gt;$R81,DC81&lt;=$I81),DC81,DC81-MIN(INT(ROUND(IF($F81=1,$C81*$J81,IF(HB81&gt;0,HB81*$K81,DC81*$J81))*IF(63=$R81,$S81,12)/12,6)+$B$4),DC81-$I81)))))</f>
        <v/>
      </c>
      <c r="DE81" s="68">
        <f>IF($U81=0,0,IF($F81=4,0,IF($F81=3,0,IF(OR(64&gt;$R81,DD81&lt;=$I81),DD81,DD81-MIN(INT(ROUND(IF($F81=1,$C81*$J81,IF(HC81&gt;0,HC81*$K81,DD81*$J81))*IF(64=$R81,$S81,12)/12,6)+$B$4),DD81-$I81)))))</f>
        <v/>
      </c>
      <c r="DF81" s="68">
        <f>IF($U81=0,0,IF($F81=4,0,IF($F81=3,0,IF(OR(65&gt;$R81,DE81&lt;=$I81),DE81,DE81-MIN(INT(ROUND(IF($F81=1,$C81*$J81,IF(HD81&gt;0,HD81*$K81,DE81*$J81))*IF(65=$R81,$S81,12)/12,6)+$B$4),DE81-$I81)))))</f>
        <v/>
      </c>
      <c r="DG81" s="68">
        <f>IF($U81=0,0,IF($F81=4,0,IF($F81=3,0,IF(OR(66&gt;$R81,DF81&lt;=$I81),DF81,DF81-MIN(INT(ROUND(IF($F81=1,$C81*$J81,IF(HE81&gt;0,HE81*$K81,DF81*$J81))*IF(66=$R81,$S81,12)/12,6)+$B$4),DF81-$I81)))))</f>
        <v/>
      </c>
      <c r="DH81" s="68">
        <f>IF($U81=0,0,IF($F81=4,0,IF($F81=3,0,IF(OR(67&gt;$R81,DG81&lt;=$I81),DG81,DG81-MIN(INT(ROUND(IF($F81=1,$C81*$J81,IF(HF81&gt;0,HF81*$K81,DG81*$J81))*IF(67=$R81,$S81,12)/12,6)+$B$4),DG81-$I81)))))</f>
        <v/>
      </c>
      <c r="DI81" s="68">
        <f>IF($U81=0,0,IF($F81=4,0,IF($F81=3,0,IF(OR(68&gt;$R81,DH81&lt;=$I81),DH81,DH81-MIN(INT(ROUND(IF($F81=1,$C81*$J81,IF(HG81&gt;0,HG81*$K81,DH81*$J81))*IF(68=$R81,$S81,12)/12,6)+$B$4),DH81-$I81)))))</f>
        <v/>
      </c>
      <c r="DJ81" s="68">
        <f>IF($U81=0,0,IF($F81=4,0,IF($F81=3,0,IF(OR(69&gt;$R81,DI81&lt;=$I81),DI81,DI81-MIN(INT(ROUND(IF($F81=1,$C81*$J81,IF(HH81&gt;0,HH81*$K81,DI81*$J81))*IF(69=$R81,$S81,12)/12,6)+$B$4),DI81-$I81)))))</f>
        <v/>
      </c>
      <c r="DK81" s="68">
        <f>IF($U81=0,0,IF($F81=4,0,IF($F81=3,0,IF(OR(70&gt;$R81,DJ81&lt;=$I81),DJ81,DJ81-MIN(INT(ROUND(IF($F81=1,$C81*$J81,IF(HI81&gt;0,HI81*$K81,DJ81*$J81))*IF(70=$R81,$S81,12)/12,6)+$B$4),DJ81-$I81)))))</f>
        <v/>
      </c>
      <c r="DL81" s="68">
        <f>IF($U81=0,0,IF($F81=4,0,IF($F81=3,0,IF(OR(71&gt;$R81,DK81&lt;=$I81),DK81,DK81-MIN(INT(ROUND(IF($F81=1,$C81*$J81,IF(HJ81&gt;0,HJ81*$K81,DK81*$J81))*IF(71=$R81,$S81,12)/12,6)+$B$4),DK81-$I81)))))</f>
        <v/>
      </c>
      <c r="DM81" s="68">
        <f>IF($U81=0,0,IF($F81=4,0,IF($F81=3,0,IF(OR(72&gt;$R81,DL81&lt;=$I81),DL81,DL81-MIN(INT(ROUND(IF($F81=1,$C81*$J81,IF(HK81&gt;0,HK81*$K81,DL81*$J81))*IF(72=$R81,$S81,12)/12,6)+$B$4),DL81-$I81)))))</f>
        <v/>
      </c>
      <c r="DN81" s="68">
        <f>IF($U81=0,0,IF($F81=4,0,IF($F81=3,0,IF(OR(73&gt;$R81,DM81&lt;=$I81),DM81,DM81-MIN(INT(ROUND(IF($F81=1,$C81*$J81,IF(HL81&gt;0,HL81*$K81,DM81*$J81))*IF(73=$R81,$S81,12)/12,6)+$B$4),DM81-$I81)))))</f>
        <v/>
      </c>
      <c r="DO81" s="68">
        <f>IF($U81=0,0,IF($F81=4,0,IF($F81=3,0,IF(OR(74&gt;$R81,DN81&lt;=$I81),DN81,DN81-MIN(INT(ROUND(IF($F81=1,$C81*$J81,IF(HM81&gt;0,HM81*$K81,DN81*$J81))*IF(74=$R81,$S81,12)/12,6)+$B$4),DN81-$I81)))))</f>
        <v/>
      </c>
      <c r="DP81" s="68">
        <f>IF($U81=0,0,IF($F81=4,0,IF($F81=3,0,IF(OR(75&gt;$R81,DO81&lt;=$I81),DO81,DO81-MIN(INT(ROUND(IF($F81=1,$C81*$J81,IF(HN81&gt;0,HN81*$K81,DO81*$J81))*IF(75=$R81,$S81,12)/12,6)+$B$4),DO81-$I81)))))</f>
        <v/>
      </c>
      <c r="DQ81" s="68">
        <f>IF($U81=0,0,IF($F81=4,0,IF($F81=3,0,IF(OR(76&gt;$R81,DP81&lt;=$I81),DP81,DP81-MIN(INT(ROUND(IF($F81=1,$C81*$J81,IF(HO81&gt;0,HO81*$K81,DP81*$J81))*IF(76=$R81,$S81,12)/12,6)+$B$4),DP81-$I81)))))</f>
        <v/>
      </c>
      <c r="DR81" s="68">
        <f>IF($U81=0,0,IF($F81=4,0,IF($F81=3,0,IF(OR(77&gt;$R81,DQ81&lt;=$I81),DQ81,DQ81-MIN(INT(ROUND(IF($F81=1,$C81*$J81,IF(HP81&gt;0,HP81*$K81,DQ81*$J81))*IF(77=$R81,$S81,12)/12,6)+$B$4),DQ81-$I81)))))</f>
        <v/>
      </c>
      <c r="DS81" s="68">
        <f>IF($U81=0,0,IF($F81=4,0,IF($F81=3,0,IF(OR(78&gt;$R81,DR81&lt;=$I81),DR81,DR81-MIN(INT(ROUND(IF($F81=1,$C81*$J81,IF(HQ81&gt;0,HQ81*$K81,DR81*$J81))*IF(78=$R81,$S81,12)/12,6)+$B$4),DR81-$I81)))))</f>
        <v/>
      </c>
      <c r="DT81" s="68">
        <f>IF($U81=0,0,IF($F81=4,0,IF($F81=3,0,IF(OR(79&gt;$R81,DS81&lt;=$I81),DS81,DS81-MIN(INT(ROUND(IF($F81=1,$C81*$J81,IF(HR81&gt;0,HR81*$K81,DS81*$J81))*IF(79=$R81,$S81,12)/12,6)+$B$4),DS81-$I81)))))</f>
        <v/>
      </c>
      <c r="DU81" s="68">
        <f>IF($U81=0,0,IF($F81=4,0,IF($F81=3,0,IF(OR(80&gt;$R81,DT81&lt;=$I81),DT81,DT81-MIN(INT(ROUND(IF($F81=1,$C81*$J81,IF(HS81&gt;0,HS81*$K81,DT81*$J81))*IF(80=$R81,$S81,12)/12,6)+$B$4),DT81-$I81)))))</f>
        <v/>
      </c>
      <c r="DV81" s="68">
        <f>IF($U81=0,0,IF($F81=4,0,IF($F81=3,0,IF(OR(81&gt;$R81,DU81&lt;=$I81),DU81,DU81-MIN(INT(ROUND(IF($F81=1,$C81*$J81,IF(HT81&gt;0,HT81*$K81,DU81*$J81))*IF(81=$R81,$S81,12)/12,6)+$B$4),DU81-$I81)))))</f>
        <v/>
      </c>
      <c r="DW81" s="68">
        <f>IF($U81=0,0,IF($F81=4,0,IF($F81=3,0,IF(OR(82&gt;$R81,DV81&lt;=$I81),DV81,DV81-MIN(INT(ROUND(IF($F81=1,$C81*$J81,IF(HU81&gt;0,HU81*$K81,DV81*$J81))*IF(82=$R81,$S81,12)/12,6)+$B$4),DV81-$I81)))))</f>
        <v/>
      </c>
      <c r="DX81" s="68">
        <f>IF($U81=0,0,IF($F81=4,0,IF($F81=3,0,IF(OR(83&gt;$R81,DW81&lt;=$I81),DW81,DW81-MIN(INT(ROUND(IF($F81=1,$C81*$J81,IF(HV81&gt;0,HV81*$K81,DW81*$J81))*IF(83=$R81,$S81,12)/12,6)+$B$4),DW81-$I81)))))</f>
        <v/>
      </c>
      <c r="DY81" s="68">
        <f>IF($U81=0,0,IF($F81=4,0,IF($F81=3,0,IF(OR(84&gt;$R81,DX81&lt;=$I81),DX81,DX81-MIN(INT(ROUND(IF($F81=1,$C81*$J81,IF(HW81&gt;0,HW81*$K81,DX81*$J81))*IF(84=$R81,$S81,12)/12,6)+$B$4),DX81-$I81)))))</f>
        <v/>
      </c>
      <c r="DZ81" s="68">
        <f>IF($U81=0,0,IF($F81=4,0,IF($F81=3,0,IF(OR(85&gt;$R81,DY81&lt;=$I81),DY81,DY81-MIN(INT(ROUND(IF($F81=1,$C81*$J81,IF(HX81&gt;0,HX81*$K81,DY81*$J81))*IF(85=$R81,$S81,12)/12,6)+$B$4),DY81-$I81)))))</f>
        <v/>
      </c>
      <c r="EA81" s="68">
        <f>IF($U81=0,0,IF($F81=4,0,IF($F81=3,0,IF(OR(86&gt;$R81,DZ81&lt;=$I81),DZ81,DZ81-MIN(INT(ROUND(IF($F81=1,$C81*$J81,IF(HY81&gt;0,HY81*$K81,DZ81*$J81))*IF(86=$R81,$S81,12)/12,6)+$B$4),DZ81-$I81)))))</f>
        <v/>
      </c>
      <c r="EB81" s="68">
        <f>IF($U81=0,0,IF($F81=4,0,IF($F81=3,0,IF(OR(87&gt;$R81,EA81&lt;=$I81),EA81,EA81-MIN(INT(ROUND(IF($F81=1,$C81*$J81,IF(HZ81&gt;0,HZ81*$K81,EA81*$J81))*IF(87=$R81,$S81,12)/12,6)+$B$4),EA81-$I81)))))</f>
        <v/>
      </c>
      <c r="EC81" s="68">
        <f>IF($U81=0,0,IF($F81=4,0,IF($F81=3,0,IF(OR(88&gt;$R81,EB81&lt;=$I81),EB81,EB81-MIN(INT(ROUND(IF($F81=1,$C81*$J81,IF(IA81&gt;0,IA81*$K81,EB81*$J81))*IF(88=$R81,$S81,12)/12,6)+$B$4),EB81-$I81)))))</f>
        <v/>
      </c>
      <c r="ED81" s="68">
        <f>IF($U81=0,0,IF($F81=4,0,IF($F81=3,0,IF(OR(89&gt;$R81,EC81&lt;=$I81),EC81,EC81-MIN(INT(ROUND(IF($F81=1,$C81*$J81,IF(IB81&gt;0,IB81*$K81,EC81*$J81))*IF(89=$R81,$S81,12)/12,6)+$B$4),EC81-$I81)))))</f>
        <v/>
      </c>
      <c r="EE81" s="68">
        <f>IF($U81=0,0,IF($F81=4,0,IF($F81=3,0,IF(OR(90&gt;$R81,ED81&lt;=$I81),ED81,ED81-MIN(INT(ROUND(IF($F81=1,$C81*$J81,IF(IC81&gt;0,IC81*$K81,ED81*$J81))*IF(90=$R81,$S81,12)/12,6)+$B$4),ED81-$I81)))))</f>
        <v/>
      </c>
      <c r="EF81" s="68">
        <f>IF($U81=0,0,IF($F81=4,0,IF($F81=3,0,IF(OR(91&gt;$R81,EE81&lt;=$I81),EE81,EE81-MIN(INT(ROUND(IF($F81=1,$C81*$J81,IF(ID81&gt;0,ID81*$K81,EE81*$J81))*IF(91=$R81,$S81,12)/12,6)+$B$4),EE81-$I81)))))</f>
        <v/>
      </c>
      <c r="EG81" s="68">
        <f>IF($U81=0,0,IF($F81=4,0,IF($F81=3,0,IF(OR(92&gt;$R81,EF81&lt;=$I81),EF81,EF81-MIN(INT(ROUND(IF($F81=1,$C81*$J81,IF(IE81&gt;0,IE81*$K81,EF81*$J81))*IF(92=$R81,$S81,12)/12,6)+$B$4),EF81-$I81)))))</f>
        <v/>
      </c>
      <c r="EH81" s="68">
        <f>IF($U81=0,0,IF($F81=4,0,IF($F81=3,0,IF(OR(93&gt;$R81,EG81&lt;=$I81),EG81,EG81-MIN(INT(ROUND(IF($F81=1,$C81*$J81,IF(IF81&gt;0,IF81*$K81,EG81*$J81))*IF(93=$R81,$S81,12)/12,6)+$B$4),EG81-$I81)))))</f>
        <v/>
      </c>
      <c r="EI81" s="68">
        <f>IF($U81=0,0,IF($F81=4,0,IF($F81=3,0,IF(OR(94&gt;$R81,EH81&lt;=$I81),EH81,EH81-MIN(INT(ROUND(IF($F81=1,$C81*$J81,IF(IG81&gt;0,IG81*$K81,EH81*$J81))*IF(94=$R81,$S81,12)/12,6)+$B$4),EH81-$I81)))))</f>
        <v/>
      </c>
      <c r="EJ81" s="68">
        <f>IF($U81=0,0,IF($F81=4,0,IF($F81=3,0,IF(OR(95&gt;$R81,EI81&lt;=$I81),EI81,EI81-MIN(INT(ROUND(IF($F81=1,$C81*$J81,IF(IH81&gt;0,IH81*$K81,EI81*$J81))*IF(95=$R81,$S81,12)/12,6)+$B$4),EI81-$I81)))))</f>
        <v/>
      </c>
      <c r="EK81" s="68">
        <f>IF($U81=0,0,IF($F81=4,0,IF($F81=3,0,IF(OR(96&gt;$R81,EJ81&lt;=$I81),EJ81,EJ81-MIN(INT(ROUND(IF($F81=1,$C81*$J81,IF(II81&gt;0,II81*$K81,EJ81*$J81))*IF(96=$R81,$S81,12)/12,6)+$B$4),EJ81-$I81)))))</f>
        <v/>
      </c>
      <c r="EL81" s="68">
        <f>IF($U81=0,0,IF($F81=4,0,IF($F81=3,0,IF(OR(97&gt;$R81,EK81&lt;=$I81),EK81,EK81-MIN(INT(ROUND(IF($F81=1,$C81*$J81,IF(IJ81&gt;0,IJ81*$K81,EK81*$J81))*IF(97=$R81,$S81,12)/12,6)+$B$4),EK81-$I81)))))</f>
        <v/>
      </c>
      <c r="EM81" s="68">
        <f>IF($U81=0,0,IF($F81=4,0,IF($F81=3,0,IF(OR(98&gt;$R81,EL81&lt;=$I81),EL81,EL81-MIN(INT(ROUND(IF($F81=1,$C81*$J81,IF(IK81&gt;0,IK81*$K81,EL81*$J81))*IF(98=$R81,$S81,12)/12,6)+$B$4),EL81-$I81)))))</f>
        <v/>
      </c>
      <c r="EN81" s="68">
        <f>IF($U81=0,0,IF($F81=4,0,IF($F81=3,0,IF(OR(99&gt;$R81,EM81&lt;=$I81),EM81,EM81-MIN(INT(ROUND(IF($F81=1,$C81*$J81,IF(IL81&gt;0,IL81*$K81,EM81*$J81))*IF(99=$R81,$S81,12)/12,6)+$B$4),EM81-$I81)))))</f>
        <v/>
      </c>
      <c r="EO81" s="68">
        <f>IF($U81=0,0,IF($F81=4,0,IF($F81=3,0,IF(OR(100&gt;$R81,EN81&lt;=$I81),EN81,EN81-MIN(INT(ROUND(IF($F81=1,$C81*$J81,IF(IM81&gt;0,IM81*$K81,EN81*$J81))*IF(100=$R81,$S81,12)/12,6)+$B$4),EN81-$I81)))))</f>
        <v/>
      </c>
      <c r="EP81" s="68">
        <f>IF($U81=0,0,IF($F81=4,0,IF($F81=3,0,IF(OR(101&gt;$R81,EO81&lt;=$I81),EO81,EO81-MIN(INT(ROUND(IF($F81=1,$C81*$J81,IF(IN81&gt;0,IN81*$K81,EO81*$J81))*IF(101=$R81,$S81,12)/12,6)+$B$4),EO81-$I81)))))</f>
        <v/>
      </c>
      <c r="EQ81" s="68" t="n"/>
      <c r="ER81" s="68">
        <f>IF(OR($U81=0,$F81&lt;&gt;2),0,IF(ROUND(AS81*$J81,6)&lt;ROUND($M81,6),AS81,0))</f>
        <v/>
      </c>
      <c r="ES81" s="68">
        <f>IF(OR($U81=0,$F81&lt;&gt;2),0,IF(ER81&gt;0,ER81,IF(ROUND(AT81*$J81,6)&lt;ROUND($M81,6),AT81,0)))</f>
        <v/>
      </c>
      <c r="ET81" s="68">
        <f>IF(OR($U81=0,$F81&lt;&gt;2),0,IF(ES81&gt;0,ES81,IF(ROUND(AU81*$J81,6)&lt;ROUND($M81,6),AU81,0)))</f>
        <v/>
      </c>
      <c r="EU81" s="68">
        <f>IF(OR($U81=0,$F81&lt;&gt;2),0,IF(ET81&gt;0,ET81,IF(ROUND(AV81*$J81,6)&lt;ROUND($M81,6),AV81,0)))</f>
        <v/>
      </c>
      <c r="EV81" s="68">
        <f>IF(OR($U81=0,$F81&lt;&gt;2),0,IF(EU81&gt;0,EU81,IF(ROUND(AW81*$J81,6)&lt;ROUND($M81,6),AW81,0)))</f>
        <v/>
      </c>
      <c r="EW81" s="68">
        <f>IF(OR($U81=0,$F81&lt;&gt;2),0,IF(EV81&gt;0,EV81,IF(ROUND(AX81*$J81,6)&lt;ROUND($M81,6),AX81,0)))</f>
        <v/>
      </c>
      <c r="EX81" s="68">
        <f>IF(OR($U81=0,$F81&lt;&gt;2),0,IF(EW81&gt;0,EW81,IF(ROUND(AY81*$J81,6)&lt;ROUND($M81,6),AY81,0)))</f>
        <v/>
      </c>
      <c r="EY81" s="68">
        <f>IF(OR($U81=0,$F81&lt;&gt;2),0,IF(EX81&gt;0,EX81,IF(ROUND(AZ81*$J81,6)&lt;ROUND($M81,6),AZ81,0)))</f>
        <v/>
      </c>
      <c r="EZ81" s="68">
        <f>IF(OR($U81=0,$F81&lt;&gt;2),0,IF(EY81&gt;0,EY81,IF(ROUND(BA81*$J81,6)&lt;ROUND($M81,6),BA81,0)))</f>
        <v/>
      </c>
      <c r="FA81" s="68">
        <f>IF(OR($U81=0,$F81&lt;&gt;2),0,IF(EZ81&gt;0,EZ81,IF(ROUND(BB81*$J81,6)&lt;ROUND($M81,6),BB81,0)))</f>
        <v/>
      </c>
      <c r="FB81" s="68">
        <f>IF(OR($U81=0,$F81&lt;&gt;2),0,IF(FA81&gt;0,FA81,IF(ROUND(BC81*$J81,6)&lt;ROUND($M81,6),BC81,0)))</f>
        <v/>
      </c>
      <c r="FC81" s="68">
        <f>IF(OR($U81=0,$F81&lt;&gt;2),0,IF(FB81&gt;0,FB81,IF(ROUND(BD81*$J81,6)&lt;ROUND($M81,6),BD81,0)))</f>
        <v/>
      </c>
      <c r="FD81" s="68">
        <f>IF(OR($U81=0,$F81&lt;&gt;2),0,IF(FC81&gt;0,FC81,IF(ROUND(BE81*$J81,6)&lt;ROUND($M81,6),BE81,0)))</f>
        <v/>
      </c>
      <c r="FE81" s="68">
        <f>IF(OR($U81=0,$F81&lt;&gt;2),0,IF(FD81&gt;0,FD81,IF(ROUND(BF81*$J81,6)&lt;ROUND($M81,6),BF81,0)))</f>
        <v/>
      </c>
      <c r="FF81" s="68">
        <f>IF(OR($U81=0,$F81&lt;&gt;2),0,IF(FE81&gt;0,FE81,IF(ROUND(BG81*$J81,6)&lt;ROUND($M81,6),BG81,0)))</f>
        <v/>
      </c>
      <c r="FG81" s="68">
        <f>IF(OR($U81=0,$F81&lt;&gt;2),0,IF(FF81&gt;0,FF81,IF(ROUND(BH81*$J81,6)&lt;ROUND($M81,6),BH81,0)))</f>
        <v/>
      </c>
      <c r="FH81" s="68">
        <f>IF(OR($U81=0,$F81&lt;&gt;2),0,IF(FG81&gt;0,FG81,IF(ROUND(BI81*$J81,6)&lt;ROUND($M81,6),BI81,0)))</f>
        <v/>
      </c>
      <c r="FI81" s="68">
        <f>IF(OR($U81=0,$F81&lt;&gt;2),0,IF(FH81&gt;0,FH81,IF(ROUND(BJ81*$J81,6)&lt;ROUND($M81,6),BJ81,0)))</f>
        <v/>
      </c>
      <c r="FJ81" s="68">
        <f>IF(OR($U81=0,$F81&lt;&gt;2),0,IF(FI81&gt;0,FI81,IF(ROUND(BK81*$J81,6)&lt;ROUND($M81,6),BK81,0)))</f>
        <v/>
      </c>
      <c r="FK81" s="68">
        <f>IF(OR($U81=0,$F81&lt;&gt;2),0,IF(FJ81&gt;0,FJ81,IF(ROUND(BL81*$J81,6)&lt;ROUND($M81,6),BL81,0)))</f>
        <v/>
      </c>
      <c r="FL81" s="68">
        <f>IF(OR($U81=0,$F81&lt;&gt;2),0,IF(FK81&gt;0,FK81,IF(ROUND(BM81*$J81,6)&lt;ROUND($M81,6),BM81,0)))</f>
        <v/>
      </c>
      <c r="FM81" s="68">
        <f>IF(OR($U81=0,$F81&lt;&gt;2),0,IF(FL81&gt;0,FL81,IF(ROUND(BN81*$J81,6)&lt;ROUND($M81,6),BN81,0)))</f>
        <v/>
      </c>
      <c r="FN81" s="68">
        <f>IF(OR($U81=0,$F81&lt;&gt;2),0,IF(FM81&gt;0,FM81,IF(ROUND(BO81*$J81,6)&lt;ROUND($M81,6),BO81,0)))</f>
        <v/>
      </c>
      <c r="FO81" s="68">
        <f>IF(OR($U81=0,$F81&lt;&gt;2),0,IF(FN81&gt;0,FN81,IF(ROUND(BP81*$J81,6)&lt;ROUND($M81,6),BP81,0)))</f>
        <v/>
      </c>
      <c r="FP81" s="68">
        <f>IF(OR($U81=0,$F81&lt;&gt;2),0,IF(FO81&gt;0,FO81,IF(ROUND(BQ81*$J81,6)&lt;ROUND($M81,6),BQ81,0)))</f>
        <v/>
      </c>
      <c r="FQ81" s="68">
        <f>IF(OR($U81=0,$F81&lt;&gt;2),0,IF(FP81&gt;0,FP81,IF(ROUND(BR81*$J81,6)&lt;ROUND($M81,6),BR81,0)))</f>
        <v/>
      </c>
      <c r="FR81" s="68">
        <f>IF(OR($U81=0,$F81&lt;&gt;2),0,IF(FQ81&gt;0,FQ81,IF(ROUND(BS81*$J81,6)&lt;ROUND($M81,6),BS81,0)))</f>
        <v/>
      </c>
      <c r="FS81" s="68">
        <f>IF(OR($U81=0,$F81&lt;&gt;2),0,IF(FR81&gt;0,FR81,IF(ROUND(BT81*$J81,6)&lt;ROUND($M81,6),BT81,0)))</f>
        <v/>
      </c>
      <c r="FT81" s="68">
        <f>IF(OR($U81=0,$F81&lt;&gt;2),0,IF(FS81&gt;0,FS81,IF(ROUND(BU81*$J81,6)&lt;ROUND($M81,6),BU81,0)))</f>
        <v/>
      </c>
      <c r="FU81" s="68">
        <f>IF(OR($U81=0,$F81&lt;&gt;2),0,IF(FT81&gt;0,FT81,IF(ROUND(BV81*$J81,6)&lt;ROUND($M81,6),BV81,0)))</f>
        <v/>
      </c>
      <c r="FV81" s="68">
        <f>IF(OR($U81=0,$F81&lt;&gt;2),0,IF(FU81&gt;0,FU81,IF(ROUND(BW81*$J81,6)&lt;ROUND($M81,6),BW81,0)))</f>
        <v/>
      </c>
      <c r="FW81" s="68">
        <f>IF(OR($U81=0,$F81&lt;&gt;2),0,IF(FV81&gt;0,FV81,IF(ROUND(BX81*$J81,6)&lt;ROUND($M81,6),BX81,0)))</f>
        <v/>
      </c>
      <c r="FX81" s="68">
        <f>IF(OR($U81=0,$F81&lt;&gt;2),0,IF(FW81&gt;0,FW81,IF(ROUND(BY81*$J81,6)&lt;ROUND($M81,6),BY81,0)))</f>
        <v/>
      </c>
      <c r="FY81" s="68">
        <f>IF(OR($U81=0,$F81&lt;&gt;2),0,IF(FX81&gt;0,FX81,IF(ROUND(BZ81*$J81,6)&lt;ROUND($M81,6),BZ81,0)))</f>
        <v/>
      </c>
      <c r="FZ81" s="68">
        <f>IF(OR($U81=0,$F81&lt;&gt;2),0,IF(FY81&gt;0,FY81,IF(ROUND(CA81*$J81,6)&lt;ROUND($M81,6),CA81,0)))</f>
        <v/>
      </c>
      <c r="GA81" s="68">
        <f>IF(OR($U81=0,$F81&lt;&gt;2),0,IF(FZ81&gt;0,FZ81,IF(ROUND(CB81*$J81,6)&lt;ROUND($M81,6),CB81,0)))</f>
        <v/>
      </c>
      <c r="GB81" s="68">
        <f>IF(OR($U81=0,$F81&lt;&gt;2),0,IF(GA81&gt;0,GA81,IF(ROUND(CC81*$J81,6)&lt;ROUND($M81,6),CC81,0)))</f>
        <v/>
      </c>
      <c r="GC81" s="68">
        <f>IF(OR($U81=0,$F81&lt;&gt;2),0,IF(GB81&gt;0,GB81,IF(ROUND(CD81*$J81,6)&lt;ROUND($M81,6),CD81,0)))</f>
        <v/>
      </c>
      <c r="GD81" s="68">
        <f>IF(OR($U81=0,$F81&lt;&gt;2),0,IF(GC81&gt;0,GC81,IF(ROUND(CE81*$J81,6)&lt;ROUND($M81,6),CE81,0)))</f>
        <v/>
      </c>
      <c r="GE81" s="68">
        <f>IF(OR($U81=0,$F81&lt;&gt;2),0,IF(GD81&gt;0,GD81,IF(ROUND(CF81*$J81,6)&lt;ROUND($M81,6),CF81,0)))</f>
        <v/>
      </c>
      <c r="GF81" s="68">
        <f>IF(OR($U81=0,$F81&lt;&gt;2),0,IF(GE81&gt;0,GE81,IF(ROUND(CG81*$J81,6)&lt;ROUND($M81,6),CG81,0)))</f>
        <v/>
      </c>
      <c r="GG81" s="68">
        <f>IF(OR($U81=0,$F81&lt;&gt;2),0,IF(GF81&gt;0,GF81,IF(ROUND(CH81*$J81,6)&lt;ROUND($M81,6),CH81,0)))</f>
        <v/>
      </c>
      <c r="GH81" s="68">
        <f>IF(OR($U81=0,$F81&lt;&gt;2),0,IF(GG81&gt;0,GG81,IF(ROUND(CI81*$J81,6)&lt;ROUND($M81,6),CI81,0)))</f>
        <v/>
      </c>
      <c r="GI81" s="68">
        <f>IF(OR($U81=0,$F81&lt;&gt;2),0,IF(GH81&gt;0,GH81,IF(ROUND(CJ81*$J81,6)&lt;ROUND($M81,6),CJ81,0)))</f>
        <v/>
      </c>
      <c r="GJ81" s="68">
        <f>IF(OR($U81=0,$F81&lt;&gt;2),0,IF(GI81&gt;0,GI81,IF(ROUND(CK81*$J81,6)&lt;ROUND($M81,6),CK81,0)))</f>
        <v/>
      </c>
      <c r="GK81" s="68">
        <f>IF(OR($U81=0,$F81&lt;&gt;2),0,IF(GJ81&gt;0,GJ81,IF(ROUND(CL81*$J81,6)&lt;ROUND($M81,6),CL81,0)))</f>
        <v/>
      </c>
      <c r="GL81" s="68">
        <f>IF(OR($U81=0,$F81&lt;&gt;2),0,IF(GK81&gt;0,GK81,IF(ROUND(CM81*$J81,6)&lt;ROUND($M81,6),CM81,0)))</f>
        <v/>
      </c>
      <c r="GM81" s="68">
        <f>IF(OR($U81=0,$F81&lt;&gt;2),0,IF(GL81&gt;0,GL81,IF(ROUND(CN81*$J81,6)&lt;ROUND($M81,6),CN81,0)))</f>
        <v/>
      </c>
      <c r="GN81" s="68">
        <f>IF(OR($U81=0,$F81&lt;&gt;2),0,IF(GM81&gt;0,GM81,IF(ROUND(CO81*$J81,6)&lt;ROUND($M81,6),CO81,0)))</f>
        <v/>
      </c>
      <c r="GO81" s="68">
        <f>IF(OR($U81=0,$F81&lt;&gt;2),0,IF(GN81&gt;0,GN81,IF(ROUND(CP81*$J81,6)&lt;ROUND($M81,6),CP81,0)))</f>
        <v/>
      </c>
      <c r="GP81" s="68">
        <f>IF(OR($U81=0,$F81&lt;&gt;2),0,IF(GO81&gt;0,GO81,IF(ROUND(CQ81*$J81,6)&lt;ROUND($M81,6),CQ81,0)))</f>
        <v/>
      </c>
      <c r="GQ81" s="68">
        <f>IF(OR($U81=0,$F81&lt;&gt;2),0,IF(GP81&gt;0,GP81,IF(ROUND(CR81*$J81,6)&lt;ROUND($M81,6),CR81,0)))</f>
        <v/>
      </c>
      <c r="GR81" s="68">
        <f>IF(OR($U81=0,$F81&lt;&gt;2),0,IF(GQ81&gt;0,GQ81,IF(ROUND(CS81*$J81,6)&lt;ROUND($M81,6),CS81,0)))</f>
        <v/>
      </c>
      <c r="GS81" s="68">
        <f>IF(OR($U81=0,$F81&lt;&gt;2),0,IF(GR81&gt;0,GR81,IF(ROUND(CT81*$J81,6)&lt;ROUND($M81,6),CT81,0)))</f>
        <v/>
      </c>
      <c r="GT81" s="68">
        <f>IF(OR($U81=0,$F81&lt;&gt;2),0,IF(GS81&gt;0,GS81,IF(ROUND(CU81*$J81,6)&lt;ROUND($M81,6),CU81,0)))</f>
        <v/>
      </c>
      <c r="GU81" s="68">
        <f>IF(OR($U81=0,$F81&lt;&gt;2),0,IF(GT81&gt;0,GT81,IF(ROUND(CV81*$J81,6)&lt;ROUND($M81,6),CV81,0)))</f>
        <v/>
      </c>
      <c r="GV81" s="68">
        <f>IF(OR($U81=0,$F81&lt;&gt;2),0,IF(GU81&gt;0,GU81,IF(ROUND(CW81*$J81,6)&lt;ROUND($M81,6),CW81,0)))</f>
        <v/>
      </c>
      <c r="GW81" s="68">
        <f>IF(OR($U81=0,$F81&lt;&gt;2),0,IF(GV81&gt;0,GV81,IF(ROUND(CX81*$J81,6)&lt;ROUND($M81,6),CX81,0)))</f>
        <v/>
      </c>
      <c r="GX81" s="68">
        <f>IF(OR($U81=0,$F81&lt;&gt;2),0,IF(GW81&gt;0,GW81,IF(ROUND(CY81*$J81,6)&lt;ROUND($M81,6),CY81,0)))</f>
        <v/>
      </c>
      <c r="GY81" s="68">
        <f>IF(OR($U81=0,$F81&lt;&gt;2),0,IF(GX81&gt;0,GX81,IF(ROUND(CZ81*$J81,6)&lt;ROUND($M81,6),CZ81,0)))</f>
        <v/>
      </c>
      <c r="GZ81" s="68">
        <f>IF(OR($U81=0,$F81&lt;&gt;2),0,IF(GY81&gt;0,GY81,IF(ROUND(DA81*$J81,6)&lt;ROUND($M81,6),DA81,0)))</f>
        <v/>
      </c>
      <c r="HA81" s="68">
        <f>IF(OR($U81=0,$F81&lt;&gt;2),0,IF(GZ81&gt;0,GZ81,IF(ROUND(DB81*$J81,6)&lt;ROUND($M81,6),DB81,0)))</f>
        <v/>
      </c>
      <c r="HB81" s="68">
        <f>IF(OR($U81=0,$F81&lt;&gt;2),0,IF(HA81&gt;0,HA81,IF(ROUND(DC81*$J81,6)&lt;ROUND($M81,6),DC81,0)))</f>
        <v/>
      </c>
      <c r="HC81" s="68">
        <f>IF(OR($U81=0,$F81&lt;&gt;2),0,IF(HB81&gt;0,HB81,IF(ROUND(DD81*$J81,6)&lt;ROUND($M81,6),DD81,0)))</f>
        <v/>
      </c>
      <c r="HD81" s="68">
        <f>IF(OR($U81=0,$F81&lt;&gt;2),0,IF(HC81&gt;0,HC81,IF(ROUND(DE81*$J81,6)&lt;ROUND($M81,6),DE81,0)))</f>
        <v/>
      </c>
      <c r="HE81" s="68">
        <f>IF(OR($U81=0,$F81&lt;&gt;2),0,IF(HD81&gt;0,HD81,IF(ROUND(DF81*$J81,6)&lt;ROUND($M81,6),DF81,0)))</f>
        <v/>
      </c>
      <c r="HF81" s="68">
        <f>IF(OR($U81=0,$F81&lt;&gt;2),0,IF(HE81&gt;0,HE81,IF(ROUND(DG81*$J81,6)&lt;ROUND($M81,6),DG81,0)))</f>
        <v/>
      </c>
      <c r="HG81" s="68">
        <f>IF(OR($U81=0,$F81&lt;&gt;2),0,IF(HF81&gt;0,HF81,IF(ROUND(DH81*$J81,6)&lt;ROUND($M81,6),DH81,0)))</f>
        <v/>
      </c>
      <c r="HH81" s="68">
        <f>IF(OR($U81=0,$F81&lt;&gt;2),0,IF(HG81&gt;0,HG81,IF(ROUND(DI81*$J81,6)&lt;ROUND($M81,6),DI81,0)))</f>
        <v/>
      </c>
      <c r="HI81" s="68">
        <f>IF(OR($U81=0,$F81&lt;&gt;2),0,IF(HH81&gt;0,HH81,IF(ROUND(DJ81*$J81,6)&lt;ROUND($M81,6),DJ81,0)))</f>
        <v/>
      </c>
      <c r="HJ81" s="68">
        <f>IF(OR($U81=0,$F81&lt;&gt;2),0,IF(HI81&gt;0,HI81,IF(ROUND(DK81*$J81,6)&lt;ROUND($M81,6),DK81,0)))</f>
        <v/>
      </c>
      <c r="HK81" s="68">
        <f>IF(OR($U81=0,$F81&lt;&gt;2),0,IF(HJ81&gt;0,HJ81,IF(ROUND(DL81*$J81,6)&lt;ROUND($M81,6),DL81,0)))</f>
        <v/>
      </c>
      <c r="HL81" s="68">
        <f>IF(OR($U81=0,$F81&lt;&gt;2),0,IF(HK81&gt;0,HK81,IF(ROUND(DM81*$J81,6)&lt;ROUND($M81,6),DM81,0)))</f>
        <v/>
      </c>
      <c r="HM81" s="68">
        <f>IF(OR($U81=0,$F81&lt;&gt;2),0,IF(HL81&gt;0,HL81,IF(ROUND(DN81*$J81,6)&lt;ROUND($M81,6),DN81,0)))</f>
        <v/>
      </c>
      <c r="HN81" s="68">
        <f>IF(OR($U81=0,$F81&lt;&gt;2),0,IF(HM81&gt;0,HM81,IF(ROUND(DO81*$J81,6)&lt;ROUND($M81,6),DO81,0)))</f>
        <v/>
      </c>
      <c r="HO81" s="68">
        <f>IF(OR($U81=0,$F81&lt;&gt;2),0,IF(HN81&gt;0,HN81,IF(ROUND(DP81*$J81,6)&lt;ROUND($M81,6),DP81,0)))</f>
        <v/>
      </c>
      <c r="HP81" s="68">
        <f>IF(OR($U81=0,$F81&lt;&gt;2),0,IF(HO81&gt;0,HO81,IF(ROUND(DQ81*$J81,6)&lt;ROUND($M81,6),DQ81,0)))</f>
        <v/>
      </c>
      <c r="HQ81" s="68">
        <f>IF(OR($U81=0,$F81&lt;&gt;2),0,IF(HP81&gt;0,HP81,IF(ROUND(DR81*$J81,6)&lt;ROUND($M81,6),DR81,0)))</f>
        <v/>
      </c>
      <c r="HR81" s="68">
        <f>IF(OR($U81=0,$F81&lt;&gt;2),0,IF(HQ81&gt;0,HQ81,IF(ROUND(DS81*$J81,6)&lt;ROUND($M81,6),DS81,0)))</f>
        <v/>
      </c>
      <c r="HS81" s="68">
        <f>IF(OR($U81=0,$F81&lt;&gt;2),0,IF(HR81&gt;0,HR81,IF(ROUND(DT81*$J81,6)&lt;ROUND($M81,6),DT81,0)))</f>
        <v/>
      </c>
      <c r="HT81" s="68">
        <f>IF(OR($U81=0,$F81&lt;&gt;2),0,IF(HS81&gt;0,HS81,IF(ROUND(DU81*$J81,6)&lt;ROUND($M81,6),DU81,0)))</f>
        <v/>
      </c>
      <c r="HU81" s="68">
        <f>IF(OR($U81=0,$F81&lt;&gt;2),0,IF(HT81&gt;0,HT81,IF(ROUND(DV81*$J81,6)&lt;ROUND($M81,6),DV81,0)))</f>
        <v/>
      </c>
      <c r="HV81" s="68">
        <f>IF(OR($U81=0,$F81&lt;&gt;2),0,IF(HU81&gt;0,HU81,IF(ROUND(DW81*$J81,6)&lt;ROUND($M81,6),DW81,0)))</f>
        <v/>
      </c>
      <c r="HW81" s="68">
        <f>IF(OR($U81=0,$F81&lt;&gt;2),0,IF(HV81&gt;0,HV81,IF(ROUND(DX81*$J81,6)&lt;ROUND($M81,6),DX81,0)))</f>
        <v/>
      </c>
      <c r="HX81" s="68">
        <f>IF(OR($U81=0,$F81&lt;&gt;2),0,IF(HW81&gt;0,HW81,IF(ROUND(DY81*$J81,6)&lt;ROUND($M81,6),DY81,0)))</f>
        <v/>
      </c>
      <c r="HY81" s="68">
        <f>IF(OR($U81=0,$F81&lt;&gt;2),0,IF(HX81&gt;0,HX81,IF(ROUND(DZ81*$J81,6)&lt;ROUND($M81,6),DZ81,0)))</f>
        <v/>
      </c>
      <c r="HZ81" s="68">
        <f>IF(OR($U81=0,$F81&lt;&gt;2),0,IF(HY81&gt;0,HY81,IF(ROUND(EA81*$J81,6)&lt;ROUND($M81,6),EA81,0)))</f>
        <v/>
      </c>
      <c r="IA81" s="68">
        <f>IF(OR($U81=0,$F81&lt;&gt;2),0,IF(HZ81&gt;0,HZ81,IF(ROUND(EB81*$J81,6)&lt;ROUND($M81,6),EB81,0)))</f>
        <v/>
      </c>
      <c r="IB81" s="68">
        <f>IF(OR($U81=0,$F81&lt;&gt;2),0,IF(IA81&gt;0,IA81,IF(ROUND(EC81*$J81,6)&lt;ROUND($M81,6),EC81,0)))</f>
        <v/>
      </c>
      <c r="IC81" s="68">
        <f>IF(OR($U81=0,$F81&lt;&gt;2),0,IF(IB81&gt;0,IB81,IF(ROUND(ED81*$J81,6)&lt;ROUND($M81,6),ED81,0)))</f>
        <v/>
      </c>
      <c r="ID81" s="68">
        <f>IF(OR($U81=0,$F81&lt;&gt;2),0,IF(IC81&gt;0,IC81,IF(ROUND(EE81*$J81,6)&lt;ROUND($M81,6),EE81,0)))</f>
        <v/>
      </c>
      <c r="IE81" s="68">
        <f>IF(OR($U81=0,$F81&lt;&gt;2),0,IF(ID81&gt;0,ID81,IF(ROUND(EF81*$J81,6)&lt;ROUND($M81,6),EF81,0)))</f>
        <v/>
      </c>
      <c r="IF81" s="68">
        <f>IF(OR($U81=0,$F81&lt;&gt;2),0,IF(IE81&gt;0,IE81,IF(ROUND(EG81*$J81,6)&lt;ROUND($M81,6),EG81,0)))</f>
        <v/>
      </c>
      <c r="IG81" s="68">
        <f>IF(OR($U81=0,$F81&lt;&gt;2),0,IF(IF81&gt;0,IF81,IF(ROUND(EH81*$J81,6)&lt;ROUND($M81,6),EH81,0)))</f>
        <v/>
      </c>
      <c r="IH81" s="68">
        <f>IF(OR($U81=0,$F81&lt;&gt;2),0,IF(IG81&gt;0,IG81,IF(ROUND(EI81*$J81,6)&lt;ROUND($M81,6),EI81,0)))</f>
        <v/>
      </c>
      <c r="II81" s="68">
        <f>IF(OR($U81=0,$F81&lt;&gt;2),0,IF(IH81&gt;0,IH81,IF(ROUND(EJ81*$J81,6)&lt;ROUND($M81,6),EJ81,0)))</f>
        <v/>
      </c>
      <c r="IJ81" s="68">
        <f>IF(OR($U81=0,$F81&lt;&gt;2),0,IF(II81&gt;0,II81,IF(ROUND(EK81*$J81,6)&lt;ROUND($M81,6),EK81,0)))</f>
        <v/>
      </c>
      <c r="IK81" s="68">
        <f>IF(OR($U81=0,$F81&lt;&gt;2),0,IF(IJ81&gt;0,IJ81,IF(ROUND(EL81*$J81,6)&lt;ROUND($M81,6),EL81,0)))</f>
        <v/>
      </c>
      <c r="IL81" s="68">
        <f>IF(OR($U81=0,$F81&lt;&gt;2),0,IF(IK81&gt;0,IK81,IF(ROUND(EM81*$J81,6)&lt;ROUND($M81,6),EM81,0)))</f>
        <v/>
      </c>
      <c r="IM81" s="68">
        <f>IF(OR($U81=0,$F81&lt;&gt;2),0,IF(IL81&gt;0,IL81,IF(ROUND(EN81*$J81,6)&lt;ROUND($M81,6),EN81,0)))</f>
        <v/>
      </c>
      <c r="IN81" s="68">
        <f>IF(OR($U81=0,$F81&lt;&gt;2),0,IF(IM81&gt;0,IM81,IF(ROUND(EO81*$J81,6)&lt;ROUND($M81,6),EO81,0)))</f>
        <v/>
      </c>
    </row>
    <row r="82">
      <c r="A82" s="68" t="n">
        <v>77</v>
      </c>
      <c r="B82" s="68">
        <f>IF(OR(TRIM('固定資産台帳'!$B82)&lt;&gt;"",'固定資産台帳'!$E82&lt;&gt;"",'固定資産台帳'!$G82&lt;&gt;"",'固定資産台帳'!$H82&lt;&gt;""),1,0)</f>
        <v/>
      </c>
      <c r="C82" s="68">
        <f>IF(ISNUMBER('固定資産台帳'!$G82),MAX(ROUND('固定資産台帳'!$G82,0),0),0)</f>
        <v/>
      </c>
      <c r="D82" s="84">
        <f>IF(ISNUMBER('固定資産台帳'!$E82),INT('固定資産台帳'!$E82),0)</f>
        <v/>
      </c>
      <c r="E82" s="84">
        <f>IF(ISNUMBER('固定資産台帳'!$F82),INT('固定資産台帳'!$F82),$D82)</f>
        <v/>
      </c>
      <c r="F82" s="68">
        <f>IF('固定資産台帳'!$H82="定額法",1,IF(OR('固定資産台帳'!$H82="定率法",'固定資産台帳'!$H82="定率法（200%）",'固定資産台帳'!$H82="定率法（250%）"),2,IF('固定資産台帳'!$H82="一括償却（3年）",3,IF('固定資産台帳'!$H82="少額特例",4,0))))</f>
        <v/>
      </c>
      <c r="G82" s="68">
        <f>IF('固定資産台帳'!$H82="定率法（250%）",250,IF('固定資産台帳'!$H82="定率法（200%）",200,IF($D82&gt;=DATE(2012,4,1),200,250)))</f>
        <v/>
      </c>
      <c r="H82" s="68">
        <f>IF(ISNUMBER('固定資産台帳'!$I82),IF(AND('固定資産台帳'!$I82&gt;=2,'固定資産台帳'!$I82&lt;=100,'固定資産台帳'!$I82=INT('固定資産台帳'!$I82)),'固定資産台帳'!$I82,0),0)</f>
        <v/>
      </c>
      <c r="I82" s="68">
        <f>IF('固定資産台帳'!$C82="無形固定資産",0,1)</f>
        <v/>
      </c>
      <c r="J82" s="68">
        <f>IF(OR($H82=0,$F82=0,$F82&gt;2),0,IF($F82=1,INDEX('償却率表'!$B$6:$B$104,$H82-1),IF($G82=200,INDEX('償却率表'!$C$6:$C$104,$H82-1),INDEX('償却率表'!$F$6:$F$104,$H82-1))))</f>
        <v/>
      </c>
      <c r="K82" s="68">
        <f>IF(AND($F82=2,$H82&gt;0),IF($G82=200,INDEX('償却率表'!$D$6:$D$104,$H82-1),INDEX('償却率表'!$G$6:$G$104,$H82-1)),0)</f>
        <v/>
      </c>
      <c r="L82" s="68">
        <f>IF(AND($F82=2,$H82&gt;0),IF($G82=200,INDEX('償却率表'!$E$6:$E$104,$H82-1),INDEX('償却率表'!$H$6:$H$104,$H82-1)),0)</f>
        <v/>
      </c>
      <c r="M82" s="68">
        <f>$C82*$L82</f>
        <v/>
      </c>
      <c r="N82" s="68">
        <f>IF($B$1=1,1,IF('固定資産台帳'!$J82="",1,IF(ISNUMBER('固定資産台帳'!$J82),IF(AND('固定資産台帳'!$J82&gt;0,'固定資産台帳'!$J82&lt;=1),'固定資産台帳'!$J82,0),0)))</f>
        <v/>
      </c>
      <c r="O82" s="68">
        <f>IF($E82=0,0,YEAR($E82)-IF(MONTH($E82)&lt;$B$2,1,0))</f>
        <v/>
      </c>
      <c r="P82" s="68">
        <f>IF($E82=0,0,12-MOD(MONTH($E82)-$B$2,12))</f>
        <v/>
      </c>
      <c r="Q82" s="84">
        <f>IF(ISNUMBER('固定資産台帳'!$K82),INT('固定資産台帳'!$K82),0)</f>
        <v/>
      </c>
      <c r="R82" s="68">
        <f>IF(OR($Q82=0,$E82=0),999,YEAR($Q82)-IF(MONTH($Q82)&lt;$B$2,1,0)-$O82)</f>
        <v/>
      </c>
      <c r="S82" s="68">
        <f>IF($R82=999,0,MOD(MONTH($Q82)-$B$2,12)+1-IF($R82=0,12-$P82,0))</f>
        <v/>
      </c>
      <c r="T82" s="68">
        <f>IF($B82=0,0,IF($C82&lt;=0,1,IF($D82=0,2,IF($F82=0,3,IF(AND($F82&lt;=2,$H82=0),4,IF(AND($F82&lt;=2,$D82&lt;DATE(2007,4,1)),5,IF($E82&lt;$D82,6,IF(AND($Q82&gt;0,$Q82&lt;$E82),7,IF($N82=0,8,IF($B$3=0,9,0))))))))))</f>
        <v/>
      </c>
      <c r="U82" s="68">
        <f>IF(AND($B82=1,$T82=0),1,0)</f>
        <v/>
      </c>
      <c r="V82" s="68">
        <f>$B$3-$O82</f>
        <v/>
      </c>
      <c r="W82" s="68">
        <f>IF(AND($U82=1,$V82&gt;=0),1,0)</f>
        <v/>
      </c>
      <c r="X82" s="68">
        <f>IF($W82=0,0,IF($V82=0,$C82,INDEX($AS82:$EP82,MIN($V82,102))))</f>
        <v/>
      </c>
      <c r="Y82" s="68">
        <f>IF($W82=0,0,INDEX($AS82:$EP82,MIN($V82,101)+1))</f>
        <v/>
      </c>
      <c r="Z82" s="68">
        <f>$X82-$Y82</f>
        <v/>
      </c>
      <c r="AA82" s="68">
        <f>IF(AND($W82=1,$F82=2,$V82&gt;=1),INDEX($ER82:$IN82,MIN($V82,101)),0)</f>
        <v/>
      </c>
      <c r="AB82" s="68">
        <f>IF(OR($W82=0,$F82&gt;2,$Z82=0),0,IF($V82=0,IF($R82=0,$S82,$P82),IF($V82=$R82,$S82,12)))</f>
        <v/>
      </c>
      <c r="AC82" s="68">
        <f>IF($W82=0,0,INT(ROUND($Z82*$N82,6)+$B$4))</f>
        <v/>
      </c>
      <c r="AD82" s="68">
        <f>IF(AND($W82=1,$F82&lt;=2,$V82=$R82),1,0)</f>
        <v/>
      </c>
      <c r="AE82" s="68">
        <f>IF(AND($W82=1,$F82&lt;=2,$V82&gt;$R82),1,0)</f>
        <v/>
      </c>
      <c r="AF82" s="68">
        <f>IF(AND($W82=1,$AE82=0,OR($Z82&gt;0,$AD82=1)),1,0)</f>
        <v/>
      </c>
      <c r="AG82" s="68">
        <f>IF($AF82=1,SUM($AF$6:$AF82),0)</f>
        <v/>
      </c>
      <c r="AH82" s="68">
        <f>IF($T82=0,"",CHOOSE($T82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82" s="68">
        <f>IF(AND($F82=2,OR('固定資産台帳'!$C82="建物",'固定資産台帳'!$C82="無形固定資産",AND(OR('固定資産台帳'!$C82="建物附属設備",'固定資産台帳'!$C82="構築物"),$D82&gt;=DATE(2016,4,1)))),"この資産は定額法だけです（定率法は使えません）。","")&amp;IF(AND($F82=3,$C82&gt;=200000),"一括償却は20万円未満の資産だけです。","")&amp;IF(AND($F82=3,$B$1=0,$C82&lt;100000),"10万円未満は一括償却にせず、全額をその年の経費にします。","")&amp;IF(AND($F82=4,$C82&lt;100000),"10万円未満は少額特例ではなく、全額をその年の経費にします。","")&amp;IF(AND($F82=4,$D82&lt;DATE(2026,4,1),$C82&gt;=300000),"2026年3月31日までの取得で少額特例が使えるのは30万円未満です。","")&amp;IF(AND($F82=4,$D82&gt;=DATE(2026,4,1),$C82&gt;=400000),"少額特例は40万円未満の資産だけです。","")&amp;IF(AND($F82=4,OR($D82&lt;DATE(2006,4,1),$D82&gt;DATE(2029,3,31))),"少額特例は2006年4月1日〜2029年3月31日に取得した資産だけです。","")&amp;IF(AND($F82=2,$G82=250,$D82&gt;DATE(2012,12,31)),"250%定率法は2012年12月31日までの取得だけです。","")</f>
        <v/>
      </c>
      <c r="AJ82" s="68">
        <f>IF(AND($F82=2,'固定資産台帳'!$H82="定率法（200%）",$D82&lt;DATE(2012,4,1)),"2012年3月31日までの取得に200%を使うのは、経過措置の届出をした場合です。","")&amp;IF(AND($F82=2,'固定資産台帳'!$H82="定率法（250%）",$D82&gt;=DATE(2012,4,1),$D82&lt;=DATE(2012,12,31)),"2012年4〜12月の取得に250%を使うのは、経過措置を選んだ場合です。","")</f>
        <v/>
      </c>
      <c r="AK82" s="68">
        <f>IF($U82=0,"",IF($V82&lt;0,"表示している年より後に使い始める資産です。",IF($AE82=1,"売却・除却済みです。",IF($AD82=1,"この年に売却・除却。期末の帳簿価額 "&amp;TEXT($Y82,"#,##0")&amp;"円を帳簿から外します。",IF($F82=4,IF($V82=0,"少額特例：この年に全額を経費にします。","少額特例で経費にした資産です。"),IF($F82=3,IF($V82&gt;2,"一括償却は終わっています。","一括償却 "&amp;($V82+1)&amp;"年目（3年のうち）。"),IF($Z82=0,"償却済み（帳簿価額 "&amp;TEXT($Y82,"#,##0")&amp;"円）。",IF($AA82&gt;0,"改定償却率で計算（改定取得価額 "&amp;TEXT($AA82,"#,##0")&amp;"円）。",IF($V82=0,"この年に使い始め（"&amp;$AB82&amp;"か月分）。","")))))))))</f>
        <v/>
      </c>
      <c r="AL82" s="68">
        <f>IF(AND($U82=1,$F82=4,$V82=0),$C82,0)</f>
        <v/>
      </c>
      <c r="AM82" s="68">
        <f>IF($F82=2,INT(ROUND($M82,6)+$B$4),0)</f>
        <v/>
      </c>
      <c r="AN82" s="68">
        <f>IF($W82=0,0,IF($F82=2,IF($AA82&gt;0,$AA82,$X82),$C82))</f>
        <v/>
      </c>
      <c r="AO82" s="68">
        <f>IF($W82=0,"",IF($F82=3,"1/3",IF($F82=4,"―",IF($AA82&gt;0,$K82,$J82))))</f>
        <v/>
      </c>
      <c r="AP82" s="68" t="n"/>
      <c r="AQ82" s="68" t="n"/>
      <c r="AR82" s="68" t="n"/>
      <c r="AS82" s="68">
        <f>IF($U82=0,0,IF($F82=4,0,IF($F82=3,MAX($C82-INT(ROUND($C82/3,6)+$B$4),0),$C82-MIN(INT(ROUND($C82*$J82*IF($R82=0,$S82,$P82)/12,6)+$B$4),MAX($C82-$I82,0)))))</f>
        <v/>
      </c>
      <c r="AT82" s="68">
        <f>IF($U82=0,0,IF($F82=4,0,IF($F82=3,AS82-MIN(INT(ROUND($C82/3,6)+$B$4),AS82),IF(OR(1&gt;$R82,AS82&lt;=$I82),AS82,AS82-MIN(INT(ROUND(IF($F82=1,$C82*$J82,IF(ER82&gt;0,ER82*$K82,AS82*$J82))*IF(1=$R82,$S82,12)/12,6)+$B$4),AS82-$I82)))))</f>
        <v/>
      </c>
      <c r="AU82" s="68">
        <f>IF($U82=0,0,IF($F82=4,0,IF($F82=3,0,IF(OR(2&gt;$R82,AT82&lt;=$I82),AT82,AT82-MIN(INT(ROUND(IF($F82=1,$C82*$J82,IF(ES82&gt;0,ES82*$K82,AT82*$J82))*IF(2=$R82,$S82,12)/12,6)+$B$4),AT82-$I82)))))</f>
        <v/>
      </c>
      <c r="AV82" s="68">
        <f>IF($U82=0,0,IF($F82=4,0,IF($F82=3,0,IF(OR(3&gt;$R82,AU82&lt;=$I82),AU82,AU82-MIN(INT(ROUND(IF($F82=1,$C82*$J82,IF(ET82&gt;0,ET82*$K82,AU82*$J82))*IF(3=$R82,$S82,12)/12,6)+$B$4),AU82-$I82)))))</f>
        <v/>
      </c>
      <c r="AW82" s="68">
        <f>IF($U82=0,0,IF($F82=4,0,IF($F82=3,0,IF(OR(4&gt;$R82,AV82&lt;=$I82),AV82,AV82-MIN(INT(ROUND(IF($F82=1,$C82*$J82,IF(EU82&gt;0,EU82*$K82,AV82*$J82))*IF(4=$R82,$S82,12)/12,6)+$B$4),AV82-$I82)))))</f>
        <v/>
      </c>
      <c r="AX82" s="68">
        <f>IF($U82=0,0,IF($F82=4,0,IF($F82=3,0,IF(OR(5&gt;$R82,AW82&lt;=$I82),AW82,AW82-MIN(INT(ROUND(IF($F82=1,$C82*$J82,IF(EV82&gt;0,EV82*$K82,AW82*$J82))*IF(5=$R82,$S82,12)/12,6)+$B$4),AW82-$I82)))))</f>
        <v/>
      </c>
      <c r="AY82" s="68">
        <f>IF($U82=0,0,IF($F82=4,0,IF($F82=3,0,IF(OR(6&gt;$R82,AX82&lt;=$I82),AX82,AX82-MIN(INT(ROUND(IF($F82=1,$C82*$J82,IF(EW82&gt;0,EW82*$K82,AX82*$J82))*IF(6=$R82,$S82,12)/12,6)+$B$4),AX82-$I82)))))</f>
        <v/>
      </c>
      <c r="AZ82" s="68">
        <f>IF($U82=0,0,IF($F82=4,0,IF($F82=3,0,IF(OR(7&gt;$R82,AY82&lt;=$I82),AY82,AY82-MIN(INT(ROUND(IF($F82=1,$C82*$J82,IF(EX82&gt;0,EX82*$K82,AY82*$J82))*IF(7=$R82,$S82,12)/12,6)+$B$4),AY82-$I82)))))</f>
        <v/>
      </c>
      <c r="BA82" s="68">
        <f>IF($U82=0,0,IF($F82=4,0,IF($F82=3,0,IF(OR(8&gt;$R82,AZ82&lt;=$I82),AZ82,AZ82-MIN(INT(ROUND(IF($F82=1,$C82*$J82,IF(EY82&gt;0,EY82*$K82,AZ82*$J82))*IF(8=$R82,$S82,12)/12,6)+$B$4),AZ82-$I82)))))</f>
        <v/>
      </c>
      <c r="BB82" s="68">
        <f>IF($U82=0,0,IF($F82=4,0,IF($F82=3,0,IF(OR(9&gt;$R82,BA82&lt;=$I82),BA82,BA82-MIN(INT(ROUND(IF($F82=1,$C82*$J82,IF(EZ82&gt;0,EZ82*$K82,BA82*$J82))*IF(9=$R82,$S82,12)/12,6)+$B$4),BA82-$I82)))))</f>
        <v/>
      </c>
      <c r="BC82" s="68">
        <f>IF($U82=0,0,IF($F82=4,0,IF($F82=3,0,IF(OR(10&gt;$R82,BB82&lt;=$I82),BB82,BB82-MIN(INT(ROUND(IF($F82=1,$C82*$J82,IF(FA82&gt;0,FA82*$K82,BB82*$J82))*IF(10=$R82,$S82,12)/12,6)+$B$4),BB82-$I82)))))</f>
        <v/>
      </c>
      <c r="BD82" s="68">
        <f>IF($U82=0,0,IF($F82=4,0,IF($F82=3,0,IF(OR(11&gt;$R82,BC82&lt;=$I82),BC82,BC82-MIN(INT(ROUND(IF($F82=1,$C82*$J82,IF(FB82&gt;0,FB82*$K82,BC82*$J82))*IF(11=$R82,$S82,12)/12,6)+$B$4),BC82-$I82)))))</f>
        <v/>
      </c>
      <c r="BE82" s="68">
        <f>IF($U82=0,0,IF($F82=4,0,IF($F82=3,0,IF(OR(12&gt;$R82,BD82&lt;=$I82),BD82,BD82-MIN(INT(ROUND(IF($F82=1,$C82*$J82,IF(FC82&gt;0,FC82*$K82,BD82*$J82))*IF(12=$R82,$S82,12)/12,6)+$B$4),BD82-$I82)))))</f>
        <v/>
      </c>
      <c r="BF82" s="68">
        <f>IF($U82=0,0,IF($F82=4,0,IF($F82=3,0,IF(OR(13&gt;$R82,BE82&lt;=$I82),BE82,BE82-MIN(INT(ROUND(IF($F82=1,$C82*$J82,IF(FD82&gt;0,FD82*$K82,BE82*$J82))*IF(13=$R82,$S82,12)/12,6)+$B$4),BE82-$I82)))))</f>
        <v/>
      </c>
      <c r="BG82" s="68">
        <f>IF($U82=0,0,IF($F82=4,0,IF($F82=3,0,IF(OR(14&gt;$R82,BF82&lt;=$I82),BF82,BF82-MIN(INT(ROUND(IF($F82=1,$C82*$J82,IF(FE82&gt;0,FE82*$K82,BF82*$J82))*IF(14=$R82,$S82,12)/12,6)+$B$4),BF82-$I82)))))</f>
        <v/>
      </c>
      <c r="BH82" s="68">
        <f>IF($U82=0,0,IF($F82=4,0,IF($F82=3,0,IF(OR(15&gt;$R82,BG82&lt;=$I82),BG82,BG82-MIN(INT(ROUND(IF($F82=1,$C82*$J82,IF(FF82&gt;0,FF82*$K82,BG82*$J82))*IF(15=$R82,$S82,12)/12,6)+$B$4),BG82-$I82)))))</f>
        <v/>
      </c>
      <c r="BI82" s="68">
        <f>IF($U82=0,0,IF($F82=4,0,IF($F82=3,0,IF(OR(16&gt;$R82,BH82&lt;=$I82),BH82,BH82-MIN(INT(ROUND(IF($F82=1,$C82*$J82,IF(FG82&gt;0,FG82*$K82,BH82*$J82))*IF(16=$R82,$S82,12)/12,6)+$B$4),BH82-$I82)))))</f>
        <v/>
      </c>
      <c r="BJ82" s="68">
        <f>IF($U82=0,0,IF($F82=4,0,IF($F82=3,0,IF(OR(17&gt;$R82,BI82&lt;=$I82),BI82,BI82-MIN(INT(ROUND(IF($F82=1,$C82*$J82,IF(FH82&gt;0,FH82*$K82,BI82*$J82))*IF(17=$R82,$S82,12)/12,6)+$B$4),BI82-$I82)))))</f>
        <v/>
      </c>
      <c r="BK82" s="68">
        <f>IF($U82=0,0,IF($F82=4,0,IF($F82=3,0,IF(OR(18&gt;$R82,BJ82&lt;=$I82),BJ82,BJ82-MIN(INT(ROUND(IF($F82=1,$C82*$J82,IF(FI82&gt;0,FI82*$K82,BJ82*$J82))*IF(18=$R82,$S82,12)/12,6)+$B$4),BJ82-$I82)))))</f>
        <v/>
      </c>
      <c r="BL82" s="68">
        <f>IF($U82=0,0,IF($F82=4,0,IF($F82=3,0,IF(OR(19&gt;$R82,BK82&lt;=$I82),BK82,BK82-MIN(INT(ROUND(IF($F82=1,$C82*$J82,IF(FJ82&gt;0,FJ82*$K82,BK82*$J82))*IF(19=$R82,$S82,12)/12,6)+$B$4),BK82-$I82)))))</f>
        <v/>
      </c>
      <c r="BM82" s="68">
        <f>IF($U82=0,0,IF($F82=4,0,IF($F82=3,0,IF(OR(20&gt;$R82,BL82&lt;=$I82),BL82,BL82-MIN(INT(ROUND(IF($F82=1,$C82*$J82,IF(FK82&gt;0,FK82*$K82,BL82*$J82))*IF(20=$R82,$S82,12)/12,6)+$B$4),BL82-$I82)))))</f>
        <v/>
      </c>
      <c r="BN82" s="68">
        <f>IF($U82=0,0,IF($F82=4,0,IF($F82=3,0,IF(OR(21&gt;$R82,BM82&lt;=$I82),BM82,BM82-MIN(INT(ROUND(IF($F82=1,$C82*$J82,IF(FL82&gt;0,FL82*$K82,BM82*$J82))*IF(21=$R82,$S82,12)/12,6)+$B$4),BM82-$I82)))))</f>
        <v/>
      </c>
      <c r="BO82" s="68">
        <f>IF($U82=0,0,IF($F82=4,0,IF($F82=3,0,IF(OR(22&gt;$R82,BN82&lt;=$I82),BN82,BN82-MIN(INT(ROUND(IF($F82=1,$C82*$J82,IF(FM82&gt;0,FM82*$K82,BN82*$J82))*IF(22=$R82,$S82,12)/12,6)+$B$4),BN82-$I82)))))</f>
        <v/>
      </c>
      <c r="BP82" s="68">
        <f>IF($U82=0,0,IF($F82=4,0,IF($F82=3,0,IF(OR(23&gt;$R82,BO82&lt;=$I82),BO82,BO82-MIN(INT(ROUND(IF($F82=1,$C82*$J82,IF(FN82&gt;0,FN82*$K82,BO82*$J82))*IF(23=$R82,$S82,12)/12,6)+$B$4),BO82-$I82)))))</f>
        <v/>
      </c>
      <c r="BQ82" s="68">
        <f>IF($U82=0,0,IF($F82=4,0,IF($F82=3,0,IF(OR(24&gt;$R82,BP82&lt;=$I82),BP82,BP82-MIN(INT(ROUND(IF($F82=1,$C82*$J82,IF(FO82&gt;0,FO82*$K82,BP82*$J82))*IF(24=$R82,$S82,12)/12,6)+$B$4),BP82-$I82)))))</f>
        <v/>
      </c>
      <c r="BR82" s="68">
        <f>IF($U82=0,0,IF($F82=4,0,IF($F82=3,0,IF(OR(25&gt;$R82,BQ82&lt;=$I82),BQ82,BQ82-MIN(INT(ROUND(IF($F82=1,$C82*$J82,IF(FP82&gt;0,FP82*$K82,BQ82*$J82))*IF(25=$R82,$S82,12)/12,6)+$B$4),BQ82-$I82)))))</f>
        <v/>
      </c>
      <c r="BS82" s="68">
        <f>IF($U82=0,0,IF($F82=4,0,IF($F82=3,0,IF(OR(26&gt;$R82,BR82&lt;=$I82),BR82,BR82-MIN(INT(ROUND(IF($F82=1,$C82*$J82,IF(FQ82&gt;0,FQ82*$K82,BR82*$J82))*IF(26=$R82,$S82,12)/12,6)+$B$4),BR82-$I82)))))</f>
        <v/>
      </c>
      <c r="BT82" s="68">
        <f>IF($U82=0,0,IF($F82=4,0,IF($F82=3,0,IF(OR(27&gt;$R82,BS82&lt;=$I82),BS82,BS82-MIN(INT(ROUND(IF($F82=1,$C82*$J82,IF(FR82&gt;0,FR82*$K82,BS82*$J82))*IF(27=$R82,$S82,12)/12,6)+$B$4),BS82-$I82)))))</f>
        <v/>
      </c>
      <c r="BU82" s="68">
        <f>IF($U82=0,0,IF($F82=4,0,IF($F82=3,0,IF(OR(28&gt;$R82,BT82&lt;=$I82),BT82,BT82-MIN(INT(ROUND(IF($F82=1,$C82*$J82,IF(FS82&gt;0,FS82*$K82,BT82*$J82))*IF(28=$R82,$S82,12)/12,6)+$B$4),BT82-$I82)))))</f>
        <v/>
      </c>
      <c r="BV82" s="68">
        <f>IF($U82=0,0,IF($F82=4,0,IF($F82=3,0,IF(OR(29&gt;$R82,BU82&lt;=$I82),BU82,BU82-MIN(INT(ROUND(IF($F82=1,$C82*$J82,IF(FT82&gt;0,FT82*$K82,BU82*$J82))*IF(29=$R82,$S82,12)/12,6)+$B$4),BU82-$I82)))))</f>
        <v/>
      </c>
      <c r="BW82" s="68">
        <f>IF($U82=0,0,IF($F82=4,0,IF($F82=3,0,IF(OR(30&gt;$R82,BV82&lt;=$I82),BV82,BV82-MIN(INT(ROUND(IF($F82=1,$C82*$J82,IF(FU82&gt;0,FU82*$K82,BV82*$J82))*IF(30=$R82,$S82,12)/12,6)+$B$4),BV82-$I82)))))</f>
        <v/>
      </c>
      <c r="BX82" s="68">
        <f>IF($U82=0,0,IF($F82=4,0,IF($F82=3,0,IF(OR(31&gt;$R82,BW82&lt;=$I82),BW82,BW82-MIN(INT(ROUND(IF($F82=1,$C82*$J82,IF(FV82&gt;0,FV82*$K82,BW82*$J82))*IF(31=$R82,$S82,12)/12,6)+$B$4),BW82-$I82)))))</f>
        <v/>
      </c>
      <c r="BY82" s="68">
        <f>IF($U82=0,0,IF($F82=4,0,IF($F82=3,0,IF(OR(32&gt;$R82,BX82&lt;=$I82),BX82,BX82-MIN(INT(ROUND(IF($F82=1,$C82*$J82,IF(FW82&gt;0,FW82*$K82,BX82*$J82))*IF(32=$R82,$S82,12)/12,6)+$B$4),BX82-$I82)))))</f>
        <v/>
      </c>
      <c r="BZ82" s="68">
        <f>IF($U82=0,0,IF($F82=4,0,IF($F82=3,0,IF(OR(33&gt;$R82,BY82&lt;=$I82),BY82,BY82-MIN(INT(ROUND(IF($F82=1,$C82*$J82,IF(FX82&gt;0,FX82*$K82,BY82*$J82))*IF(33=$R82,$S82,12)/12,6)+$B$4),BY82-$I82)))))</f>
        <v/>
      </c>
      <c r="CA82" s="68">
        <f>IF($U82=0,0,IF($F82=4,0,IF($F82=3,0,IF(OR(34&gt;$R82,BZ82&lt;=$I82),BZ82,BZ82-MIN(INT(ROUND(IF($F82=1,$C82*$J82,IF(FY82&gt;0,FY82*$K82,BZ82*$J82))*IF(34=$R82,$S82,12)/12,6)+$B$4),BZ82-$I82)))))</f>
        <v/>
      </c>
      <c r="CB82" s="68">
        <f>IF($U82=0,0,IF($F82=4,0,IF($F82=3,0,IF(OR(35&gt;$R82,CA82&lt;=$I82),CA82,CA82-MIN(INT(ROUND(IF($F82=1,$C82*$J82,IF(FZ82&gt;0,FZ82*$K82,CA82*$J82))*IF(35=$R82,$S82,12)/12,6)+$B$4),CA82-$I82)))))</f>
        <v/>
      </c>
      <c r="CC82" s="68">
        <f>IF($U82=0,0,IF($F82=4,0,IF($F82=3,0,IF(OR(36&gt;$R82,CB82&lt;=$I82),CB82,CB82-MIN(INT(ROUND(IF($F82=1,$C82*$J82,IF(GA82&gt;0,GA82*$K82,CB82*$J82))*IF(36=$R82,$S82,12)/12,6)+$B$4),CB82-$I82)))))</f>
        <v/>
      </c>
      <c r="CD82" s="68">
        <f>IF($U82=0,0,IF($F82=4,0,IF($F82=3,0,IF(OR(37&gt;$R82,CC82&lt;=$I82),CC82,CC82-MIN(INT(ROUND(IF($F82=1,$C82*$J82,IF(GB82&gt;0,GB82*$K82,CC82*$J82))*IF(37=$R82,$S82,12)/12,6)+$B$4),CC82-$I82)))))</f>
        <v/>
      </c>
      <c r="CE82" s="68">
        <f>IF($U82=0,0,IF($F82=4,0,IF($F82=3,0,IF(OR(38&gt;$R82,CD82&lt;=$I82),CD82,CD82-MIN(INT(ROUND(IF($F82=1,$C82*$J82,IF(GC82&gt;0,GC82*$K82,CD82*$J82))*IF(38=$R82,$S82,12)/12,6)+$B$4),CD82-$I82)))))</f>
        <v/>
      </c>
      <c r="CF82" s="68">
        <f>IF($U82=0,0,IF($F82=4,0,IF($F82=3,0,IF(OR(39&gt;$R82,CE82&lt;=$I82),CE82,CE82-MIN(INT(ROUND(IF($F82=1,$C82*$J82,IF(GD82&gt;0,GD82*$K82,CE82*$J82))*IF(39=$R82,$S82,12)/12,6)+$B$4),CE82-$I82)))))</f>
        <v/>
      </c>
      <c r="CG82" s="68">
        <f>IF($U82=0,0,IF($F82=4,0,IF($F82=3,0,IF(OR(40&gt;$R82,CF82&lt;=$I82),CF82,CF82-MIN(INT(ROUND(IF($F82=1,$C82*$J82,IF(GE82&gt;0,GE82*$K82,CF82*$J82))*IF(40=$R82,$S82,12)/12,6)+$B$4),CF82-$I82)))))</f>
        <v/>
      </c>
      <c r="CH82" s="68">
        <f>IF($U82=0,0,IF($F82=4,0,IF($F82=3,0,IF(OR(41&gt;$R82,CG82&lt;=$I82),CG82,CG82-MIN(INT(ROUND(IF($F82=1,$C82*$J82,IF(GF82&gt;0,GF82*$K82,CG82*$J82))*IF(41=$R82,$S82,12)/12,6)+$B$4),CG82-$I82)))))</f>
        <v/>
      </c>
      <c r="CI82" s="68">
        <f>IF($U82=0,0,IF($F82=4,0,IF($F82=3,0,IF(OR(42&gt;$R82,CH82&lt;=$I82),CH82,CH82-MIN(INT(ROUND(IF($F82=1,$C82*$J82,IF(GG82&gt;0,GG82*$K82,CH82*$J82))*IF(42=$R82,$S82,12)/12,6)+$B$4),CH82-$I82)))))</f>
        <v/>
      </c>
      <c r="CJ82" s="68">
        <f>IF($U82=0,0,IF($F82=4,0,IF($F82=3,0,IF(OR(43&gt;$R82,CI82&lt;=$I82),CI82,CI82-MIN(INT(ROUND(IF($F82=1,$C82*$J82,IF(GH82&gt;0,GH82*$K82,CI82*$J82))*IF(43=$R82,$S82,12)/12,6)+$B$4),CI82-$I82)))))</f>
        <v/>
      </c>
      <c r="CK82" s="68">
        <f>IF($U82=0,0,IF($F82=4,0,IF($F82=3,0,IF(OR(44&gt;$R82,CJ82&lt;=$I82),CJ82,CJ82-MIN(INT(ROUND(IF($F82=1,$C82*$J82,IF(GI82&gt;0,GI82*$K82,CJ82*$J82))*IF(44=$R82,$S82,12)/12,6)+$B$4),CJ82-$I82)))))</f>
        <v/>
      </c>
      <c r="CL82" s="68">
        <f>IF($U82=0,0,IF($F82=4,0,IF($F82=3,0,IF(OR(45&gt;$R82,CK82&lt;=$I82),CK82,CK82-MIN(INT(ROUND(IF($F82=1,$C82*$J82,IF(GJ82&gt;0,GJ82*$K82,CK82*$J82))*IF(45=$R82,$S82,12)/12,6)+$B$4),CK82-$I82)))))</f>
        <v/>
      </c>
      <c r="CM82" s="68">
        <f>IF($U82=0,0,IF($F82=4,0,IF($F82=3,0,IF(OR(46&gt;$R82,CL82&lt;=$I82),CL82,CL82-MIN(INT(ROUND(IF($F82=1,$C82*$J82,IF(GK82&gt;0,GK82*$K82,CL82*$J82))*IF(46=$R82,$S82,12)/12,6)+$B$4),CL82-$I82)))))</f>
        <v/>
      </c>
      <c r="CN82" s="68">
        <f>IF($U82=0,0,IF($F82=4,0,IF($F82=3,0,IF(OR(47&gt;$R82,CM82&lt;=$I82),CM82,CM82-MIN(INT(ROUND(IF($F82=1,$C82*$J82,IF(GL82&gt;0,GL82*$K82,CM82*$J82))*IF(47=$R82,$S82,12)/12,6)+$B$4),CM82-$I82)))))</f>
        <v/>
      </c>
      <c r="CO82" s="68">
        <f>IF($U82=0,0,IF($F82=4,0,IF($F82=3,0,IF(OR(48&gt;$R82,CN82&lt;=$I82),CN82,CN82-MIN(INT(ROUND(IF($F82=1,$C82*$J82,IF(GM82&gt;0,GM82*$K82,CN82*$J82))*IF(48=$R82,$S82,12)/12,6)+$B$4),CN82-$I82)))))</f>
        <v/>
      </c>
      <c r="CP82" s="68">
        <f>IF($U82=0,0,IF($F82=4,0,IF($F82=3,0,IF(OR(49&gt;$R82,CO82&lt;=$I82),CO82,CO82-MIN(INT(ROUND(IF($F82=1,$C82*$J82,IF(GN82&gt;0,GN82*$K82,CO82*$J82))*IF(49=$R82,$S82,12)/12,6)+$B$4),CO82-$I82)))))</f>
        <v/>
      </c>
      <c r="CQ82" s="68">
        <f>IF($U82=0,0,IF($F82=4,0,IF($F82=3,0,IF(OR(50&gt;$R82,CP82&lt;=$I82),CP82,CP82-MIN(INT(ROUND(IF($F82=1,$C82*$J82,IF(GO82&gt;0,GO82*$K82,CP82*$J82))*IF(50=$R82,$S82,12)/12,6)+$B$4),CP82-$I82)))))</f>
        <v/>
      </c>
      <c r="CR82" s="68">
        <f>IF($U82=0,0,IF($F82=4,0,IF($F82=3,0,IF(OR(51&gt;$R82,CQ82&lt;=$I82),CQ82,CQ82-MIN(INT(ROUND(IF($F82=1,$C82*$J82,IF(GP82&gt;0,GP82*$K82,CQ82*$J82))*IF(51=$R82,$S82,12)/12,6)+$B$4),CQ82-$I82)))))</f>
        <v/>
      </c>
      <c r="CS82" s="68">
        <f>IF($U82=0,0,IF($F82=4,0,IF($F82=3,0,IF(OR(52&gt;$R82,CR82&lt;=$I82),CR82,CR82-MIN(INT(ROUND(IF($F82=1,$C82*$J82,IF(GQ82&gt;0,GQ82*$K82,CR82*$J82))*IF(52=$R82,$S82,12)/12,6)+$B$4),CR82-$I82)))))</f>
        <v/>
      </c>
      <c r="CT82" s="68">
        <f>IF($U82=0,0,IF($F82=4,0,IF($F82=3,0,IF(OR(53&gt;$R82,CS82&lt;=$I82),CS82,CS82-MIN(INT(ROUND(IF($F82=1,$C82*$J82,IF(GR82&gt;0,GR82*$K82,CS82*$J82))*IF(53=$R82,$S82,12)/12,6)+$B$4),CS82-$I82)))))</f>
        <v/>
      </c>
      <c r="CU82" s="68">
        <f>IF($U82=0,0,IF($F82=4,0,IF($F82=3,0,IF(OR(54&gt;$R82,CT82&lt;=$I82),CT82,CT82-MIN(INT(ROUND(IF($F82=1,$C82*$J82,IF(GS82&gt;0,GS82*$K82,CT82*$J82))*IF(54=$R82,$S82,12)/12,6)+$B$4),CT82-$I82)))))</f>
        <v/>
      </c>
      <c r="CV82" s="68">
        <f>IF($U82=0,0,IF($F82=4,0,IF($F82=3,0,IF(OR(55&gt;$R82,CU82&lt;=$I82),CU82,CU82-MIN(INT(ROUND(IF($F82=1,$C82*$J82,IF(GT82&gt;0,GT82*$K82,CU82*$J82))*IF(55=$R82,$S82,12)/12,6)+$B$4),CU82-$I82)))))</f>
        <v/>
      </c>
      <c r="CW82" s="68">
        <f>IF($U82=0,0,IF($F82=4,0,IF($F82=3,0,IF(OR(56&gt;$R82,CV82&lt;=$I82),CV82,CV82-MIN(INT(ROUND(IF($F82=1,$C82*$J82,IF(GU82&gt;0,GU82*$K82,CV82*$J82))*IF(56=$R82,$S82,12)/12,6)+$B$4),CV82-$I82)))))</f>
        <v/>
      </c>
      <c r="CX82" s="68">
        <f>IF($U82=0,0,IF($F82=4,0,IF($F82=3,0,IF(OR(57&gt;$R82,CW82&lt;=$I82),CW82,CW82-MIN(INT(ROUND(IF($F82=1,$C82*$J82,IF(GV82&gt;0,GV82*$K82,CW82*$J82))*IF(57=$R82,$S82,12)/12,6)+$B$4),CW82-$I82)))))</f>
        <v/>
      </c>
      <c r="CY82" s="68">
        <f>IF($U82=0,0,IF($F82=4,0,IF($F82=3,0,IF(OR(58&gt;$R82,CX82&lt;=$I82),CX82,CX82-MIN(INT(ROUND(IF($F82=1,$C82*$J82,IF(GW82&gt;0,GW82*$K82,CX82*$J82))*IF(58=$R82,$S82,12)/12,6)+$B$4),CX82-$I82)))))</f>
        <v/>
      </c>
      <c r="CZ82" s="68">
        <f>IF($U82=0,0,IF($F82=4,0,IF($F82=3,0,IF(OR(59&gt;$R82,CY82&lt;=$I82),CY82,CY82-MIN(INT(ROUND(IF($F82=1,$C82*$J82,IF(GX82&gt;0,GX82*$K82,CY82*$J82))*IF(59=$R82,$S82,12)/12,6)+$B$4),CY82-$I82)))))</f>
        <v/>
      </c>
      <c r="DA82" s="68">
        <f>IF($U82=0,0,IF($F82=4,0,IF($F82=3,0,IF(OR(60&gt;$R82,CZ82&lt;=$I82),CZ82,CZ82-MIN(INT(ROUND(IF($F82=1,$C82*$J82,IF(GY82&gt;0,GY82*$K82,CZ82*$J82))*IF(60=$R82,$S82,12)/12,6)+$B$4),CZ82-$I82)))))</f>
        <v/>
      </c>
      <c r="DB82" s="68">
        <f>IF($U82=0,0,IF($F82=4,0,IF($F82=3,0,IF(OR(61&gt;$R82,DA82&lt;=$I82),DA82,DA82-MIN(INT(ROUND(IF($F82=1,$C82*$J82,IF(GZ82&gt;0,GZ82*$K82,DA82*$J82))*IF(61=$R82,$S82,12)/12,6)+$B$4),DA82-$I82)))))</f>
        <v/>
      </c>
      <c r="DC82" s="68">
        <f>IF($U82=0,0,IF($F82=4,0,IF($F82=3,0,IF(OR(62&gt;$R82,DB82&lt;=$I82),DB82,DB82-MIN(INT(ROUND(IF($F82=1,$C82*$J82,IF(HA82&gt;0,HA82*$K82,DB82*$J82))*IF(62=$R82,$S82,12)/12,6)+$B$4),DB82-$I82)))))</f>
        <v/>
      </c>
      <c r="DD82" s="68">
        <f>IF($U82=0,0,IF($F82=4,0,IF($F82=3,0,IF(OR(63&gt;$R82,DC82&lt;=$I82),DC82,DC82-MIN(INT(ROUND(IF($F82=1,$C82*$J82,IF(HB82&gt;0,HB82*$K82,DC82*$J82))*IF(63=$R82,$S82,12)/12,6)+$B$4),DC82-$I82)))))</f>
        <v/>
      </c>
      <c r="DE82" s="68">
        <f>IF($U82=0,0,IF($F82=4,0,IF($F82=3,0,IF(OR(64&gt;$R82,DD82&lt;=$I82),DD82,DD82-MIN(INT(ROUND(IF($F82=1,$C82*$J82,IF(HC82&gt;0,HC82*$K82,DD82*$J82))*IF(64=$R82,$S82,12)/12,6)+$B$4),DD82-$I82)))))</f>
        <v/>
      </c>
      <c r="DF82" s="68">
        <f>IF($U82=0,0,IF($F82=4,0,IF($F82=3,0,IF(OR(65&gt;$R82,DE82&lt;=$I82),DE82,DE82-MIN(INT(ROUND(IF($F82=1,$C82*$J82,IF(HD82&gt;0,HD82*$K82,DE82*$J82))*IF(65=$R82,$S82,12)/12,6)+$B$4),DE82-$I82)))))</f>
        <v/>
      </c>
      <c r="DG82" s="68">
        <f>IF($U82=0,0,IF($F82=4,0,IF($F82=3,0,IF(OR(66&gt;$R82,DF82&lt;=$I82),DF82,DF82-MIN(INT(ROUND(IF($F82=1,$C82*$J82,IF(HE82&gt;0,HE82*$K82,DF82*$J82))*IF(66=$R82,$S82,12)/12,6)+$B$4),DF82-$I82)))))</f>
        <v/>
      </c>
      <c r="DH82" s="68">
        <f>IF($U82=0,0,IF($F82=4,0,IF($F82=3,0,IF(OR(67&gt;$R82,DG82&lt;=$I82),DG82,DG82-MIN(INT(ROUND(IF($F82=1,$C82*$J82,IF(HF82&gt;0,HF82*$K82,DG82*$J82))*IF(67=$R82,$S82,12)/12,6)+$B$4),DG82-$I82)))))</f>
        <v/>
      </c>
      <c r="DI82" s="68">
        <f>IF($U82=0,0,IF($F82=4,0,IF($F82=3,0,IF(OR(68&gt;$R82,DH82&lt;=$I82),DH82,DH82-MIN(INT(ROUND(IF($F82=1,$C82*$J82,IF(HG82&gt;0,HG82*$K82,DH82*$J82))*IF(68=$R82,$S82,12)/12,6)+$B$4),DH82-$I82)))))</f>
        <v/>
      </c>
      <c r="DJ82" s="68">
        <f>IF($U82=0,0,IF($F82=4,0,IF($F82=3,0,IF(OR(69&gt;$R82,DI82&lt;=$I82),DI82,DI82-MIN(INT(ROUND(IF($F82=1,$C82*$J82,IF(HH82&gt;0,HH82*$K82,DI82*$J82))*IF(69=$R82,$S82,12)/12,6)+$B$4),DI82-$I82)))))</f>
        <v/>
      </c>
      <c r="DK82" s="68">
        <f>IF($U82=0,0,IF($F82=4,0,IF($F82=3,0,IF(OR(70&gt;$R82,DJ82&lt;=$I82),DJ82,DJ82-MIN(INT(ROUND(IF($F82=1,$C82*$J82,IF(HI82&gt;0,HI82*$K82,DJ82*$J82))*IF(70=$R82,$S82,12)/12,6)+$B$4),DJ82-$I82)))))</f>
        <v/>
      </c>
      <c r="DL82" s="68">
        <f>IF($U82=0,0,IF($F82=4,0,IF($F82=3,0,IF(OR(71&gt;$R82,DK82&lt;=$I82),DK82,DK82-MIN(INT(ROUND(IF($F82=1,$C82*$J82,IF(HJ82&gt;0,HJ82*$K82,DK82*$J82))*IF(71=$R82,$S82,12)/12,6)+$B$4),DK82-$I82)))))</f>
        <v/>
      </c>
      <c r="DM82" s="68">
        <f>IF($U82=0,0,IF($F82=4,0,IF($F82=3,0,IF(OR(72&gt;$R82,DL82&lt;=$I82),DL82,DL82-MIN(INT(ROUND(IF($F82=1,$C82*$J82,IF(HK82&gt;0,HK82*$K82,DL82*$J82))*IF(72=$R82,$S82,12)/12,6)+$B$4),DL82-$I82)))))</f>
        <v/>
      </c>
      <c r="DN82" s="68">
        <f>IF($U82=0,0,IF($F82=4,0,IF($F82=3,0,IF(OR(73&gt;$R82,DM82&lt;=$I82),DM82,DM82-MIN(INT(ROUND(IF($F82=1,$C82*$J82,IF(HL82&gt;0,HL82*$K82,DM82*$J82))*IF(73=$R82,$S82,12)/12,6)+$B$4),DM82-$I82)))))</f>
        <v/>
      </c>
      <c r="DO82" s="68">
        <f>IF($U82=0,0,IF($F82=4,0,IF($F82=3,0,IF(OR(74&gt;$R82,DN82&lt;=$I82),DN82,DN82-MIN(INT(ROUND(IF($F82=1,$C82*$J82,IF(HM82&gt;0,HM82*$K82,DN82*$J82))*IF(74=$R82,$S82,12)/12,6)+$B$4),DN82-$I82)))))</f>
        <v/>
      </c>
      <c r="DP82" s="68">
        <f>IF($U82=0,0,IF($F82=4,0,IF($F82=3,0,IF(OR(75&gt;$R82,DO82&lt;=$I82),DO82,DO82-MIN(INT(ROUND(IF($F82=1,$C82*$J82,IF(HN82&gt;0,HN82*$K82,DO82*$J82))*IF(75=$R82,$S82,12)/12,6)+$B$4),DO82-$I82)))))</f>
        <v/>
      </c>
      <c r="DQ82" s="68">
        <f>IF($U82=0,0,IF($F82=4,0,IF($F82=3,0,IF(OR(76&gt;$R82,DP82&lt;=$I82),DP82,DP82-MIN(INT(ROUND(IF($F82=1,$C82*$J82,IF(HO82&gt;0,HO82*$K82,DP82*$J82))*IF(76=$R82,$S82,12)/12,6)+$B$4),DP82-$I82)))))</f>
        <v/>
      </c>
      <c r="DR82" s="68">
        <f>IF($U82=0,0,IF($F82=4,0,IF($F82=3,0,IF(OR(77&gt;$R82,DQ82&lt;=$I82),DQ82,DQ82-MIN(INT(ROUND(IF($F82=1,$C82*$J82,IF(HP82&gt;0,HP82*$K82,DQ82*$J82))*IF(77=$R82,$S82,12)/12,6)+$B$4),DQ82-$I82)))))</f>
        <v/>
      </c>
      <c r="DS82" s="68">
        <f>IF($U82=0,0,IF($F82=4,0,IF($F82=3,0,IF(OR(78&gt;$R82,DR82&lt;=$I82),DR82,DR82-MIN(INT(ROUND(IF($F82=1,$C82*$J82,IF(HQ82&gt;0,HQ82*$K82,DR82*$J82))*IF(78=$R82,$S82,12)/12,6)+$B$4),DR82-$I82)))))</f>
        <v/>
      </c>
      <c r="DT82" s="68">
        <f>IF($U82=0,0,IF($F82=4,0,IF($F82=3,0,IF(OR(79&gt;$R82,DS82&lt;=$I82),DS82,DS82-MIN(INT(ROUND(IF($F82=1,$C82*$J82,IF(HR82&gt;0,HR82*$K82,DS82*$J82))*IF(79=$R82,$S82,12)/12,6)+$B$4),DS82-$I82)))))</f>
        <v/>
      </c>
      <c r="DU82" s="68">
        <f>IF($U82=0,0,IF($F82=4,0,IF($F82=3,0,IF(OR(80&gt;$R82,DT82&lt;=$I82),DT82,DT82-MIN(INT(ROUND(IF($F82=1,$C82*$J82,IF(HS82&gt;0,HS82*$K82,DT82*$J82))*IF(80=$R82,$S82,12)/12,6)+$B$4),DT82-$I82)))))</f>
        <v/>
      </c>
      <c r="DV82" s="68">
        <f>IF($U82=0,0,IF($F82=4,0,IF($F82=3,0,IF(OR(81&gt;$R82,DU82&lt;=$I82),DU82,DU82-MIN(INT(ROUND(IF($F82=1,$C82*$J82,IF(HT82&gt;0,HT82*$K82,DU82*$J82))*IF(81=$R82,$S82,12)/12,6)+$B$4),DU82-$I82)))))</f>
        <v/>
      </c>
      <c r="DW82" s="68">
        <f>IF($U82=0,0,IF($F82=4,0,IF($F82=3,0,IF(OR(82&gt;$R82,DV82&lt;=$I82),DV82,DV82-MIN(INT(ROUND(IF($F82=1,$C82*$J82,IF(HU82&gt;0,HU82*$K82,DV82*$J82))*IF(82=$R82,$S82,12)/12,6)+$B$4),DV82-$I82)))))</f>
        <v/>
      </c>
      <c r="DX82" s="68">
        <f>IF($U82=0,0,IF($F82=4,0,IF($F82=3,0,IF(OR(83&gt;$R82,DW82&lt;=$I82),DW82,DW82-MIN(INT(ROUND(IF($F82=1,$C82*$J82,IF(HV82&gt;0,HV82*$K82,DW82*$J82))*IF(83=$R82,$S82,12)/12,6)+$B$4),DW82-$I82)))))</f>
        <v/>
      </c>
      <c r="DY82" s="68">
        <f>IF($U82=0,0,IF($F82=4,0,IF($F82=3,0,IF(OR(84&gt;$R82,DX82&lt;=$I82),DX82,DX82-MIN(INT(ROUND(IF($F82=1,$C82*$J82,IF(HW82&gt;0,HW82*$K82,DX82*$J82))*IF(84=$R82,$S82,12)/12,6)+$B$4),DX82-$I82)))))</f>
        <v/>
      </c>
      <c r="DZ82" s="68">
        <f>IF($U82=0,0,IF($F82=4,0,IF($F82=3,0,IF(OR(85&gt;$R82,DY82&lt;=$I82),DY82,DY82-MIN(INT(ROUND(IF($F82=1,$C82*$J82,IF(HX82&gt;0,HX82*$K82,DY82*$J82))*IF(85=$R82,$S82,12)/12,6)+$B$4),DY82-$I82)))))</f>
        <v/>
      </c>
      <c r="EA82" s="68">
        <f>IF($U82=0,0,IF($F82=4,0,IF($F82=3,0,IF(OR(86&gt;$R82,DZ82&lt;=$I82),DZ82,DZ82-MIN(INT(ROUND(IF($F82=1,$C82*$J82,IF(HY82&gt;0,HY82*$K82,DZ82*$J82))*IF(86=$R82,$S82,12)/12,6)+$B$4),DZ82-$I82)))))</f>
        <v/>
      </c>
      <c r="EB82" s="68">
        <f>IF($U82=0,0,IF($F82=4,0,IF($F82=3,0,IF(OR(87&gt;$R82,EA82&lt;=$I82),EA82,EA82-MIN(INT(ROUND(IF($F82=1,$C82*$J82,IF(HZ82&gt;0,HZ82*$K82,EA82*$J82))*IF(87=$R82,$S82,12)/12,6)+$B$4),EA82-$I82)))))</f>
        <v/>
      </c>
      <c r="EC82" s="68">
        <f>IF($U82=0,0,IF($F82=4,0,IF($F82=3,0,IF(OR(88&gt;$R82,EB82&lt;=$I82),EB82,EB82-MIN(INT(ROUND(IF($F82=1,$C82*$J82,IF(IA82&gt;0,IA82*$K82,EB82*$J82))*IF(88=$R82,$S82,12)/12,6)+$B$4),EB82-$I82)))))</f>
        <v/>
      </c>
      <c r="ED82" s="68">
        <f>IF($U82=0,0,IF($F82=4,0,IF($F82=3,0,IF(OR(89&gt;$R82,EC82&lt;=$I82),EC82,EC82-MIN(INT(ROUND(IF($F82=1,$C82*$J82,IF(IB82&gt;0,IB82*$K82,EC82*$J82))*IF(89=$R82,$S82,12)/12,6)+$B$4),EC82-$I82)))))</f>
        <v/>
      </c>
      <c r="EE82" s="68">
        <f>IF($U82=0,0,IF($F82=4,0,IF($F82=3,0,IF(OR(90&gt;$R82,ED82&lt;=$I82),ED82,ED82-MIN(INT(ROUND(IF($F82=1,$C82*$J82,IF(IC82&gt;0,IC82*$K82,ED82*$J82))*IF(90=$R82,$S82,12)/12,6)+$B$4),ED82-$I82)))))</f>
        <v/>
      </c>
      <c r="EF82" s="68">
        <f>IF($U82=0,0,IF($F82=4,0,IF($F82=3,0,IF(OR(91&gt;$R82,EE82&lt;=$I82),EE82,EE82-MIN(INT(ROUND(IF($F82=1,$C82*$J82,IF(ID82&gt;0,ID82*$K82,EE82*$J82))*IF(91=$R82,$S82,12)/12,6)+$B$4),EE82-$I82)))))</f>
        <v/>
      </c>
      <c r="EG82" s="68">
        <f>IF($U82=0,0,IF($F82=4,0,IF($F82=3,0,IF(OR(92&gt;$R82,EF82&lt;=$I82),EF82,EF82-MIN(INT(ROUND(IF($F82=1,$C82*$J82,IF(IE82&gt;0,IE82*$K82,EF82*$J82))*IF(92=$R82,$S82,12)/12,6)+$B$4),EF82-$I82)))))</f>
        <v/>
      </c>
      <c r="EH82" s="68">
        <f>IF($U82=0,0,IF($F82=4,0,IF($F82=3,0,IF(OR(93&gt;$R82,EG82&lt;=$I82),EG82,EG82-MIN(INT(ROUND(IF($F82=1,$C82*$J82,IF(IF82&gt;0,IF82*$K82,EG82*$J82))*IF(93=$R82,$S82,12)/12,6)+$B$4),EG82-$I82)))))</f>
        <v/>
      </c>
      <c r="EI82" s="68">
        <f>IF($U82=0,0,IF($F82=4,0,IF($F82=3,0,IF(OR(94&gt;$R82,EH82&lt;=$I82),EH82,EH82-MIN(INT(ROUND(IF($F82=1,$C82*$J82,IF(IG82&gt;0,IG82*$K82,EH82*$J82))*IF(94=$R82,$S82,12)/12,6)+$B$4),EH82-$I82)))))</f>
        <v/>
      </c>
      <c r="EJ82" s="68">
        <f>IF($U82=0,0,IF($F82=4,0,IF($F82=3,0,IF(OR(95&gt;$R82,EI82&lt;=$I82),EI82,EI82-MIN(INT(ROUND(IF($F82=1,$C82*$J82,IF(IH82&gt;0,IH82*$K82,EI82*$J82))*IF(95=$R82,$S82,12)/12,6)+$B$4),EI82-$I82)))))</f>
        <v/>
      </c>
      <c r="EK82" s="68">
        <f>IF($U82=0,0,IF($F82=4,0,IF($F82=3,0,IF(OR(96&gt;$R82,EJ82&lt;=$I82),EJ82,EJ82-MIN(INT(ROUND(IF($F82=1,$C82*$J82,IF(II82&gt;0,II82*$K82,EJ82*$J82))*IF(96=$R82,$S82,12)/12,6)+$B$4),EJ82-$I82)))))</f>
        <v/>
      </c>
      <c r="EL82" s="68">
        <f>IF($U82=0,0,IF($F82=4,0,IF($F82=3,0,IF(OR(97&gt;$R82,EK82&lt;=$I82),EK82,EK82-MIN(INT(ROUND(IF($F82=1,$C82*$J82,IF(IJ82&gt;0,IJ82*$K82,EK82*$J82))*IF(97=$R82,$S82,12)/12,6)+$B$4),EK82-$I82)))))</f>
        <v/>
      </c>
      <c r="EM82" s="68">
        <f>IF($U82=0,0,IF($F82=4,0,IF($F82=3,0,IF(OR(98&gt;$R82,EL82&lt;=$I82),EL82,EL82-MIN(INT(ROUND(IF($F82=1,$C82*$J82,IF(IK82&gt;0,IK82*$K82,EL82*$J82))*IF(98=$R82,$S82,12)/12,6)+$B$4),EL82-$I82)))))</f>
        <v/>
      </c>
      <c r="EN82" s="68">
        <f>IF($U82=0,0,IF($F82=4,0,IF($F82=3,0,IF(OR(99&gt;$R82,EM82&lt;=$I82),EM82,EM82-MIN(INT(ROUND(IF($F82=1,$C82*$J82,IF(IL82&gt;0,IL82*$K82,EM82*$J82))*IF(99=$R82,$S82,12)/12,6)+$B$4),EM82-$I82)))))</f>
        <v/>
      </c>
      <c r="EO82" s="68">
        <f>IF($U82=0,0,IF($F82=4,0,IF($F82=3,0,IF(OR(100&gt;$R82,EN82&lt;=$I82),EN82,EN82-MIN(INT(ROUND(IF($F82=1,$C82*$J82,IF(IM82&gt;0,IM82*$K82,EN82*$J82))*IF(100=$R82,$S82,12)/12,6)+$B$4),EN82-$I82)))))</f>
        <v/>
      </c>
      <c r="EP82" s="68">
        <f>IF($U82=0,0,IF($F82=4,0,IF($F82=3,0,IF(OR(101&gt;$R82,EO82&lt;=$I82),EO82,EO82-MIN(INT(ROUND(IF($F82=1,$C82*$J82,IF(IN82&gt;0,IN82*$K82,EO82*$J82))*IF(101=$R82,$S82,12)/12,6)+$B$4),EO82-$I82)))))</f>
        <v/>
      </c>
      <c r="EQ82" s="68" t="n"/>
      <c r="ER82" s="68">
        <f>IF(OR($U82=0,$F82&lt;&gt;2),0,IF(ROUND(AS82*$J82,6)&lt;ROUND($M82,6),AS82,0))</f>
        <v/>
      </c>
      <c r="ES82" s="68">
        <f>IF(OR($U82=0,$F82&lt;&gt;2),0,IF(ER82&gt;0,ER82,IF(ROUND(AT82*$J82,6)&lt;ROUND($M82,6),AT82,0)))</f>
        <v/>
      </c>
      <c r="ET82" s="68">
        <f>IF(OR($U82=0,$F82&lt;&gt;2),0,IF(ES82&gt;0,ES82,IF(ROUND(AU82*$J82,6)&lt;ROUND($M82,6),AU82,0)))</f>
        <v/>
      </c>
      <c r="EU82" s="68">
        <f>IF(OR($U82=0,$F82&lt;&gt;2),0,IF(ET82&gt;0,ET82,IF(ROUND(AV82*$J82,6)&lt;ROUND($M82,6),AV82,0)))</f>
        <v/>
      </c>
      <c r="EV82" s="68">
        <f>IF(OR($U82=0,$F82&lt;&gt;2),0,IF(EU82&gt;0,EU82,IF(ROUND(AW82*$J82,6)&lt;ROUND($M82,6),AW82,0)))</f>
        <v/>
      </c>
      <c r="EW82" s="68">
        <f>IF(OR($U82=0,$F82&lt;&gt;2),0,IF(EV82&gt;0,EV82,IF(ROUND(AX82*$J82,6)&lt;ROUND($M82,6),AX82,0)))</f>
        <v/>
      </c>
      <c r="EX82" s="68">
        <f>IF(OR($U82=0,$F82&lt;&gt;2),0,IF(EW82&gt;0,EW82,IF(ROUND(AY82*$J82,6)&lt;ROUND($M82,6),AY82,0)))</f>
        <v/>
      </c>
      <c r="EY82" s="68">
        <f>IF(OR($U82=0,$F82&lt;&gt;2),0,IF(EX82&gt;0,EX82,IF(ROUND(AZ82*$J82,6)&lt;ROUND($M82,6),AZ82,0)))</f>
        <v/>
      </c>
      <c r="EZ82" s="68">
        <f>IF(OR($U82=0,$F82&lt;&gt;2),0,IF(EY82&gt;0,EY82,IF(ROUND(BA82*$J82,6)&lt;ROUND($M82,6),BA82,0)))</f>
        <v/>
      </c>
      <c r="FA82" s="68">
        <f>IF(OR($U82=0,$F82&lt;&gt;2),0,IF(EZ82&gt;0,EZ82,IF(ROUND(BB82*$J82,6)&lt;ROUND($M82,6),BB82,0)))</f>
        <v/>
      </c>
      <c r="FB82" s="68">
        <f>IF(OR($U82=0,$F82&lt;&gt;2),0,IF(FA82&gt;0,FA82,IF(ROUND(BC82*$J82,6)&lt;ROUND($M82,6),BC82,0)))</f>
        <v/>
      </c>
      <c r="FC82" s="68">
        <f>IF(OR($U82=0,$F82&lt;&gt;2),0,IF(FB82&gt;0,FB82,IF(ROUND(BD82*$J82,6)&lt;ROUND($M82,6),BD82,0)))</f>
        <v/>
      </c>
      <c r="FD82" s="68">
        <f>IF(OR($U82=0,$F82&lt;&gt;2),0,IF(FC82&gt;0,FC82,IF(ROUND(BE82*$J82,6)&lt;ROUND($M82,6),BE82,0)))</f>
        <v/>
      </c>
      <c r="FE82" s="68">
        <f>IF(OR($U82=0,$F82&lt;&gt;2),0,IF(FD82&gt;0,FD82,IF(ROUND(BF82*$J82,6)&lt;ROUND($M82,6),BF82,0)))</f>
        <v/>
      </c>
      <c r="FF82" s="68">
        <f>IF(OR($U82=0,$F82&lt;&gt;2),0,IF(FE82&gt;0,FE82,IF(ROUND(BG82*$J82,6)&lt;ROUND($M82,6),BG82,0)))</f>
        <v/>
      </c>
      <c r="FG82" s="68">
        <f>IF(OR($U82=0,$F82&lt;&gt;2),0,IF(FF82&gt;0,FF82,IF(ROUND(BH82*$J82,6)&lt;ROUND($M82,6),BH82,0)))</f>
        <v/>
      </c>
      <c r="FH82" s="68">
        <f>IF(OR($U82=0,$F82&lt;&gt;2),0,IF(FG82&gt;0,FG82,IF(ROUND(BI82*$J82,6)&lt;ROUND($M82,6),BI82,0)))</f>
        <v/>
      </c>
      <c r="FI82" s="68">
        <f>IF(OR($U82=0,$F82&lt;&gt;2),0,IF(FH82&gt;0,FH82,IF(ROUND(BJ82*$J82,6)&lt;ROUND($M82,6),BJ82,0)))</f>
        <v/>
      </c>
      <c r="FJ82" s="68">
        <f>IF(OR($U82=0,$F82&lt;&gt;2),0,IF(FI82&gt;0,FI82,IF(ROUND(BK82*$J82,6)&lt;ROUND($M82,6),BK82,0)))</f>
        <v/>
      </c>
      <c r="FK82" s="68">
        <f>IF(OR($U82=0,$F82&lt;&gt;2),0,IF(FJ82&gt;0,FJ82,IF(ROUND(BL82*$J82,6)&lt;ROUND($M82,6),BL82,0)))</f>
        <v/>
      </c>
      <c r="FL82" s="68">
        <f>IF(OR($U82=0,$F82&lt;&gt;2),0,IF(FK82&gt;0,FK82,IF(ROUND(BM82*$J82,6)&lt;ROUND($M82,6),BM82,0)))</f>
        <v/>
      </c>
      <c r="FM82" s="68">
        <f>IF(OR($U82=0,$F82&lt;&gt;2),0,IF(FL82&gt;0,FL82,IF(ROUND(BN82*$J82,6)&lt;ROUND($M82,6),BN82,0)))</f>
        <v/>
      </c>
      <c r="FN82" s="68">
        <f>IF(OR($U82=0,$F82&lt;&gt;2),0,IF(FM82&gt;0,FM82,IF(ROUND(BO82*$J82,6)&lt;ROUND($M82,6),BO82,0)))</f>
        <v/>
      </c>
      <c r="FO82" s="68">
        <f>IF(OR($U82=0,$F82&lt;&gt;2),0,IF(FN82&gt;0,FN82,IF(ROUND(BP82*$J82,6)&lt;ROUND($M82,6),BP82,0)))</f>
        <v/>
      </c>
      <c r="FP82" s="68">
        <f>IF(OR($U82=0,$F82&lt;&gt;2),0,IF(FO82&gt;0,FO82,IF(ROUND(BQ82*$J82,6)&lt;ROUND($M82,6),BQ82,0)))</f>
        <v/>
      </c>
      <c r="FQ82" s="68">
        <f>IF(OR($U82=0,$F82&lt;&gt;2),0,IF(FP82&gt;0,FP82,IF(ROUND(BR82*$J82,6)&lt;ROUND($M82,6),BR82,0)))</f>
        <v/>
      </c>
      <c r="FR82" s="68">
        <f>IF(OR($U82=0,$F82&lt;&gt;2),0,IF(FQ82&gt;0,FQ82,IF(ROUND(BS82*$J82,6)&lt;ROUND($M82,6),BS82,0)))</f>
        <v/>
      </c>
      <c r="FS82" s="68">
        <f>IF(OR($U82=0,$F82&lt;&gt;2),0,IF(FR82&gt;0,FR82,IF(ROUND(BT82*$J82,6)&lt;ROUND($M82,6),BT82,0)))</f>
        <v/>
      </c>
      <c r="FT82" s="68">
        <f>IF(OR($U82=0,$F82&lt;&gt;2),0,IF(FS82&gt;0,FS82,IF(ROUND(BU82*$J82,6)&lt;ROUND($M82,6),BU82,0)))</f>
        <v/>
      </c>
      <c r="FU82" s="68">
        <f>IF(OR($U82=0,$F82&lt;&gt;2),0,IF(FT82&gt;0,FT82,IF(ROUND(BV82*$J82,6)&lt;ROUND($M82,6),BV82,0)))</f>
        <v/>
      </c>
      <c r="FV82" s="68">
        <f>IF(OR($U82=0,$F82&lt;&gt;2),0,IF(FU82&gt;0,FU82,IF(ROUND(BW82*$J82,6)&lt;ROUND($M82,6),BW82,0)))</f>
        <v/>
      </c>
      <c r="FW82" s="68">
        <f>IF(OR($U82=0,$F82&lt;&gt;2),0,IF(FV82&gt;0,FV82,IF(ROUND(BX82*$J82,6)&lt;ROUND($M82,6),BX82,0)))</f>
        <v/>
      </c>
      <c r="FX82" s="68">
        <f>IF(OR($U82=0,$F82&lt;&gt;2),0,IF(FW82&gt;0,FW82,IF(ROUND(BY82*$J82,6)&lt;ROUND($M82,6),BY82,0)))</f>
        <v/>
      </c>
      <c r="FY82" s="68">
        <f>IF(OR($U82=0,$F82&lt;&gt;2),0,IF(FX82&gt;0,FX82,IF(ROUND(BZ82*$J82,6)&lt;ROUND($M82,6),BZ82,0)))</f>
        <v/>
      </c>
      <c r="FZ82" s="68">
        <f>IF(OR($U82=0,$F82&lt;&gt;2),0,IF(FY82&gt;0,FY82,IF(ROUND(CA82*$J82,6)&lt;ROUND($M82,6),CA82,0)))</f>
        <v/>
      </c>
      <c r="GA82" s="68">
        <f>IF(OR($U82=0,$F82&lt;&gt;2),0,IF(FZ82&gt;0,FZ82,IF(ROUND(CB82*$J82,6)&lt;ROUND($M82,6),CB82,0)))</f>
        <v/>
      </c>
      <c r="GB82" s="68">
        <f>IF(OR($U82=0,$F82&lt;&gt;2),0,IF(GA82&gt;0,GA82,IF(ROUND(CC82*$J82,6)&lt;ROUND($M82,6),CC82,0)))</f>
        <v/>
      </c>
      <c r="GC82" s="68">
        <f>IF(OR($U82=0,$F82&lt;&gt;2),0,IF(GB82&gt;0,GB82,IF(ROUND(CD82*$J82,6)&lt;ROUND($M82,6),CD82,0)))</f>
        <v/>
      </c>
      <c r="GD82" s="68">
        <f>IF(OR($U82=0,$F82&lt;&gt;2),0,IF(GC82&gt;0,GC82,IF(ROUND(CE82*$J82,6)&lt;ROUND($M82,6),CE82,0)))</f>
        <v/>
      </c>
      <c r="GE82" s="68">
        <f>IF(OR($U82=0,$F82&lt;&gt;2),0,IF(GD82&gt;0,GD82,IF(ROUND(CF82*$J82,6)&lt;ROUND($M82,6),CF82,0)))</f>
        <v/>
      </c>
      <c r="GF82" s="68">
        <f>IF(OR($U82=0,$F82&lt;&gt;2),0,IF(GE82&gt;0,GE82,IF(ROUND(CG82*$J82,6)&lt;ROUND($M82,6),CG82,0)))</f>
        <v/>
      </c>
      <c r="GG82" s="68">
        <f>IF(OR($U82=0,$F82&lt;&gt;2),0,IF(GF82&gt;0,GF82,IF(ROUND(CH82*$J82,6)&lt;ROUND($M82,6),CH82,0)))</f>
        <v/>
      </c>
      <c r="GH82" s="68">
        <f>IF(OR($U82=0,$F82&lt;&gt;2),0,IF(GG82&gt;0,GG82,IF(ROUND(CI82*$J82,6)&lt;ROUND($M82,6),CI82,0)))</f>
        <v/>
      </c>
      <c r="GI82" s="68">
        <f>IF(OR($U82=0,$F82&lt;&gt;2),0,IF(GH82&gt;0,GH82,IF(ROUND(CJ82*$J82,6)&lt;ROUND($M82,6),CJ82,0)))</f>
        <v/>
      </c>
      <c r="GJ82" s="68">
        <f>IF(OR($U82=0,$F82&lt;&gt;2),0,IF(GI82&gt;0,GI82,IF(ROUND(CK82*$J82,6)&lt;ROUND($M82,6),CK82,0)))</f>
        <v/>
      </c>
      <c r="GK82" s="68">
        <f>IF(OR($U82=0,$F82&lt;&gt;2),0,IF(GJ82&gt;0,GJ82,IF(ROUND(CL82*$J82,6)&lt;ROUND($M82,6),CL82,0)))</f>
        <v/>
      </c>
      <c r="GL82" s="68">
        <f>IF(OR($U82=0,$F82&lt;&gt;2),0,IF(GK82&gt;0,GK82,IF(ROUND(CM82*$J82,6)&lt;ROUND($M82,6),CM82,0)))</f>
        <v/>
      </c>
      <c r="GM82" s="68">
        <f>IF(OR($U82=0,$F82&lt;&gt;2),0,IF(GL82&gt;0,GL82,IF(ROUND(CN82*$J82,6)&lt;ROUND($M82,6),CN82,0)))</f>
        <v/>
      </c>
      <c r="GN82" s="68">
        <f>IF(OR($U82=0,$F82&lt;&gt;2),0,IF(GM82&gt;0,GM82,IF(ROUND(CO82*$J82,6)&lt;ROUND($M82,6),CO82,0)))</f>
        <v/>
      </c>
      <c r="GO82" s="68">
        <f>IF(OR($U82=0,$F82&lt;&gt;2),0,IF(GN82&gt;0,GN82,IF(ROUND(CP82*$J82,6)&lt;ROUND($M82,6),CP82,0)))</f>
        <v/>
      </c>
      <c r="GP82" s="68">
        <f>IF(OR($U82=0,$F82&lt;&gt;2),0,IF(GO82&gt;0,GO82,IF(ROUND(CQ82*$J82,6)&lt;ROUND($M82,6),CQ82,0)))</f>
        <v/>
      </c>
      <c r="GQ82" s="68">
        <f>IF(OR($U82=0,$F82&lt;&gt;2),0,IF(GP82&gt;0,GP82,IF(ROUND(CR82*$J82,6)&lt;ROUND($M82,6),CR82,0)))</f>
        <v/>
      </c>
      <c r="GR82" s="68">
        <f>IF(OR($U82=0,$F82&lt;&gt;2),0,IF(GQ82&gt;0,GQ82,IF(ROUND(CS82*$J82,6)&lt;ROUND($M82,6),CS82,0)))</f>
        <v/>
      </c>
      <c r="GS82" s="68">
        <f>IF(OR($U82=0,$F82&lt;&gt;2),0,IF(GR82&gt;0,GR82,IF(ROUND(CT82*$J82,6)&lt;ROUND($M82,6),CT82,0)))</f>
        <v/>
      </c>
      <c r="GT82" s="68">
        <f>IF(OR($U82=0,$F82&lt;&gt;2),0,IF(GS82&gt;0,GS82,IF(ROUND(CU82*$J82,6)&lt;ROUND($M82,6),CU82,0)))</f>
        <v/>
      </c>
      <c r="GU82" s="68">
        <f>IF(OR($U82=0,$F82&lt;&gt;2),0,IF(GT82&gt;0,GT82,IF(ROUND(CV82*$J82,6)&lt;ROUND($M82,6),CV82,0)))</f>
        <v/>
      </c>
      <c r="GV82" s="68">
        <f>IF(OR($U82=0,$F82&lt;&gt;2),0,IF(GU82&gt;0,GU82,IF(ROUND(CW82*$J82,6)&lt;ROUND($M82,6),CW82,0)))</f>
        <v/>
      </c>
      <c r="GW82" s="68">
        <f>IF(OR($U82=0,$F82&lt;&gt;2),0,IF(GV82&gt;0,GV82,IF(ROUND(CX82*$J82,6)&lt;ROUND($M82,6),CX82,0)))</f>
        <v/>
      </c>
      <c r="GX82" s="68">
        <f>IF(OR($U82=0,$F82&lt;&gt;2),0,IF(GW82&gt;0,GW82,IF(ROUND(CY82*$J82,6)&lt;ROUND($M82,6),CY82,0)))</f>
        <v/>
      </c>
      <c r="GY82" s="68">
        <f>IF(OR($U82=0,$F82&lt;&gt;2),0,IF(GX82&gt;0,GX82,IF(ROUND(CZ82*$J82,6)&lt;ROUND($M82,6),CZ82,0)))</f>
        <v/>
      </c>
      <c r="GZ82" s="68">
        <f>IF(OR($U82=0,$F82&lt;&gt;2),0,IF(GY82&gt;0,GY82,IF(ROUND(DA82*$J82,6)&lt;ROUND($M82,6),DA82,0)))</f>
        <v/>
      </c>
      <c r="HA82" s="68">
        <f>IF(OR($U82=0,$F82&lt;&gt;2),0,IF(GZ82&gt;0,GZ82,IF(ROUND(DB82*$J82,6)&lt;ROUND($M82,6),DB82,0)))</f>
        <v/>
      </c>
      <c r="HB82" s="68">
        <f>IF(OR($U82=0,$F82&lt;&gt;2),0,IF(HA82&gt;0,HA82,IF(ROUND(DC82*$J82,6)&lt;ROUND($M82,6),DC82,0)))</f>
        <v/>
      </c>
      <c r="HC82" s="68">
        <f>IF(OR($U82=0,$F82&lt;&gt;2),0,IF(HB82&gt;0,HB82,IF(ROUND(DD82*$J82,6)&lt;ROUND($M82,6),DD82,0)))</f>
        <v/>
      </c>
      <c r="HD82" s="68">
        <f>IF(OR($U82=0,$F82&lt;&gt;2),0,IF(HC82&gt;0,HC82,IF(ROUND(DE82*$J82,6)&lt;ROUND($M82,6),DE82,0)))</f>
        <v/>
      </c>
      <c r="HE82" s="68">
        <f>IF(OR($U82=0,$F82&lt;&gt;2),0,IF(HD82&gt;0,HD82,IF(ROUND(DF82*$J82,6)&lt;ROUND($M82,6),DF82,0)))</f>
        <v/>
      </c>
      <c r="HF82" s="68">
        <f>IF(OR($U82=0,$F82&lt;&gt;2),0,IF(HE82&gt;0,HE82,IF(ROUND(DG82*$J82,6)&lt;ROUND($M82,6),DG82,0)))</f>
        <v/>
      </c>
      <c r="HG82" s="68">
        <f>IF(OR($U82=0,$F82&lt;&gt;2),0,IF(HF82&gt;0,HF82,IF(ROUND(DH82*$J82,6)&lt;ROUND($M82,6),DH82,0)))</f>
        <v/>
      </c>
      <c r="HH82" s="68">
        <f>IF(OR($U82=0,$F82&lt;&gt;2),0,IF(HG82&gt;0,HG82,IF(ROUND(DI82*$J82,6)&lt;ROUND($M82,6),DI82,0)))</f>
        <v/>
      </c>
      <c r="HI82" s="68">
        <f>IF(OR($U82=0,$F82&lt;&gt;2),0,IF(HH82&gt;0,HH82,IF(ROUND(DJ82*$J82,6)&lt;ROUND($M82,6),DJ82,0)))</f>
        <v/>
      </c>
      <c r="HJ82" s="68">
        <f>IF(OR($U82=0,$F82&lt;&gt;2),0,IF(HI82&gt;0,HI82,IF(ROUND(DK82*$J82,6)&lt;ROUND($M82,6),DK82,0)))</f>
        <v/>
      </c>
      <c r="HK82" s="68">
        <f>IF(OR($U82=0,$F82&lt;&gt;2),0,IF(HJ82&gt;0,HJ82,IF(ROUND(DL82*$J82,6)&lt;ROUND($M82,6),DL82,0)))</f>
        <v/>
      </c>
      <c r="HL82" s="68">
        <f>IF(OR($U82=0,$F82&lt;&gt;2),0,IF(HK82&gt;0,HK82,IF(ROUND(DM82*$J82,6)&lt;ROUND($M82,6),DM82,0)))</f>
        <v/>
      </c>
      <c r="HM82" s="68">
        <f>IF(OR($U82=0,$F82&lt;&gt;2),0,IF(HL82&gt;0,HL82,IF(ROUND(DN82*$J82,6)&lt;ROUND($M82,6),DN82,0)))</f>
        <v/>
      </c>
      <c r="HN82" s="68">
        <f>IF(OR($U82=0,$F82&lt;&gt;2),0,IF(HM82&gt;0,HM82,IF(ROUND(DO82*$J82,6)&lt;ROUND($M82,6),DO82,0)))</f>
        <v/>
      </c>
      <c r="HO82" s="68">
        <f>IF(OR($U82=0,$F82&lt;&gt;2),0,IF(HN82&gt;0,HN82,IF(ROUND(DP82*$J82,6)&lt;ROUND($M82,6),DP82,0)))</f>
        <v/>
      </c>
      <c r="HP82" s="68">
        <f>IF(OR($U82=0,$F82&lt;&gt;2),0,IF(HO82&gt;0,HO82,IF(ROUND(DQ82*$J82,6)&lt;ROUND($M82,6),DQ82,0)))</f>
        <v/>
      </c>
      <c r="HQ82" s="68">
        <f>IF(OR($U82=0,$F82&lt;&gt;2),0,IF(HP82&gt;0,HP82,IF(ROUND(DR82*$J82,6)&lt;ROUND($M82,6),DR82,0)))</f>
        <v/>
      </c>
      <c r="HR82" s="68">
        <f>IF(OR($U82=0,$F82&lt;&gt;2),0,IF(HQ82&gt;0,HQ82,IF(ROUND(DS82*$J82,6)&lt;ROUND($M82,6),DS82,0)))</f>
        <v/>
      </c>
      <c r="HS82" s="68">
        <f>IF(OR($U82=0,$F82&lt;&gt;2),0,IF(HR82&gt;0,HR82,IF(ROUND(DT82*$J82,6)&lt;ROUND($M82,6),DT82,0)))</f>
        <v/>
      </c>
      <c r="HT82" s="68">
        <f>IF(OR($U82=0,$F82&lt;&gt;2),0,IF(HS82&gt;0,HS82,IF(ROUND(DU82*$J82,6)&lt;ROUND($M82,6),DU82,0)))</f>
        <v/>
      </c>
      <c r="HU82" s="68">
        <f>IF(OR($U82=0,$F82&lt;&gt;2),0,IF(HT82&gt;0,HT82,IF(ROUND(DV82*$J82,6)&lt;ROUND($M82,6),DV82,0)))</f>
        <v/>
      </c>
      <c r="HV82" s="68">
        <f>IF(OR($U82=0,$F82&lt;&gt;2),0,IF(HU82&gt;0,HU82,IF(ROUND(DW82*$J82,6)&lt;ROUND($M82,6),DW82,0)))</f>
        <v/>
      </c>
      <c r="HW82" s="68">
        <f>IF(OR($U82=0,$F82&lt;&gt;2),0,IF(HV82&gt;0,HV82,IF(ROUND(DX82*$J82,6)&lt;ROUND($M82,6),DX82,0)))</f>
        <v/>
      </c>
      <c r="HX82" s="68">
        <f>IF(OR($U82=0,$F82&lt;&gt;2),0,IF(HW82&gt;0,HW82,IF(ROUND(DY82*$J82,6)&lt;ROUND($M82,6),DY82,0)))</f>
        <v/>
      </c>
      <c r="HY82" s="68">
        <f>IF(OR($U82=0,$F82&lt;&gt;2),0,IF(HX82&gt;0,HX82,IF(ROUND(DZ82*$J82,6)&lt;ROUND($M82,6),DZ82,0)))</f>
        <v/>
      </c>
      <c r="HZ82" s="68">
        <f>IF(OR($U82=0,$F82&lt;&gt;2),0,IF(HY82&gt;0,HY82,IF(ROUND(EA82*$J82,6)&lt;ROUND($M82,6),EA82,0)))</f>
        <v/>
      </c>
      <c r="IA82" s="68">
        <f>IF(OR($U82=0,$F82&lt;&gt;2),0,IF(HZ82&gt;0,HZ82,IF(ROUND(EB82*$J82,6)&lt;ROUND($M82,6),EB82,0)))</f>
        <v/>
      </c>
      <c r="IB82" s="68">
        <f>IF(OR($U82=0,$F82&lt;&gt;2),0,IF(IA82&gt;0,IA82,IF(ROUND(EC82*$J82,6)&lt;ROUND($M82,6),EC82,0)))</f>
        <v/>
      </c>
      <c r="IC82" s="68">
        <f>IF(OR($U82=0,$F82&lt;&gt;2),0,IF(IB82&gt;0,IB82,IF(ROUND(ED82*$J82,6)&lt;ROUND($M82,6),ED82,0)))</f>
        <v/>
      </c>
      <c r="ID82" s="68">
        <f>IF(OR($U82=0,$F82&lt;&gt;2),0,IF(IC82&gt;0,IC82,IF(ROUND(EE82*$J82,6)&lt;ROUND($M82,6),EE82,0)))</f>
        <v/>
      </c>
      <c r="IE82" s="68">
        <f>IF(OR($U82=0,$F82&lt;&gt;2),0,IF(ID82&gt;0,ID82,IF(ROUND(EF82*$J82,6)&lt;ROUND($M82,6),EF82,0)))</f>
        <v/>
      </c>
      <c r="IF82" s="68">
        <f>IF(OR($U82=0,$F82&lt;&gt;2),0,IF(IE82&gt;0,IE82,IF(ROUND(EG82*$J82,6)&lt;ROUND($M82,6),EG82,0)))</f>
        <v/>
      </c>
      <c r="IG82" s="68">
        <f>IF(OR($U82=0,$F82&lt;&gt;2),0,IF(IF82&gt;0,IF82,IF(ROUND(EH82*$J82,6)&lt;ROUND($M82,6),EH82,0)))</f>
        <v/>
      </c>
      <c r="IH82" s="68">
        <f>IF(OR($U82=0,$F82&lt;&gt;2),0,IF(IG82&gt;0,IG82,IF(ROUND(EI82*$J82,6)&lt;ROUND($M82,6),EI82,0)))</f>
        <v/>
      </c>
      <c r="II82" s="68">
        <f>IF(OR($U82=0,$F82&lt;&gt;2),0,IF(IH82&gt;0,IH82,IF(ROUND(EJ82*$J82,6)&lt;ROUND($M82,6),EJ82,0)))</f>
        <v/>
      </c>
      <c r="IJ82" s="68">
        <f>IF(OR($U82=0,$F82&lt;&gt;2),0,IF(II82&gt;0,II82,IF(ROUND(EK82*$J82,6)&lt;ROUND($M82,6),EK82,0)))</f>
        <v/>
      </c>
      <c r="IK82" s="68">
        <f>IF(OR($U82=0,$F82&lt;&gt;2),0,IF(IJ82&gt;0,IJ82,IF(ROUND(EL82*$J82,6)&lt;ROUND($M82,6),EL82,0)))</f>
        <v/>
      </c>
      <c r="IL82" s="68">
        <f>IF(OR($U82=0,$F82&lt;&gt;2),0,IF(IK82&gt;0,IK82,IF(ROUND(EM82*$J82,6)&lt;ROUND($M82,6),EM82,0)))</f>
        <v/>
      </c>
      <c r="IM82" s="68">
        <f>IF(OR($U82=0,$F82&lt;&gt;2),0,IF(IL82&gt;0,IL82,IF(ROUND(EN82*$J82,6)&lt;ROUND($M82,6),EN82,0)))</f>
        <v/>
      </c>
      <c r="IN82" s="68">
        <f>IF(OR($U82=0,$F82&lt;&gt;2),0,IF(IM82&gt;0,IM82,IF(ROUND(EO82*$J82,6)&lt;ROUND($M82,6),EO82,0)))</f>
        <v/>
      </c>
    </row>
    <row r="83">
      <c r="A83" s="68" t="n">
        <v>78</v>
      </c>
      <c r="B83" s="68">
        <f>IF(OR(TRIM('固定資産台帳'!$B83)&lt;&gt;"",'固定資産台帳'!$E83&lt;&gt;"",'固定資産台帳'!$G83&lt;&gt;"",'固定資産台帳'!$H83&lt;&gt;""),1,0)</f>
        <v/>
      </c>
      <c r="C83" s="68">
        <f>IF(ISNUMBER('固定資産台帳'!$G83),MAX(ROUND('固定資産台帳'!$G83,0),0),0)</f>
        <v/>
      </c>
      <c r="D83" s="84">
        <f>IF(ISNUMBER('固定資産台帳'!$E83),INT('固定資産台帳'!$E83),0)</f>
        <v/>
      </c>
      <c r="E83" s="84">
        <f>IF(ISNUMBER('固定資産台帳'!$F83),INT('固定資産台帳'!$F83),$D83)</f>
        <v/>
      </c>
      <c r="F83" s="68">
        <f>IF('固定資産台帳'!$H83="定額法",1,IF(OR('固定資産台帳'!$H83="定率法",'固定資産台帳'!$H83="定率法（200%）",'固定資産台帳'!$H83="定率法（250%）"),2,IF('固定資産台帳'!$H83="一括償却（3年）",3,IF('固定資産台帳'!$H83="少額特例",4,0))))</f>
        <v/>
      </c>
      <c r="G83" s="68">
        <f>IF('固定資産台帳'!$H83="定率法（250%）",250,IF('固定資産台帳'!$H83="定率法（200%）",200,IF($D83&gt;=DATE(2012,4,1),200,250)))</f>
        <v/>
      </c>
      <c r="H83" s="68">
        <f>IF(ISNUMBER('固定資産台帳'!$I83),IF(AND('固定資産台帳'!$I83&gt;=2,'固定資産台帳'!$I83&lt;=100,'固定資産台帳'!$I83=INT('固定資産台帳'!$I83)),'固定資産台帳'!$I83,0),0)</f>
        <v/>
      </c>
      <c r="I83" s="68">
        <f>IF('固定資産台帳'!$C83="無形固定資産",0,1)</f>
        <v/>
      </c>
      <c r="J83" s="68">
        <f>IF(OR($H83=0,$F83=0,$F83&gt;2),0,IF($F83=1,INDEX('償却率表'!$B$6:$B$104,$H83-1),IF($G83=200,INDEX('償却率表'!$C$6:$C$104,$H83-1),INDEX('償却率表'!$F$6:$F$104,$H83-1))))</f>
        <v/>
      </c>
      <c r="K83" s="68">
        <f>IF(AND($F83=2,$H83&gt;0),IF($G83=200,INDEX('償却率表'!$D$6:$D$104,$H83-1),INDEX('償却率表'!$G$6:$G$104,$H83-1)),0)</f>
        <v/>
      </c>
      <c r="L83" s="68">
        <f>IF(AND($F83=2,$H83&gt;0),IF($G83=200,INDEX('償却率表'!$E$6:$E$104,$H83-1),INDEX('償却率表'!$H$6:$H$104,$H83-1)),0)</f>
        <v/>
      </c>
      <c r="M83" s="68">
        <f>$C83*$L83</f>
        <v/>
      </c>
      <c r="N83" s="68">
        <f>IF($B$1=1,1,IF('固定資産台帳'!$J83="",1,IF(ISNUMBER('固定資産台帳'!$J83),IF(AND('固定資産台帳'!$J83&gt;0,'固定資産台帳'!$J83&lt;=1),'固定資産台帳'!$J83,0),0)))</f>
        <v/>
      </c>
      <c r="O83" s="68">
        <f>IF($E83=0,0,YEAR($E83)-IF(MONTH($E83)&lt;$B$2,1,0))</f>
        <v/>
      </c>
      <c r="P83" s="68">
        <f>IF($E83=0,0,12-MOD(MONTH($E83)-$B$2,12))</f>
        <v/>
      </c>
      <c r="Q83" s="84">
        <f>IF(ISNUMBER('固定資産台帳'!$K83),INT('固定資産台帳'!$K83),0)</f>
        <v/>
      </c>
      <c r="R83" s="68">
        <f>IF(OR($Q83=0,$E83=0),999,YEAR($Q83)-IF(MONTH($Q83)&lt;$B$2,1,0)-$O83)</f>
        <v/>
      </c>
      <c r="S83" s="68">
        <f>IF($R83=999,0,MOD(MONTH($Q83)-$B$2,12)+1-IF($R83=0,12-$P83,0))</f>
        <v/>
      </c>
      <c r="T83" s="68">
        <f>IF($B83=0,0,IF($C83&lt;=0,1,IF($D83=0,2,IF($F83=0,3,IF(AND($F83&lt;=2,$H83=0),4,IF(AND($F83&lt;=2,$D83&lt;DATE(2007,4,1)),5,IF($E83&lt;$D83,6,IF(AND($Q83&gt;0,$Q83&lt;$E83),7,IF($N83=0,8,IF($B$3=0,9,0))))))))))</f>
        <v/>
      </c>
      <c r="U83" s="68">
        <f>IF(AND($B83=1,$T83=0),1,0)</f>
        <v/>
      </c>
      <c r="V83" s="68">
        <f>$B$3-$O83</f>
        <v/>
      </c>
      <c r="W83" s="68">
        <f>IF(AND($U83=1,$V83&gt;=0),1,0)</f>
        <v/>
      </c>
      <c r="X83" s="68">
        <f>IF($W83=0,0,IF($V83=0,$C83,INDEX($AS83:$EP83,MIN($V83,102))))</f>
        <v/>
      </c>
      <c r="Y83" s="68">
        <f>IF($W83=0,0,INDEX($AS83:$EP83,MIN($V83,101)+1))</f>
        <v/>
      </c>
      <c r="Z83" s="68">
        <f>$X83-$Y83</f>
        <v/>
      </c>
      <c r="AA83" s="68">
        <f>IF(AND($W83=1,$F83=2,$V83&gt;=1),INDEX($ER83:$IN83,MIN($V83,101)),0)</f>
        <v/>
      </c>
      <c r="AB83" s="68">
        <f>IF(OR($W83=0,$F83&gt;2,$Z83=0),0,IF($V83=0,IF($R83=0,$S83,$P83),IF($V83=$R83,$S83,12)))</f>
        <v/>
      </c>
      <c r="AC83" s="68">
        <f>IF($W83=0,0,INT(ROUND($Z83*$N83,6)+$B$4))</f>
        <v/>
      </c>
      <c r="AD83" s="68">
        <f>IF(AND($W83=1,$F83&lt;=2,$V83=$R83),1,0)</f>
        <v/>
      </c>
      <c r="AE83" s="68">
        <f>IF(AND($W83=1,$F83&lt;=2,$V83&gt;$R83),1,0)</f>
        <v/>
      </c>
      <c r="AF83" s="68">
        <f>IF(AND($W83=1,$AE83=0,OR($Z83&gt;0,$AD83=1)),1,0)</f>
        <v/>
      </c>
      <c r="AG83" s="68">
        <f>IF($AF83=1,SUM($AF$6:$AF83),0)</f>
        <v/>
      </c>
      <c r="AH83" s="68">
        <f>IF($T83=0,"",CHOOSE($T83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83" s="68">
        <f>IF(AND($F83=2,OR('固定資産台帳'!$C83="建物",'固定資産台帳'!$C83="無形固定資産",AND(OR('固定資産台帳'!$C83="建物附属設備",'固定資産台帳'!$C83="構築物"),$D83&gt;=DATE(2016,4,1)))),"この資産は定額法だけです（定率法は使えません）。","")&amp;IF(AND($F83=3,$C83&gt;=200000),"一括償却は20万円未満の資産だけです。","")&amp;IF(AND($F83=3,$B$1=0,$C83&lt;100000),"10万円未満は一括償却にせず、全額をその年の経費にします。","")&amp;IF(AND($F83=4,$C83&lt;100000),"10万円未満は少額特例ではなく、全額をその年の経費にします。","")&amp;IF(AND($F83=4,$D83&lt;DATE(2026,4,1),$C83&gt;=300000),"2026年3月31日までの取得で少額特例が使えるのは30万円未満です。","")&amp;IF(AND($F83=4,$D83&gt;=DATE(2026,4,1),$C83&gt;=400000),"少額特例は40万円未満の資産だけです。","")&amp;IF(AND($F83=4,OR($D83&lt;DATE(2006,4,1),$D83&gt;DATE(2029,3,31))),"少額特例は2006年4月1日〜2029年3月31日に取得した資産だけです。","")&amp;IF(AND($F83=2,$G83=250,$D83&gt;DATE(2012,12,31)),"250%定率法は2012年12月31日までの取得だけです。","")</f>
        <v/>
      </c>
      <c r="AJ83" s="68">
        <f>IF(AND($F83=2,'固定資産台帳'!$H83="定率法（200%）",$D83&lt;DATE(2012,4,1)),"2012年3月31日までの取得に200%を使うのは、経過措置の届出をした場合です。","")&amp;IF(AND($F83=2,'固定資産台帳'!$H83="定率法（250%）",$D83&gt;=DATE(2012,4,1),$D83&lt;=DATE(2012,12,31)),"2012年4〜12月の取得に250%を使うのは、経過措置を選んだ場合です。","")</f>
        <v/>
      </c>
      <c r="AK83" s="68">
        <f>IF($U83=0,"",IF($V83&lt;0,"表示している年より後に使い始める資産です。",IF($AE83=1,"売却・除却済みです。",IF($AD83=1,"この年に売却・除却。期末の帳簿価額 "&amp;TEXT($Y83,"#,##0")&amp;"円を帳簿から外します。",IF($F83=4,IF($V83=0,"少額特例：この年に全額を経費にします。","少額特例で経費にした資産です。"),IF($F83=3,IF($V83&gt;2,"一括償却は終わっています。","一括償却 "&amp;($V83+1)&amp;"年目（3年のうち）。"),IF($Z83=0,"償却済み（帳簿価額 "&amp;TEXT($Y83,"#,##0")&amp;"円）。",IF($AA83&gt;0,"改定償却率で計算（改定取得価額 "&amp;TEXT($AA83,"#,##0")&amp;"円）。",IF($V83=0,"この年に使い始め（"&amp;$AB83&amp;"か月分）。","")))))))))</f>
        <v/>
      </c>
      <c r="AL83" s="68">
        <f>IF(AND($U83=1,$F83=4,$V83=0),$C83,0)</f>
        <v/>
      </c>
      <c r="AM83" s="68">
        <f>IF($F83=2,INT(ROUND($M83,6)+$B$4),0)</f>
        <v/>
      </c>
      <c r="AN83" s="68">
        <f>IF($W83=0,0,IF($F83=2,IF($AA83&gt;0,$AA83,$X83),$C83))</f>
        <v/>
      </c>
      <c r="AO83" s="68">
        <f>IF($W83=0,"",IF($F83=3,"1/3",IF($F83=4,"―",IF($AA83&gt;0,$K83,$J83))))</f>
        <v/>
      </c>
      <c r="AP83" s="68" t="n"/>
      <c r="AQ83" s="68" t="n"/>
      <c r="AR83" s="68" t="n"/>
      <c r="AS83" s="68">
        <f>IF($U83=0,0,IF($F83=4,0,IF($F83=3,MAX($C83-INT(ROUND($C83/3,6)+$B$4),0),$C83-MIN(INT(ROUND($C83*$J83*IF($R83=0,$S83,$P83)/12,6)+$B$4),MAX($C83-$I83,0)))))</f>
        <v/>
      </c>
      <c r="AT83" s="68">
        <f>IF($U83=0,0,IF($F83=4,0,IF($F83=3,AS83-MIN(INT(ROUND($C83/3,6)+$B$4),AS83),IF(OR(1&gt;$R83,AS83&lt;=$I83),AS83,AS83-MIN(INT(ROUND(IF($F83=1,$C83*$J83,IF(ER83&gt;0,ER83*$K83,AS83*$J83))*IF(1=$R83,$S83,12)/12,6)+$B$4),AS83-$I83)))))</f>
        <v/>
      </c>
      <c r="AU83" s="68">
        <f>IF($U83=0,0,IF($F83=4,0,IF($F83=3,0,IF(OR(2&gt;$R83,AT83&lt;=$I83),AT83,AT83-MIN(INT(ROUND(IF($F83=1,$C83*$J83,IF(ES83&gt;0,ES83*$K83,AT83*$J83))*IF(2=$R83,$S83,12)/12,6)+$B$4),AT83-$I83)))))</f>
        <v/>
      </c>
      <c r="AV83" s="68">
        <f>IF($U83=0,0,IF($F83=4,0,IF($F83=3,0,IF(OR(3&gt;$R83,AU83&lt;=$I83),AU83,AU83-MIN(INT(ROUND(IF($F83=1,$C83*$J83,IF(ET83&gt;0,ET83*$K83,AU83*$J83))*IF(3=$R83,$S83,12)/12,6)+$B$4),AU83-$I83)))))</f>
        <v/>
      </c>
      <c r="AW83" s="68">
        <f>IF($U83=0,0,IF($F83=4,0,IF($F83=3,0,IF(OR(4&gt;$R83,AV83&lt;=$I83),AV83,AV83-MIN(INT(ROUND(IF($F83=1,$C83*$J83,IF(EU83&gt;0,EU83*$K83,AV83*$J83))*IF(4=$R83,$S83,12)/12,6)+$B$4),AV83-$I83)))))</f>
        <v/>
      </c>
      <c r="AX83" s="68">
        <f>IF($U83=0,0,IF($F83=4,0,IF($F83=3,0,IF(OR(5&gt;$R83,AW83&lt;=$I83),AW83,AW83-MIN(INT(ROUND(IF($F83=1,$C83*$J83,IF(EV83&gt;0,EV83*$K83,AW83*$J83))*IF(5=$R83,$S83,12)/12,6)+$B$4),AW83-$I83)))))</f>
        <v/>
      </c>
      <c r="AY83" s="68">
        <f>IF($U83=0,0,IF($F83=4,0,IF($F83=3,0,IF(OR(6&gt;$R83,AX83&lt;=$I83),AX83,AX83-MIN(INT(ROUND(IF($F83=1,$C83*$J83,IF(EW83&gt;0,EW83*$K83,AX83*$J83))*IF(6=$R83,$S83,12)/12,6)+$B$4),AX83-$I83)))))</f>
        <v/>
      </c>
      <c r="AZ83" s="68">
        <f>IF($U83=0,0,IF($F83=4,0,IF($F83=3,0,IF(OR(7&gt;$R83,AY83&lt;=$I83),AY83,AY83-MIN(INT(ROUND(IF($F83=1,$C83*$J83,IF(EX83&gt;0,EX83*$K83,AY83*$J83))*IF(7=$R83,$S83,12)/12,6)+$B$4),AY83-$I83)))))</f>
        <v/>
      </c>
      <c r="BA83" s="68">
        <f>IF($U83=0,0,IF($F83=4,0,IF($F83=3,0,IF(OR(8&gt;$R83,AZ83&lt;=$I83),AZ83,AZ83-MIN(INT(ROUND(IF($F83=1,$C83*$J83,IF(EY83&gt;0,EY83*$K83,AZ83*$J83))*IF(8=$R83,$S83,12)/12,6)+$B$4),AZ83-$I83)))))</f>
        <v/>
      </c>
      <c r="BB83" s="68">
        <f>IF($U83=0,0,IF($F83=4,0,IF($F83=3,0,IF(OR(9&gt;$R83,BA83&lt;=$I83),BA83,BA83-MIN(INT(ROUND(IF($F83=1,$C83*$J83,IF(EZ83&gt;0,EZ83*$K83,BA83*$J83))*IF(9=$R83,$S83,12)/12,6)+$B$4),BA83-$I83)))))</f>
        <v/>
      </c>
      <c r="BC83" s="68">
        <f>IF($U83=0,0,IF($F83=4,0,IF($F83=3,0,IF(OR(10&gt;$R83,BB83&lt;=$I83),BB83,BB83-MIN(INT(ROUND(IF($F83=1,$C83*$J83,IF(FA83&gt;0,FA83*$K83,BB83*$J83))*IF(10=$R83,$S83,12)/12,6)+$B$4),BB83-$I83)))))</f>
        <v/>
      </c>
      <c r="BD83" s="68">
        <f>IF($U83=0,0,IF($F83=4,0,IF($F83=3,0,IF(OR(11&gt;$R83,BC83&lt;=$I83),BC83,BC83-MIN(INT(ROUND(IF($F83=1,$C83*$J83,IF(FB83&gt;0,FB83*$K83,BC83*$J83))*IF(11=$R83,$S83,12)/12,6)+$B$4),BC83-$I83)))))</f>
        <v/>
      </c>
      <c r="BE83" s="68">
        <f>IF($U83=0,0,IF($F83=4,0,IF($F83=3,0,IF(OR(12&gt;$R83,BD83&lt;=$I83),BD83,BD83-MIN(INT(ROUND(IF($F83=1,$C83*$J83,IF(FC83&gt;0,FC83*$K83,BD83*$J83))*IF(12=$R83,$S83,12)/12,6)+$B$4),BD83-$I83)))))</f>
        <v/>
      </c>
      <c r="BF83" s="68">
        <f>IF($U83=0,0,IF($F83=4,0,IF($F83=3,0,IF(OR(13&gt;$R83,BE83&lt;=$I83),BE83,BE83-MIN(INT(ROUND(IF($F83=1,$C83*$J83,IF(FD83&gt;0,FD83*$K83,BE83*$J83))*IF(13=$R83,$S83,12)/12,6)+$B$4),BE83-$I83)))))</f>
        <v/>
      </c>
      <c r="BG83" s="68">
        <f>IF($U83=0,0,IF($F83=4,0,IF($F83=3,0,IF(OR(14&gt;$R83,BF83&lt;=$I83),BF83,BF83-MIN(INT(ROUND(IF($F83=1,$C83*$J83,IF(FE83&gt;0,FE83*$K83,BF83*$J83))*IF(14=$R83,$S83,12)/12,6)+$B$4),BF83-$I83)))))</f>
        <v/>
      </c>
      <c r="BH83" s="68">
        <f>IF($U83=0,0,IF($F83=4,0,IF($F83=3,0,IF(OR(15&gt;$R83,BG83&lt;=$I83),BG83,BG83-MIN(INT(ROUND(IF($F83=1,$C83*$J83,IF(FF83&gt;0,FF83*$K83,BG83*$J83))*IF(15=$R83,$S83,12)/12,6)+$B$4),BG83-$I83)))))</f>
        <v/>
      </c>
      <c r="BI83" s="68">
        <f>IF($U83=0,0,IF($F83=4,0,IF($F83=3,0,IF(OR(16&gt;$R83,BH83&lt;=$I83),BH83,BH83-MIN(INT(ROUND(IF($F83=1,$C83*$J83,IF(FG83&gt;0,FG83*$K83,BH83*$J83))*IF(16=$R83,$S83,12)/12,6)+$B$4),BH83-$I83)))))</f>
        <v/>
      </c>
      <c r="BJ83" s="68">
        <f>IF($U83=0,0,IF($F83=4,0,IF($F83=3,0,IF(OR(17&gt;$R83,BI83&lt;=$I83),BI83,BI83-MIN(INT(ROUND(IF($F83=1,$C83*$J83,IF(FH83&gt;0,FH83*$K83,BI83*$J83))*IF(17=$R83,$S83,12)/12,6)+$B$4),BI83-$I83)))))</f>
        <v/>
      </c>
      <c r="BK83" s="68">
        <f>IF($U83=0,0,IF($F83=4,0,IF($F83=3,0,IF(OR(18&gt;$R83,BJ83&lt;=$I83),BJ83,BJ83-MIN(INT(ROUND(IF($F83=1,$C83*$J83,IF(FI83&gt;0,FI83*$K83,BJ83*$J83))*IF(18=$R83,$S83,12)/12,6)+$B$4),BJ83-$I83)))))</f>
        <v/>
      </c>
      <c r="BL83" s="68">
        <f>IF($U83=0,0,IF($F83=4,0,IF($F83=3,0,IF(OR(19&gt;$R83,BK83&lt;=$I83),BK83,BK83-MIN(INT(ROUND(IF($F83=1,$C83*$J83,IF(FJ83&gt;0,FJ83*$K83,BK83*$J83))*IF(19=$R83,$S83,12)/12,6)+$B$4),BK83-$I83)))))</f>
        <v/>
      </c>
      <c r="BM83" s="68">
        <f>IF($U83=0,0,IF($F83=4,0,IF($F83=3,0,IF(OR(20&gt;$R83,BL83&lt;=$I83),BL83,BL83-MIN(INT(ROUND(IF($F83=1,$C83*$J83,IF(FK83&gt;0,FK83*$K83,BL83*$J83))*IF(20=$R83,$S83,12)/12,6)+$B$4),BL83-$I83)))))</f>
        <v/>
      </c>
      <c r="BN83" s="68">
        <f>IF($U83=0,0,IF($F83=4,0,IF($F83=3,0,IF(OR(21&gt;$R83,BM83&lt;=$I83),BM83,BM83-MIN(INT(ROUND(IF($F83=1,$C83*$J83,IF(FL83&gt;0,FL83*$K83,BM83*$J83))*IF(21=$R83,$S83,12)/12,6)+$B$4),BM83-$I83)))))</f>
        <v/>
      </c>
      <c r="BO83" s="68">
        <f>IF($U83=0,0,IF($F83=4,0,IF($F83=3,0,IF(OR(22&gt;$R83,BN83&lt;=$I83),BN83,BN83-MIN(INT(ROUND(IF($F83=1,$C83*$J83,IF(FM83&gt;0,FM83*$K83,BN83*$J83))*IF(22=$R83,$S83,12)/12,6)+$B$4),BN83-$I83)))))</f>
        <v/>
      </c>
      <c r="BP83" s="68">
        <f>IF($U83=0,0,IF($F83=4,0,IF($F83=3,0,IF(OR(23&gt;$R83,BO83&lt;=$I83),BO83,BO83-MIN(INT(ROUND(IF($F83=1,$C83*$J83,IF(FN83&gt;0,FN83*$K83,BO83*$J83))*IF(23=$R83,$S83,12)/12,6)+$B$4),BO83-$I83)))))</f>
        <v/>
      </c>
      <c r="BQ83" s="68">
        <f>IF($U83=0,0,IF($F83=4,0,IF($F83=3,0,IF(OR(24&gt;$R83,BP83&lt;=$I83),BP83,BP83-MIN(INT(ROUND(IF($F83=1,$C83*$J83,IF(FO83&gt;0,FO83*$K83,BP83*$J83))*IF(24=$R83,$S83,12)/12,6)+$B$4),BP83-$I83)))))</f>
        <v/>
      </c>
      <c r="BR83" s="68">
        <f>IF($U83=0,0,IF($F83=4,0,IF($F83=3,0,IF(OR(25&gt;$R83,BQ83&lt;=$I83),BQ83,BQ83-MIN(INT(ROUND(IF($F83=1,$C83*$J83,IF(FP83&gt;0,FP83*$K83,BQ83*$J83))*IF(25=$R83,$S83,12)/12,6)+$B$4),BQ83-$I83)))))</f>
        <v/>
      </c>
      <c r="BS83" s="68">
        <f>IF($U83=0,0,IF($F83=4,0,IF($F83=3,0,IF(OR(26&gt;$R83,BR83&lt;=$I83),BR83,BR83-MIN(INT(ROUND(IF($F83=1,$C83*$J83,IF(FQ83&gt;0,FQ83*$K83,BR83*$J83))*IF(26=$R83,$S83,12)/12,6)+$B$4),BR83-$I83)))))</f>
        <v/>
      </c>
      <c r="BT83" s="68">
        <f>IF($U83=0,0,IF($F83=4,0,IF($F83=3,0,IF(OR(27&gt;$R83,BS83&lt;=$I83),BS83,BS83-MIN(INT(ROUND(IF($F83=1,$C83*$J83,IF(FR83&gt;0,FR83*$K83,BS83*$J83))*IF(27=$R83,$S83,12)/12,6)+$B$4),BS83-$I83)))))</f>
        <v/>
      </c>
      <c r="BU83" s="68">
        <f>IF($U83=0,0,IF($F83=4,0,IF($F83=3,0,IF(OR(28&gt;$R83,BT83&lt;=$I83),BT83,BT83-MIN(INT(ROUND(IF($F83=1,$C83*$J83,IF(FS83&gt;0,FS83*$K83,BT83*$J83))*IF(28=$R83,$S83,12)/12,6)+$B$4),BT83-$I83)))))</f>
        <v/>
      </c>
      <c r="BV83" s="68">
        <f>IF($U83=0,0,IF($F83=4,0,IF($F83=3,0,IF(OR(29&gt;$R83,BU83&lt;=$I83),BU83,BU83-MIN(INT(ROUND(IF($F83=1,$C83*$J83,IF(FT83&gt;0,FT83*$K83,BU83*$J83))*IF(29=$R83,$S83,12)/12,6)+$B$4),BU83-$I83)))))</f>
        <v/>
      </c>
      <c r="BW83" s="68">
        <f>IF($U83=0,0,IF($F83=4,0,IF($F83=3,0,IF(OR(30&gt;$R83,BV83&lt;=$I83),BV83,BV83-MIN(INT(ROUND(IF($F83=1,$C83*$J83,IF(FU83&gt;0,FU83*$K83,BV83*$J83))*IF(30=$R83,$S83,12)/12,6)+$B$4),BV83-$I83)))))</f>
        <v/>
      </c>
      <c r="BX83" s="68">
        <f>IF($U83=0,0,IF($F83=4,0,IF($F83=3,0,IF(OR(31&gt;$R83,BW83&lt;=$I83),BW83,BW83-MIN(INT(ROUND(IF($F83=1,$C83*$J83,IF(FV83&gt;0,FV83*$K83,BW83*$J83))*IF(31=$R83,$S83,12)/12,6)+$B$4),BW83-$I83)))))</f>
        <v/>
      </c>
      <c r="BY83" s="68">
        <f>IF($U83=0,0,IF($F83=4,0,IF($F83=3,0,IF(OR(32&gt;$R83,BX83&lt;=$I83),BX83,BX83-MIN(INT(ROUND(IF($F83=1,$C83*$J83,IF(FW83&gt;0,FW83*$K83,BX83*$J83))*IF(32=$R83,$S83,12)/12,6)+$B$4),BX83-$I83)))))</f>
        <v/>
      </c>
      <c r="BZ83" s="68">
        <f>IF($U83=0,0,IF($F83=4,0,IF($F83=3,0,IF(OR(33&gt;$R83,BY83&lt;=$I83),BY83,BY83-MIN(INT(ROUND(IF($F83=1,$C83*$J83,IF(FX83&gt;0,FX83*$K83,BY83*$J83))*IF(33=$R83,$S83,12)/12,6)+$B$4),BY83-$I83)))))</f>
        <v/>
      </c>
      <c r="CA83" s="68">
        <f>IF($U83=0,0,IF($F83=4,0,IF($F83=3,0,IF(OR(34&gt;$R83,BZ83&lt;=$I83),BZ83,BZ83-MIN(INT(ROUND(IF($F83=1,$C83*$J83,IF(FY83&gt;0,FY83*$K83,BZ83*$J83))*IF(34=$R83,$S83,12)/12,6)+$B$4),BZ83-$I83)))))</f>
        <v/>
      </c>
      <c r="CB83" s="68">
        <f>IF($U83=0,0,IF($F83=4,0,IF($F83=3,0,IF(OR(35&gt;$R83,CA83&lt;=$I83),CA83,CA83-MIN(INT(ROUND(IF($F83=1,$C83*$J83,IF(FZ83&gt;0,FZ83*$K83,CA83*$J83))*IF(35=$R83,$S83,12)/12,6)+$B$4),CA83-$I83)))))</f>
        <v/>
      </c>
      <c r="CC83" s="68">
        <f>IF($U83=0,0,IF($F83=4,0,IF($F83=3,0,IF(OR(36&gt;$R83,CB83&lt;=$I83),CB83,CB83-MIN(INT(ROUND(IF($F83=1,$C83*$J83,IF(GA83&gt;0,GA83*$K83,CB83*$J83))*IF(36=$R83,$S83,12)/12,6)+$B$4),CB83-$I83)))))</f>
        <v/>
      </c>
      <c r="CD83" s="68">
        <f>IF($U83=0,0,IF($F83=4,0,IF($F83=3,0,IF(OR(37&gt;$R83,CC83&lt;=$I83),CC83,CC83-MIN(INT(ROUND(IF($F83=1,$C83*$J83,IF(GB83&gt;0,GB83*$K83,CC83*$J83))*IF(37=$R83,$S83,12)/12,6)+$B$4),CC83-$I83)))))</f>
        <v/>
      </c>
      <c r="CE83" s="68">
        <f>IF($U83=0,0,IF($F83=4,0,IF($F83=3,0,IF(OR(38&gt;$R83,CD83&lt;=$I83),CD83,CD83-MIN(INT(ROUND(IF($F83=1,$C83*$J83,IF(GC83&gt;0,GC83*$K83,CD83*$J83))*IF(38=$R83,$S83,12)/12,6)+$B$4),CD83-$I83)))))</f>
        <v/>
      </c>
      <c r="CF83" s="68">
        <f>IF($U83=0,0,IF($F83=4,0,IF($F83=3,0,IF(OR(39&gt;$R83,CE83&lt;=$I83),CE83,CE83-MIN(INT(ROUND(IF($F83=1,$C83*$J83,IF(GD83&gt;0,GD83*$K83,CE83*$J83))*IF(39=$R83,$S83,12)/12,6)+$B$4),CE83-$I83)))))</f>
        <v/>
      </c>
      <c r="CG83" s="68">
        <f>IF($U83=0,0,IF($F83=4,0,IF($F83=3,0,IF(OR(40&gt;$R83,CF83&lt;=$I83),CF83,CF83-MIN(INT(ROUND(IF($F83=1,$C83*$J83,IF(GE83&gt;0,GE83*$K83,CF83*$J83))*IF(40=$R83,$S83,12)/12,6)+$B$4),CF83-$I83)))))</f>
        <v/>
      </c>
      <c r="CH83" s="68">
        <f>IF($U83=0,0,IF($F83=4,0,IF($F83=3,0,IF(OR(41&gt;$R83,CG83&lt;=$I83),CG83,CG83-MIN(INT(ROUND(IF($F83=1,$C83*$J83,IF(GF83&gt;0,GF83*$K83,CG83*$J83))*IF(41=$R83,$S83,12)/12,6)+$B$4),CG83-$I83)))))</f>
        <v/>
      </c>
      <c r="CI83" s="68">
        <f>IF($U83=0,0,IF($F83=4,0,IF($F83=3,0,IF(OR(42&gt;$R83,CH83&lt;=$I83),CH83,CH83-MIN(INT(ROUND(IF($F83=1,$C83*$J83,IF(GG83&gt;0,GG83*$K83,CH83*$J83))*IF(42=$R83,$S83,12)/12,6)+$B$4),CH83-$I83)))))</f>
        <v/>
      </c>
      <c r="CJ83" s="68">
        <f>IF($U83=0,0,IF($F83=4,0,IF($F83=3,0,IF(OR(43&gt;$R83,CI83&lt;=$I83),CI83,CI83-MIN(INT(ROUND(IF($F83=1,$C83*$J83,IF(GH83&gt;0,GH83*$K83,CI83*$J83))*IF(43=$R83,$S83,12)/12,6)+$B$4),CI83-$I83)))))</f>
        <v/>
      </c>
      <c r="CK83" s="68">
        <f>IF($U83=0,0,IF($F83=4,0,IF($F83=3,0,IF(OR(44&gt;$R83,CJ83&lt;=$I83),CJ83,CJ83-MIN(INT(ROUND(IF($F83=1,$C83*$J83,IF(GI83&gt;0,GI83*$K83,CJ83*$J83))*IF(44=$R83,$S83,12)/12,6)+$B$4),CJ83-$I83)))))</f>
        <v/>
      </c>
      <c r="CL83" s="68">
        <f>IF($U83=0,0,IF($F83=4,0,IF($F83=3,0,IF(OR(45&gt;$R83,CK83&lt;=$I83),CK83,CK83-MIN(INT(ROUND(IF($F83=1,$C83*$J83,IF(GJ83&gt;0,GJ83*$K83,CK83*$J83))*IF(45=$R83,$S83,12)/12,6)+$B$4),CK83-$I83)))))</f>
        <v/>
      </c>
      <c r="CM83" s="68">
        <f>IF($U83=0,0,IF($F83=4,0,IF($F83=3,0,IF(OR(46&gt;$R83,CL83&lt;=$I83),CL83,CL83-MIN(INT(ROUND(IF($F83=1,$C83*$J83,IF(GK83&gt;0,GK83*$K83,CL83*$J83))*IF(46=$R83,$S83,12)/12,6)+$B$4),CL83-$I83)))))</f>
        <v/>
      </c>
      <c r="CN83" s="68">
        <f>IF($U83=0,0,IF($F83=4,0,IF($F83=3,0,IF(OR(47&gt;$R83,CM83&lt;=$I83),CM83,CM83-MIN(INT(ROUND(IF($F83=1,$C83*$J83,IF(GL83&gt;0,GL83*$K83,CM83*$J83))*IF(47=$R83,$S83,12)/12,6)+$B$4),CM83-$I83)))))</f>
        <v/>
      </c>
      <c r="CO83" s="68">
        <f>IF($U83=0,0,IF($F83=4,0,IF($F83=3,0,IF(OR(48&gt;$R83,CN83&lt;=$I83),CN83,CN83-MIN(INT(ROUND(IF($F83=1,$C83*$J83,IF(GM83&gt;0,GM83*$K83,CN83*$J83))*IF(48=$R83,$S83,12)/12,6)+$B$4),CN83-$I83)))))</f>
        <v/>
      </c>
      <c r="CP83" s="68">
        <f>IF($U83=0,0,IF($F83=4,0,IF($F83=3,0,IF(OR(49&gt;$R83,CO83&lt;=$I83),CO83,CO83-MIN(INT(ROUND(IF($F83=1,$C83*$J83,IF(GN83&gt;0,GN83*$K83,CO83*$J83))*IF(49=$R83,$S83,12)/12,6)+$B$4),CO83-$I83)))))</f>
        <v/>
      </c>
      <c r="CQ83" s="68">
        <f>IF($U83=0,0,IF($F83=4,0,IF($F83=3,0,IF(OR(50&gt;$R83,CP83&lt;=$I83),CP83,CP83-MIN(INT(ROUND(IF($F83=1,$C83*$J83,IF(GO83&gt;0,GO83*$K83,CP83*$J83))*IF(50=$R83,$S83,12)/12,6)+$B$4),CP83-$I83)))))</f>
        <v/>
      </c>
      <c r="CR83" s="68">
        <f>IF($U83=0,0,IF($F83=4,0,IF($F83=3,0,IF(OR(51&gt;$R83,CQ83&lt;=$I83),CQ83,CQ83-MIN(INT(ROUND(IF($F83=1,$C83*$J83,IF(GP83&gt;0,GP83*$K83,CQ83*$J83))*IF(51=$R83,$S83,12)/12,6)+$B$4),CQ83-$I83)))))</f>
        <v/>
      </c>
      <c r="CS83" s="68">
        <f>IF($U83=0,0,IF($F83=4,0,IF($F83=3,0,IF(OR(52&gt;$R83,CR83&lt;=$I83),CR83,CR83-MIN(INT(ROUND(IF($F83=1,$C83*$J83,IF(GQ83&gt;0,GQ83*$K83,CR83*$J83))*IF(52=$R83,$S83,12)/12,6)+$B$4),CR83-$I83)))))</f>
        <v/>
      </c>
      <c r="CT83" s="68">
        <f>IF($U83=0,0,IF($F83=4,0,IF($F83=3,0,IF(OR(53&gt;$R83,CS83&lt;=$I83),CS83,CS83-MIN(INT(ROUND(IF($F83=1,$C83*$J83,IF(GR83&gt;0,GR83*$K83,CS83*$J83))*IF(53=$R83,$S83,12)/12,6)+$B$4),CS83-$I83)))))</f>
        <v/>
      </c>
      <c r="CU83" s="68">
        <f>IF($U83=0,0,IF($F83=4,0,IF($F83=3,0,IF(OR(54&gt;$R83,CT83&lt;=$I83),CT83,CT83-MIN(INT(ROUND(IF($F83=1,$C83*$J83,IF(GS83&gt;0,GS83*$K83,CT83*$J83))*IF(54=$R83,$S83,12)/12,6)+$B$4),CT83-$I83)))))</f>
        <v/>
      </c>
      <c r="CV83" s="68">
        <f>IF($U83=0,0,IF($F83=4,0,IF($F83=3,0,IF(OR(55&gt;$R83,CU83&lt;=$I83),CU83,CU83-MIN(INT(ROUND(IF($F83=1,$C83*$J83,IF(GT83&gt;0,GT83*$K83,CU83*$J83))*IF(55=$R83,$S83,12)/12,6)+$B$4),CU83-$I83)))))</f>
        <v/>
      </c>
      <c r="CW83" s="68">
        <f>IF($U83=0,0,IF($F83=4,0,IF($F83=3,0,IF(OR(56&gt;$R83,CV83&lt;=$I83),CV83,CV83-MIN(INT(ROUND(IF($F83=1,$C83*$J83,IF(GU83&gt;0,GU83*$K83,CV83*$J83))*IF(56=$R83,$S83,12)/12,6)+$B$4),CV83-$I83)))))</f>
        <v/>
      </c>
      <c r="CX83" s="68">
        <f>IF($U83=0,0,IF($F83=4,0,IF($F83=3,0,IF(OR(57&gt;$R83,CW83&lt;=$I83),CW83,CW83-MIN(INT(ROUND(IF($F83=1,$C83*$J83,IF(GV83&gt;0,GV83*$K83,CW83*$J83))*IF(57=$R83,$S83,12)/12,6)+$B$4),CW83-$I83)))))</f>
        <v/>
      </c>
      <c r="CY83" s="68">
        <f>IF($U83=0,0,IF($F83=4,0,IF($F83=3,0,IF(OR(58&gt;$R83,CX83&lt;=$I83),CX83,CX83-MIN(INT(ROUND(IF($F83=1,$C83*$J83,IF(GW83&gt;0,GW83*$K83,CX83*$J83))*IF(58=$R83,$S83,12)/12,6)+$B$4),CX83-$I83)))))</f>
        <v/>
      </c>
      <c r="CZ83" s="68">
        <f>IF($U83=0,0,IF($F83=4,0,IF($F83=3,0,IF(OR(59&gt;$R83,CY83&lt;=$I83),CY83,CY83-MIN(INT(ROUND(IF($F83=1,$C83*$J83,IF(GX83&gt;0,GX83*$K83,CY83*$J83))*IF(59=$R83,$S83,12)/12,6)+$B$4),CY83-$I83)))))</f>
        <v/>
      </c>
      <c r="DA83" s="68">
        <f>IF($U83=0,0,IF($F83=4,0,IF($F83=3,0,IF(OR(60&gt;$R83,CZ83&lt;=$I83),CZ83,CZ83-MIN(INT(ROUND(IF($F83=1,$C83*$J83,IF(GY83&gt;0,GY83*$K83,CZ83*$J83))*IF(60=$R83,$S83,12)/12,6)+$B$4),CZ83-$I83)))))</f>
        <v/>
      </c>
      <c r="DB83" s="68">
        <f>IF($U83=0,0,IF($F83=4,0,IF($F83=3,0,IF(OR(61&gt;$R83,DA83&lt;=$I83),DA83,DA83-MIN(INT(ROUND(IF($F83=1,$C83*$J83,IF(GZ83&gt;0,GZ83*$K83,DA83*$J83))*IF(61=$R83,$S83,12)/12,6)+$B$4),DA83-$I83)))))</f>
        <v/>
      </c>
      <c r="DC83" s="68">
        <f>IF($U83=0,0,IF($F83=4,0,IF($F83=3,0,IF(OR(62&gt;$R83,DB83&lt;=$I83),DB83,DB83-MIN(INT(ROUND(IF($F83=1,$C83*$J83,IF(HA83&gt;0,HA83*$K83,DB83*$J83))*IF(62=$R83,$S83,12)/12,6)+$B$4),DB83-$I83)))))</f>
        <v/>
      </c>
      <c r="DD83" s="68">
        <f>IF($U83=0,0,IF($F83=4,0,IF($F83=3,0,IF(OR(63&gt;$R83,DC83&lt;=$I83),DC83,DC83-MIN(INT(ROUND(IF($F83=1,$C83*$J83,IF(HB83&gt;0,HB83*$K83,DC83*$J83))*IF(63=$R83,$S83,12)/12,6)+$B$4),DC83-$I83)))))</f>
        <v/>
      </c>
      <c r="DE83" s="68">
        <f>IF($U83=0,0,IF($F83=4,0,IF($F83=3,0,IF(OR(64&gt;$R83,DD83&lt;=$I83),DD83,DD83-MIN(INT(ROUND(IF($F83=1,$C83*$J83,IF(HC83&gt;0,HC83*$K83,DD83*$J83))*IF(64=$R83,$S83,12)/12,6)+$B$4),DD83-$I83)))))</f>
        <v/>
      </c>
      <c r="DF83" s="68">
        <f>IF($U83=0,0,IF($F83=4,0,IF($F83=3,0,IF(OR(65&gt;$R83,DE83&lt;=$I83),DE83,DE83-MIN(INT(ROUND(IF($F83=1,$C83*$J83,IF(HD83&gt;0,HD83*$K83,DE83*$J83))*IF(65=$R83,$S83,12)/12,6)+$B$4),DE83-$I83)))))</f>
        <v/>
      </c>
      <c r="DG83" s="68">
        <f>IF($U83=0,0,IF($F83=4,0,IF($F83=3,0,IF(OR(66&gt;$R83,DF83&lt;=$I83),DF83,DF83-MIN(INT(ROUND(IF($F83=1,$C83*$J83,IF(HE83&gt;0,HE83*$K83,DF83*$J83))*IF(66=$R83,$S83,12)/12,6)+$B$4),DF83-$I83)))))</f>
        <v/>
      </c>
      <c r="DH83" s="68">
        <f>IF($U83=0,0,IF($F83=4,0,IF($F83=3,0,IF(OR(67&gt;$R83,DG83&lt;=$I83),DG83,DG83-MIN(INT(ROUND(IF($F83=1,$C83*$J83,IF(HF83&gt;0,HF83*$K83,DG83*$J83))*IF(67=$R83,$S83,12)/12,6)+$B$4),DG83-$I83)))))</f>
        <v/>
      </c>
      <c r="DI83" s="68">
        <f>IF($U83=0,0,IF($F83=4,0,IF($F83=3,0,IF(OR(68&gt;$R83,DH83&lt;=$I83),DH83,DH83-MIN(INT(ROUND(IF($F83=1,$C83*$J83,IF(HG83&gt;0,HG83*$K83,DH83*$J83))*IF(68=$R83,$S83,12)/12,6)+$B$4),DH83-$I83)))))</f>
        <v/>
      </c>
      <c r="DJ83" s="68">
        <f>IF($U83=0,0,IF($F83=4,0,IF($F83=3,0,IF(OR(69&gt;$R83,DI83&lt;=$I83),DI83,DI83-MIN(INT(ROUND(IF($F83=1,$C83*$J83,IF(HH83&gt;0,HH83*$K83,DI83*$J83))*IF(69=$R83,$S83,12)/12,6)+$B$4),DI83-$I83)))))</f>
        <v/>
      </c>
      <c r="DK83" s="68">
        <f>IF($U83=0,0,IF($F83=4,0,IF($F83=3,0,IF(OR(70&gt;$R83,DJ83&lt;=$I83),DJ83,DJ83-MIN(INT(ROUND(IF($F83=1,$C83*$J83,IF(HI83&gt;0,HI83*$K83,DJ83*$J83))*IF(70=$R83,$S83,12)/12,6)+$B$4),DJ83-$I83)))))</f>
        <v/>
      </c>
      <c r="DL83" s="68">
        <f>IF($U83=0,0,IF($F83=4,0,IF($F83=3,0,IF(OR(71&gt;$R83,DK83&lt;=$I83),DK83,DK83-MIN(INT(ROUND(IF($F83=1,$C83*$J83,IF(HJ83&gt;0,HJ83*$K83,DK83*$J83))*IF(71=$R83,$S83,12)/12,6)+$B$4),DK83-$I83)))))</f>
        <v/>
      </c>
      <c r="DM83" s="68">
        <f>IF($U83=0,0,IF($F83=4,0,IF($F83=3,0,IF(OR(72&gt;$R83,DL83&lt;=$I83),DL83,DL83-MIN(INT(ROUND(IF($F83=1,$C83*$J83,IF(HK83&gt;0,HK83*$K83,DL83*$J83))*IF(72=$R83,$S83,12)/12,6)+$B$4),DL83-$I83)))))</f>
        <v/>
      </c>
      <c r="DN83" s="68">
        <f>IF($U83=0,0,IF($F83=4,0,IF($F83=3,0,IF(OR(73&gt;$R83,DM83&lt;=$I83),DM83,DM83-MIN(INT(ROUND(IF($F83=1,$C83*$J83,IF(HL83&gt;0,HL83*$K83,DM83*$J83))*IF(73=$R83,$S83,12)/12,6)+$B$4),DM83-$I83)))))</f>
        <v/>
      </c>
      <c r="DO83" s="68">
        <f>IF($U83=0,0,IF($F83=4,0,IF($F83=3,0,IF(OR(74&gt;$R83,DN83&lt;=$I83),DN83,DN83-MIN(INT(ROUND(IF($F83=1,$C83*$J83,IF(HM83&gt;0,HM83*$K83,DN83*$J83))*IF(74=$R83,$S83,12)/12,6)+$B$4),DN83-$I83)))))</f>
        <v/>
      </c>
      <c r="DP83" s="68">
        <f>IF($U83=0,0,IF($F83=4,0,IF($F83=3,0,IF(OR(75&gt;$R83,DO83&lt;=$I83),DO83,DO83-MIN(INT(ROUND(IF($F83=1,$C83*$J83,IF(HN83&gt;0,HN83*$K83,DO83*$J83))*IF(75=$R83,$S83,12)/12,6)+$B$4),DO83-$I83)))))</f>
        <v/>
      </c>
      <c r="DQ83" s="68">
        <f>IF($U83=0,0,IF($F83=4,0,IF($F83=3,0,IF(OR(76&gt;$R83,DP83&lt;=$I83),DP83,DP83-MIN(INT(ROUND(IF($F83=1,$C83*$J83,IF(HO83&gt;0,HO83*$K83,DP83*$J83))*IF(76=$R83,$S83,12)/12,6)+$B$4),DP83-$I83)))))</f>
        <v/>
      </c>
      <c r="DR83" s="68">
        <f>IF($U83=0,0,IF($F83=4,0,IF($F83=3,0,IF(OR(77&gt;$R83,DQ83&lt;=$I83),DQ83,DQ83-MIN(INT(ROUND(IF($F83=1,$C83*$J83,IF(HP83&gt;0,HP83*$K83,DQ83*$J83))*IF(77=$R83,$S83,12)/12,6)+$B$4),DQ83-$I83)))))</f>
        <v/>
      </c>
      <c r="DS83" s="68">
        <f>IF($U83=0,0,IF($F83=4,0,IF($F83=3,0,IF(OR(78&gt;$R83,DR83&lt;=$I83),DR83,DR83-MIN(INT(ROUND(IF($F83=1,$C83*$J83,IF(HQ83&gt;0,HQ83*$K83,DR83*$J83))*IF(78=$R83,$S83,12)/12,6)+$B$4),DR83-$I83)))))</f>
        <v/>
      </c>
      <c r="DT83" s="68">
        <f>IF($U83=0,0,IF($F83=4,0,IF($F83=3,0,IF(OR(79&gt;$R83,DS83&lt;=$I83),DS83,DS83-MIN(INT(ROUND(IF($F83=1,$C83*$J83,IF(HR83&gt;0,HR83*$K83,DS83*$J83))*IF(79=$R83,$S83,12)/12,6)+$B$4),DS83-$I83)))))</f>
        <v/>
      </c>
      <c r="DU83" s="68">
        <f>IF($U83=0,0,IF($F83=4,0,IF($F83=3,0,IF(OR(80&gt;$R83,DT83&lt;=$I83),DT83,DT83-MIN(INT(ROUND(IF($F83=1,$C83*$J83,IF(HS83&gt;0,HS83*$K83,DT83*$J83))*IF(80=$R83,$S83,12)/12,6)+$B$4),DT83-$I83)))))</f>
        <v/>
      </c>
      <c r="DV83" s="68">
        <f>IF($U83=0,0,IF($F83=4,0,IF($F83=3,0,IF(OR(81&gt;$R83,DU83&lt;=$I83),DU83,DU83-MIN(INT(ROUND(IF($F83=1,$C83*$J83,IF(HT83&gt;0,HT83*$K83,DU83*$J83))*IF(81=$R83,$S83,12)/12,6)+$B$4),DU83-$I83)))))</f>
        <v/>
      </c>
      <c r="DW83" s="68">
        <f>IF($U83=0,0,IF($F83=4,0,IF($F83=3,0,IF(OR(82&gt;$R83,DV83&lt;=$I83),DV83,DV83-MIN(INT(ROUND(IF($F83=1,$C83*$J83,IF(HU83&gt;0,HU83*$K83,DV83*$J83))*IF(82=$R83,$S83,12)/12,6)+$B$4),DV83-$I83)))))</f>
        <v/>
      </c>
      <c r="DX83" s="68">
        <f>IF($U83=0,0,IF($F83=4,0,IF($F83=3,0,IF(OR(83&gt;$R83,DW83&lt;=$I83),DW83,DW83-MIN(INT(ROUND(IF($F83=1,$C83*$J83,IF(HV83&gt;0,HV83*$K83,DW83*$J83))*IF(83=$R83,$S83,12)/12,6)+$B$4),DW83-$I83)))))</f>
        <v/>
      </c>
      <c r="DY83" s="68">
        <f>IF($U83=0,0,IF($F83=4,0,IF($F83=3,0,IF(OR(84&gt;$R83,DX83&lt;=$I83),DX83,DX83-MIN(INT(ROUND(IF($F83=1,$C83*$J83,IF(HW83&gt;0,HW83*$K83,DX83*$J83))*IF(84=$R83,$S83,12)/12,6)+$B$4),DX83-$I83)))))</f>
        <v/>
      </c>
      <c r="DZ83" s="68">
        <f>IF($U83=0,0,IF($F83=4,0,IF($F83=3,0,IF(OR(85&gt;$R83,DY83&lt;=$I83),DY83,DY83-MIN(INT(ROUND(IF($F83=1,$C83*$J83,IF(HX83&gt;0,HX83*$K83,DY83*$J83))*IF(85=$R83,$S83,12)/12,6)+$B$4),DY83-$I83)))))</f>
        <v/>
      </c>
      <c r="EA83" s="68">
        <f>IF($U83=0,0,IF($F83=4,0,IF($F83=3,0,IF(OR(86&gt;$R83,DZ83&lt;=$I83),DZ83,DZ83-MIN(INT(ROUND(IF($F83=1,$C83*$J83,IF(HY83&gt;0,HY83*$K83,DZ83*$J83))*IF(86=$R83,$S83,12)/12,6)+$B$4),DZ83-$I83)))))</f>
        <v/>
      </c>
      <c r="EB83" s="68">
        <f>IF($U83=0,0,IF($F83=4,0,IF($F83=3,0,IF(OR(87&gt;$R83,EA83&lt;=$I83),EA83,EA83-MIN(INT(ROUND(IF($F83=1,$C83*$J83,IF(HZ83&gt;0,HZ83*$K83,EA83*$J83))*IF(87=$R83,$S83,12)/12,6)+$B$4),EA83-$I83)))))</f>
        <v/>
      </c>
      <c r="EC83" s="68">
        <f>IF($U83=0,0,IF($F83=4,0,IF($F83=3,0,IF(OR(88&gt;$R83,EB83&lt;=$I83),EB83,EB83-MIN(INT(ROUND(IF($F83=1,$C83*$J83,IF(IA83&gt;0,IA83*$K83,EB83*$J83))*IF(88=$R83,$S83,12)/12,6)+$B$4),EB83-$I83)))))</f>
        <v/>
      </c>
      <c r="ED83" s="68">
        <f>IF($U83=0,0,IF($F83=4,0,IF($F83=3,0,IF(OR(89&gt;$R83,EC83&lt;=$I83),EC83,EC83-MIN(INT(ROUND(IF($F83=1,$C83*$J83,IF(IB83&gt;0,IB83*$K83,EC83*$J83))*IF(89=$R83,$S83,12)/12,6)+$B$4),EC83-$I83)))))</f>
        <v/>
      </c>
      <c r="EE83" s="68">
        <f>IF($U83=0,0,IF($F83=4,0,IF($F83=3,0,IF(OR(90&gt;$R83,ED83&lt;=$I83),ED83,ED83-MIN(INT(ROUND(IF($F83=1,$C83*$J83,IF(IC83&gt;0,IC83*$K83,ED83*$J83))*IF(90=$R83,$S83,12)/12,6)+$B$4),ED83-$I83)))))</f>
        <v/>
      </c>
      <c r="EF83" s="68">
        <f>IF($U83=0,0,IF($F83=4,0,IF($F83=3,0,IF(OR(91&gt;$R83,EE83&lt;=$I83),EE83,EE83-MIN(INT(ROUND(IF($F83=1,$C83*$J83,IF(ID83&gt;0,ID83*$K83,EE83*$J83))*IF(91=$R83,$S83,12)/12,6)+$B$4),EE83-$I83)))))</f>
        <v/>
      </c>
      <c r="EG83" s="68">
        <f>IF($U83=0,0,IF($F83=4,0,IF($F83=3,0,IF(OR(92&gt;$R83,EF83&lt;=$I83),EF83,EF83-MIN(INT(ROUND(IF($F83=1,$C83*$J83,IF(IE83&gt;0,IE83*$K83,EF83*$J83))*IF(92=$R83,$S83,12)/12,6)+$B$4),EF83-$I83)))))</f>
        <v/>
      </c>
      <c r="EH83" s="68">
        <f>IF($U83=0,0,IF($F83=4,0,IF($F83=3,0,IF(OR(93&gt;$R83,EG83&lt;=$I83),EG83,EG83-MIN(INT(ROUND(IF($F83=1,$C83*$J83,IF(IF83&gt;0,IF83*$K83,EG83*$J83))*IF(93=$R83,$S83,12)/12,6)+$B$4),EG83-$I83)))))</f>
        <v/>
      </c>
      <c r="EI83" s="68">
        <f>IF($U83=0,0,IF($F83=4,0,IF($F83=3,0,IF(OR(94&gt;$R83,EH83&lt;=$I83),EH83,EH83-MIN(INT(ROUND(IF($F83=1,$C83*$J83,IF(IG83&gt;0,IG83*$K83,EH83*$J83))*IF(94=$R83,$S83,12)/12,6)+$B$4),EH83-$I83)))))</f>
        <v/>
      </c>
      <c r="EJ83" s="68">
        <f>IF($U83=0,0,IF($F83=4,0,IF($F83=3,0,IF(OR(95&gt;$R83,EI83&lt;=$I83),EI83,EI83-MIN(INT(ROUND(IF($F83=1,$C83*$J83,IF(IH83&gt;0,IH83*$K83,EI83*$J83))*IF(95=$R83,$S83,12)/12,6)+$B$4),EI83-$I83)))))</f>
        <v/>
      </c>
      <c r="EK83" s="68">
        <f>IF($U83=0,0,IF($F83=4,0,IF($F83=3,0,IF(OR(96&gt;$R83,EJ83&lt;=$I83),EJ83,EJ83-MIN(INT(ROUND(IF($F83=1,$C83*$J83,IF(II83&gt;0,II83*$K83,EJ83*$J83))*IF(96=$R83,$S83,12)/12,6)+$B$4),EJ83-$I83)))))</f>
        <v/>
      </c>
      <c r="EL83" s="68">
        <f>IF($U83=0,0,IF($F83=4,0,IF($F83=3,0,IF(OR(97&gt;$R83,EK83&lt;=$I83),EK83,EK83-MIN(INT(ROUND(IF($F83=1,$C83*$J83,IF(IJ83&gt;0,IJ83*$K83,EK83*$J83))*IF(97=$R83,$S83,12)/12,6)+$B$4),EK83-$I83)))))</f>
        <v/>
      </c>
      <c r="EM83" s="68">
        <f>IF($U83=0,0,IF($F83=4,0,IF($F83=3,0,IF(OR(98&gt;$R83,EL83&lt;=$I83),EL83,EL83-MIN(INT(ROUND(IF($F83=1,$C83*$J83,IF(IK83&gt;0,IK83*$K83,EL83*$J83))*IF(98=$R83,$S83,12)/12,6)+$B$4),EL83-$I83)))))</f>
        <v/>
      </c>
      <c r="EN83" s="68">
        <f>IF($U83=0,0,IF($F83=4,0,IF($F83=3,0,IF(OR(99&gt;$R83,EM83&lt;=$I83),EM83,EM83-MIN(INT(ROUND(IF($F83=1,$C83*$J83,IF(IL83&gt;0,IL83*$K83,EM83*$J83))*IF(99=$R83,$S83,12)/12,6)+$B$4),EM83-$I83)))))</f>
        <v/>
      </c>
      <c r="EO83" s="68">
        <f>IF($U83=0,0,IF($F83=4,0,IF($F83=3,0,IF(OR(100&gt;$R83,EN83&lt;=$I83),EN83,EN83-MIN(INT(ROUND(IF($F83=1,$C83*$J83,IF(IM83&gt;0,IM83*$K83,EN83*$J83))*IF(100=$R83,$S83,12)/12,6)+$B$4),EN83-$I83)))))</f>
        <v/>
      </c>
      <c r="EP83" s="68">
        <f>IF($U83=0,0,IF($F83=4,0,IF($F83=3,0,IF(OR(101&gt;$R83,EO83&lt;=$I83),EO83,EO83-MIN(INT(ROUND(IF($F83=1,$C83*$J83,IF(IN83&gt;0,IN83*$K83,EO83*$J83))*IF(101=$R83,$S83,12)/12,6)+$B$4),EO83-$I83)))))</f>
        <v/>
      </c>
      <c r="EQ83" s="68" t="n"/>
      <c r="ER83" s="68">
        <f>IF(OR($U83=0,$F83&lt;&gt;2),0,IF(ROUND(AS83*$J83,6)&lt;ROUND($M83,6),AS83,0))</f>
        <v/>
      </c>
      <c r="ES83" s="68">
        <f>IF(OR($U83=0,$F83&lt;&gt;2),0,IF(ER83&gt;0,ER83,IF(ROUND(AT83*$J83,6)&lt;ROUND($M83,6),AT83,0)))</f>
        <v/>
      </c>
      <c r="ET83" s="68">
        <f>IF(OR($U83=0,$F83&lt;&gt;2),0,IF(ES83&gt;0,ES83,IF(ROUND(AU83*$J83,6)&lt;ROUND($M83,6),AU83,0)))</f>
        <v/>
      </c>
      <c r="EU83" s="68">
        <f>IF(OR($U83=0,$F83&lt;&gt;2),0,IF(ET83&gt;0,ET83,IF(ROUND(AV83*$J83,6)&lt;ROUND($M83,6),AV83,0)))</f>
        <v/>
      </c>
      <c r="EV83" s="68">
        <f>IF(OR($U83=0,$F83&lt;&gt;2),0,IF(EU83&gt;0,EU83,IF(ROUND(AW83*$J83,6)&lt;ROUND($M83,6),AW83,0)))</f>
        <v/>
      </c>
      <c r="EW83" s="68">
        <f>IF(OR($U83=0,$F83&lt;&gt;2),0,IF(EV83&gt;0,EV83,IF(ROUND(AX83*$J83,6)&lt;ROUND($M83,6),AX83,0)))</f>
        <v/>
      </c>
      <c r="EX83" s="68">
        <f>IF(OR($U83=0,$F83&lt;&gt;2),0,IF(EW83&gt;0,EW83,IF(ROUND(AY83*$J83,6)&lt;ROUND($M83,6),AY83,0)))</f>
        <v/>
      </c>
      <c r="EY83" s="68">
        <f>IF(OR($U83=0,$F83&lt;&gt;2),0,IF(EX83&gt;0,EX83,IF(ROUND(AZ83*$J83,6)&lt;ROUND($M83,6),AZ83,0)))</f>
        <v/>
      </c>
      <c r="EZ83" s="68">
        <f>IF(OR($U83=0,$F83&lt;&gt;2),0,IF(EY83&gt;0,EY83,IF(ROUND(BA83*$J83,6)&lt;ROUND($M83,6),BA83,0)))</f>
        <v/>
      </c>
      <c r="FA83" s="68">
        <f>IF(OR($U83=0,$F83&lt;&gt;2),0,IF(EZ83&gt;0,EZ83,IF(ROUND(BB83*$J83,6)&lt;ROUND($M83,6),BB83,0)))</f>
        <v/>
      </c>
      <c r="FB83" s="68">
        <f>IF(OR($U83=0,$F83&lt;&gt;2),0,IF(FA83&gt;0,FA83,IF(ROUND(BC83*$J83,6)&lt;ROUND($M83,6),BC83,0)))</f>
        <v/>
      </c>
      <c r="FC83" s="68">
        <f>IF(OR($U83=0,$F83&lt;&gt;2),0,IF(FB83&gt;0,FB83,IF(ROUND(BD83*$J83,6)&lt;ROUND($M83,6),BD83,0)))</f>
        <v/>
      </c>
      <c r="FD83" s="68">
        <f>IF(OR($U83=0,$F83&lt;&gt;2),0,IF(FC83&gt;0,FC83,IF(ROUND(BE83*$J83,6)&lt;ROUND($M83,6),BE83,0)))</f>
        <v/>
      </c>
      <c r="FE83" s="68">
        <f>IF(OR($U83=0,$F83&lt;&gt;2),0,IF(FD83&gt;0,FD83,IF(ROUND(BF83*$J83,6)&lt;ROUND($M83,6),BF83,0)))</f>
        <v/>
      </c>
      <c r="FF83" s="68">
        <f>IF(OR($U83=0,$F83&lt;&gt;2),0,IF(FE83&gt;0,FE83,IF(ROUND(BG83*$J83,6)&lt;ROUND($M83,6),BG83,0)))</f>
        <v/>
      </c>
      <c r="FG83" s="68">
        <f>IF(OR($U83=0,$F83&lt;&gt;2),0,IF(FF83&gt;0,FF83,IF(ROUND(BH83*$J83,6)&lt;ROUND($M83,6),BH83,0)))</f>
        <v/>
      </c>
      <c r="FH83" s="68">
        <f>IF(OR($U83=0,$F83&lt;&gt;2),0,IF(FG83&gt;0,FG83,IF(ROUND(BI83*$J83,6)&lt;ROUND($M83,6),BI83,0)))</f>
        <v/>
      </c>
      <c r="FI83" s="68">
        <f>IF(OR($U83=0,$F83&lt;&gt;2),0,IF(FH83&gt;0,FH83,IF(ROUND(BJ83*$J83,6)&lt;ROUND($M83,6),BJ83,0)))</f>
        <v/>
      </c>
      <c r="FJ83" s="68">
        <f>IF(OR($U83=0,$F83&lt;&gt;2),0,IF(FI83&gt;0,FI83,IF(ROUND(BK83*$J83,6)&lt;ROUND($M83,6),BK83,0)))</f>
        <v/>
      </c>
      <c r="FK83" s="68">
        <f>IF(OR($U83=0,$F83&lt;&gt;2),0,IF(FJ83&gt;0,FJ83,IF(ROUND(BL83*$J83,6)&lt;ROUND($M83,6),BL83,0)))</f>
        <v/>
      </c>
      <c r="FL83" s="68">
        <f>IF(OR($U83=0,$F83&lt;&gt;2),0,IF(FK83&gt;0,FK83,IF(ROUND(BM83*$J83,6)&lt;ROUND($M83,6),BM83,0)))</f>
        <v/>
      </c>
      <c r="FM83" s="68">
        <f>IF(OR($U83=0,$F83&lt;&gt;2),0,IF(FL83&gt;0,FL83,IF(ROUND(BN83*$J83,6)&lt;ROUND($M83,6),BN83,0)))</f>
        <v/>
      </c>
      <c r="FN83" s="68">
        <f>IF(OR($U83=0,$F83&lt;&gt;2),0,IF(FM83&gt;0,FM83,IF(ROUND(BO83*$J83,6)&lt;ROUND($M83,6),BO83,0)))</f>
        <v/>
      </c>
      <c r="FO83" s="68">
        <f>IF(OR($U83=0,$F83&lt;&gt;2),0,IF(FN83&gt;0,FN83,IF(ROUND(BP83*$J83,6)&lt;ROUND($M83,6),BP83,0)))</f>
        <v/>
      </c>
      <c r="FP83" s="68">
        <f>IF(OR($U83=0,$F83&lt;&gt;2),0,IF(FO83&gt;0,FO83,IF(ROUND(BQ83*$J83,6)&lt;ROUND($M83,6),BQ83,0)))</f>
        <v/>
      </c>
      <c r="FQ83" s="68">
        <f>IF(OR($U83=0,$F83&lt;&gt;2),0,IF(FP83&gt;0,FP83,IF(ROUND(BR83*$J83,6)&lt;ROUND($M83,6),BR83,0)))</f>
        <v/>
      </c>
      <c r="FR83" s="68">
        <f>IF(OR($U83=0,$F83&lt;&gt;2),0,IF(FQ83&gt;0,FQ83,IF(ROUND(BS83*$J83,6)&lt;ROUND($M83,6),BS83,0)))</f>
        <v/>
      </c>
      <c r="FS83" s="68">
        <f>IF(OR($U83=0,$F83&lt;&gt;2),0,IF(FR83&gt;0,FR83,IF(ROUND(BT83*$J83,6)&lt;ROUND($M83,6),BT83,0)))</f>
        <v/>
      </c>
      <c r="FT83" s="68">
        <f>IF(OR($U83=0,$F83&lt;&gt;2),0,IF(FS83&gt;0,FS83,IF(ROUND(BU83*$J83,6)&lt;ROUND($M83,6),BU83,0)))</f>
        <v/>
      </c>
      <c r="FU83" s="68">
        <f>IF(OR($U83=0,$F83&lt;&gt;2),0,IF(FT83&gt;0,FT83,IF(ROUND(BV83*$J83,6)&lt;ROUND($M83,6),BV83,0)))</f>
        <v/>
      </c>
      <c r="FV83" s="68">
        <f>IF(OR($U83=0,$F83&lt;&gt;2),0,IF(FU83&gt;0,FU83,IF(ROUND(BW83*$J83,6)&lt;ROUND($M83,6),BW83,0)))</f>
        <v/>
      </c>
      <c r="FW83" s="68">
        <f>IF(OR($U83=0,$F83&lt;&gt;2),0,IF(FV83&gt;0,FV83,IF(ROUND(BX83*$J83,6)&lt;ROUND($M83,6),BX83,0)))</f>
        <v/>
      </c>
      <c r="FX83" s="68">
        <f>IF(OR($U83=0,$F83&lt;&gt;2),0,IF(FW83&gt;0,FW83,IF(ROUND(BY83*$J83,6)&lt;ROUND($M83,6),BY83,0)))</f>
        <v/>
      </c>
      <c r="FY83" s="68">
        <f>IF(OR($U83=0,$F83&lt;&gt;2),0,IF(FX83&gt;0,FX83,IF(ROUND(BZ83*$J83,6)&lt;ROUND($M83,6),BZ83,0)))</f>
        <v/>
      </c>
      <c r="FZ83" s="68">
        <f>IF(OR($U83=0,$F83&lt;&gt;2),0,IF(FY83&gt;0,FY83,IF(ROUND(CA83*$J83,6)&lt;ROUND($M83,6),CA83,0)))</f>
        <v/>
      </c>
      <c r="GA83" s="68">
        <f>IF(OR($U83=0,$F83&lt;&gt;2),0,IF(FZ83&gt;0,FZ83,IF(ROUND(CB83*$J83,6)&lt;ROUND($M83,6),CB83,0)))</f>
        <v/>
      </c>
      <c r="GB83" s="68">
        <f>IF(OR($U83=0,$F83&lt;&gt;2),0,IF(GA83&gt;0,GA83,IF(ROUND(CC83*$J83,6)&lt;ROUND($M83,6),CC83,0)))</f>
        <v/>
      </c>
      <c r="GC83" s="68">
        <f>IF(OR($U83=0,$F83&lt;&gt;2),0,IF(GB83&gt;0,GB83,IF(ROUND(CD83*$J83,6)&lt;ROUND($M83,6),CD83,0)))</f>
        <v/>
      </c>
      <c r="GD83" s="68">
        <f>IF(OR($U83=0,$F83&lt;&gt;2),0,IF(GC83&gt;0,GC83,IF(ROUND(CE83*$J83,6)&lt;ROUND($M83,6),CE83,0)))</f>
        <v/>
      </c>
      <c r="GE83" s="68">
        <f>IF(OR($U83=0,$F83&lt;&gt;2),0,IF(GD83&gt;0,GD83,IF(ROUND(CF83*$J83,6)&lt;ROUND($M83,6),CF83,0)))</f>
        <v/>
      </c>
      <c r="GF83" s="68">
        <f>IF(OR($U83=0,$F83&lt;&gt;2),0,IF(GE83&gt;0,GE83,IF(ROUND(CG83*$J83,6)&lt;ROUND($M83,6),CG83,0)))</f>
        <v/>
      </c>
      <c r="GG83" s="68">
        <f>IF(OR($U83=0,$F83&lt;&gt;2),0,IF(GF83&gt;0,GF83,IF(ROUND(CH83*$J83,6)&lt;ROUND($M83,6),CH83,0)))</f>
        <v/>
      </c>
      <c r="GH83" s="68">
        <f>IF(OR($U83=0,$F83&lt;&gt;2),0,IF(GG83&gt;0,GG83,IF(ROUND(CI83*$J83,6)&lt;ROUND($M83,6),CI83,0)))</f>
        <v/>
      </c>
      <c r="GI83" s="68">
        <f>IF(OR($U83=0,$F83&lt;&gt;2),0,IF(GH83&gt;0,GH83,IF(ROUND(CJ83*$J83,6)&lt;ROUND($M83,6),CJ83,0)))</f>
        <v/>
      </c>
      <c r="GJ83" s="68">
        <f>IF(OR($U83=0,$F83&lt;&gt;2),0,IF(GI83&gt;0,GI83,IF(ROUND(CK83*$J83,6)&lt;ROUND($M83,6),CK83,0)))</f>
        <v/>
      </c>
      <c r="GK83" s="68">
        <f>IF(OR($U83=0,$F83&lt;&gt;2),0,IF(GJ83&gt;0,GJ83,IF(ROUND(CL83*$J83,6)&lt;ROUND($M83,6),CL83,0)))</f>
        <v/>
      </c>
      <c r="GL83" s="68">
        <f>IF(OR($U83=0,$F83&lt;&gt;2),0,IF(GK83&gt;0,GK83,IF(ROUND(CM83*$J83,6)&lt;ROUND($M83,6),CM83,0)))</f>
        <v/>
      </c>
      <c r="GM83" s="68">
        <f>IF(OR($U83=0,$F83&lt;&gt;2),0,IF(GL83&gt;0,GL83,IF(ROUND(CN83*$J83,6)&lt;ROUND($M83,6),CN83,0)))</f>
        <v/>
      </c>
      <c r="GN83" s="68">
        <f>IF(OR($U83=0,$F83&lt;&gt;2),0,IF(GM83&gt;0,GM83,IF(ROUND(CO83*$J83,6)&lt;ROUND($M83,6),CO83,0)))</f>
        <v/>
      </c>
      <c r="GO83" s="68">
        <f>IF(OR($U83=0,$F83&lt;&gt;2),0,IF(GN83&gt;0,GN83,IF(ROUND(CP83*$J83,6)&lt;ROUND($M83,6),CP83,0)))</f>
        <v/>
      </c>
      <c r="GP83" s="68">
        <f>IF(OR($U83=0,$F83&lt;&gt;2),0,IF(GO83&gt;0,GO83,IF(ROUND(CQ83*$J83,6)&lt;ROUND($M83,6),CQ83,0)))</f>
        <v/>
      </c>
      <c r="GQ83" s="68">
        <f>IF(OR($U83=0,$F83&lt;&gt;2),0,IF(GP83&gt;0,GP83,IF(ROUND(CR83*$J83,6)&lt;ROUND($M83,6),CR83,0)))</f>
        <v/>
      </c>
      <c r="GR83" s="68">
        <f>IF(OR($U83=0,$F83&lt;&gt;2),0,IF(GQ83&gt;0,GQ83,IF(ROUND(CS83*$J83,6)&lt;ROUND($M83,6),CS83,0)))</f>
        <v/>
      </c>
      <c r="GS83" s="68">
        <f>IF(OR($U83=0,$F83&lt;&gt;2),0,IF(GR83&gt;0,GR83,IF(ROUND(CT83*$J83,6)&lt;ROUND($M83,6),CT83,0)))</f>
        <v/>
      </c>
      <c r="GT83" s="68">
        <f>IF(OR($U83=0,$F83&lt;&gt;2),0,IF(GS83&gt;0,GS83,IF(ROUND(CU83*$J83,6)&lt;ROUND($M83,6),CU83,0)))</f>
        <v/>
      </c>
      <c r="GU83" s="68">
        <f>IF(OR($U83=0,$F83&lt;&gt;2),0,IF(GT83&gt;0,GT83,IF(ROUND(CV83*$J83,6)&lt;ROUND($M83,6),CV83,0)))</f>
        <v/>
      </c>
      <c r="GV83" s="68">
        <f>IF(OR($U83=0,$F83&lt;&gt;2),0,IF(GU83&gt;0,GU83,IF(ROUND(CW83*$J83,6)&lt;ROUND($M83,6),CW83,0)))</f>
        <v/>
      </c>
      <c r="GW83" s="68">
        <f>IF(OR($U83=0,$F83&lt;&gt;2),0,IF(GV83&gt;0,GV83,IF(ROUND(CX83*$J83,6)&lt;ROUND($M83,6),CX83,0)))</f>
        <v/>
      </c>
      <c r="GX83" s="68">
        <f>IF(OR($U83=0,$F83&lt;&gt;2),0,IF(GW83&gt;0,GW83,IF(ROUND(CY83*$J83,6)&lt;ROUND($M83,6),CY83,0)))</f>
        <v/>
      </c>
      <c r="GY83" s="68">
        <f>IF(OR($U83=0,$F83&lt;&gt;2),0,IF(GX83&gt;0,GX83,IF(ROUND(CZ83*$J83,6)&lt;ROUND($M83,6),CZ83,0)))</f>
        <v/>
      </c>
      <c r="GZ83" s="68">
        <f>IF(OR($U83=0,$F83&lt;&gt;2),0,IF(GY83&gt;0,GY83,IF(ROUND(DA83*$J83,6)&lt;ROUND($M83,6),DA83,0)))</f>
        <v/>
      </c>
      <c r="HA83" s="68">
        <f>IF(OR($U83=0,$F83&lt;&gt;2),0,IF(GZ83&gt;0,GZ83,IF(ROUND(DB83*$J83,6)&lt;ROUND($M83,6),DB83,0)))</f>
        <v/>
      </c>
      <c r="HB83" s="68">
        <f>IF(OR($U83=0,$F83&lt;&gt;2),0,IF(HA83&gt;0,HA83,IF(ROUND(DC83*$J83,6)&lt;ROUND($M83,6),DC83,0)))</f>
        <v/>
      </c>
      <c r="HC83" s="68">
        <f>IF(OR($U83=0,$F83&lt;&gt;2),0,IF(HB83&gt;0,HB83,IF(ROUND(DD83*$J83,6)&lt;ROUND($M83,6),DD83,0)))</f>
        <v/>
      </c>
      <c r="HD83" s="68">
        <f>IF(OR($U83=0,$F83&lt;&gt;2),0,IF(HC83&gt;0,HC83,IF(ROUND(DE83*$J83,6)&lt;ROUND($M83,6),DE83,0)))</f>
        <v/>
      </c>
      <c r="HE83" s="68">
        <f>IF(OR($U83=0,$F83&lt;&gt;2),0,IF(HD83&gt;0,HD83,IF(ROUND(DF83*$J83,6)&lt;ROUND($M83,6),DF83,0)))</f>
        <v/>
      </c>
      <c r="HF83" s="68">
        <f>IF(OR($U83=0,$F83&lt;&gt;2),0,IF(HE83&gt;0,HE83,IF(ROUND(DG83*$J83,6)&lt;ROUND($M83,6),DG83,0)))</f>
        <v/>
      </c>
      <c r="HG83" s="68">
        <f>IF(OR($U83=0,$F83&lt;&gt;2),0,IF(HF83&gt;0,HF83,IF(ROUND(DH83*$J83,6)&lt;ROUND($M83,6),DH83,0)))</f>
        <v/>
      </c>
      <c r="HH83" s="68">
        <f>IF(OR($U83=0,$F83&lt;&gt;2),0,IF(HG83&gt;0,HG83,IF(ROUND(DI83*$J83,6)&lt;ROUND($M83,6),DI83,0)))</f>
        <v/>
      </c>
      <c r="HI83" s="68">
        <f>IF(OR($U83=0,$F83&lt;&gt;2),0,IF(HH83&gt;0,HH83,IF(ROUND(DJ83*$J83,6)&lt;ROUND($M83,6),DJ83,0)))</f>
        <v/>
      </c>
      <c r="HJ83" s="68">
        <f>IF(OR($U83=0,$F83&lt;&gt;2),0,IF(HI83&gt;0,HI83,IF(ROUND(DK83*$J83,6)&lt;ROUND($M83,6),DK83,0)))</f>
        <v/>
      </c>
      <c r="HK83" s="68">
        <f>IF(OR($U83=0,$F83&lt;&gt;2),0,IF(HJ83&gt;0,HJ83,IF(ROUND(DL83*$J83,6)&lt;ROUND($M83,6),DL83,0)))</f>
        <v/>
      </c>
      <c r="HL83" s="68">
        <f>IF(OR($U83=0,$F83&lt;&gt;2),0,IF(HK83&gt;0,HK83,IF(ROUND(DM83*$J83,6)&lt;ROUND($M83,6),DM83,0)))</f>
        <v/>
      </c>
      <c r="HM83" s="68">
        <f>IF(OR($U83=0,$F83&lt;&gt;2),0,IF(HL83&gt;0,HL83,IF(ROUND(DN83*$J83,6)&lt;ROUND($M83,6),DN83,0)))</f>
        <v/>
      </c>
      <c r="HN83" s="68">
        <f>IF(OR($U83=0,$F83&lt;&gt;2),0,IF(HM83&gt;0,HM83,IF(ROUND(DO83*$J83,6)&lt;ROUND($M83,6),DO83,0)))</f>
        <v/>
      </c>
      <c r="HO83" s="68">
        <f>IF(OR($U83=0,$F83&lt;&gt;2),0,IF(HN83&gt;0,HN83,IF(ROUND(DP83*$J83,6)&lt;ROUND($M83,6),DP83,0)))</f>
        <v/>
      </c>
      <c r="HP83" s="68">
        <f>IF(OR($U83=0,$F83&lt;&gt;2),0,IF(HO83&gt;0,HO83,IF(ROUND(DQ83*$J83,6)&lt;ROUND($M83,6),DQ83,0)))</f>
        <v/>
      </c>
      <c r="HQ83" s="68">
        <f>IF(OR($U83=0,$F83&lt;&gt;2),0,IF(HP83&gt;0,HP83,IF(ROUND(DR83*$J83,6)&lt;ROUND($M83,6),DR83,0)))</f>
        <v/>
      </c>
      <c r="HR83" s="68">
        <f>IF(OR($U83=0,$F83&lt;&gt;2),0,IF(HQ83&gt;0,HQ83,IF(ROUND(DS83*$J83,6)&lt;ROUND($M83,6),DS83,0)))</f>
        <v/>
      </c>
      <c r="HS83" s="68">
        <f>IF(OR($U83=0,$F83&lt;&gt;2),0,IF(HR83&gt;0,HR83,IF(ROUND(DT83*$J83,6)&lt;ROUND($M83,6),DT83,0)))</f>
        <v/>
      </c>
      <c r="HT83" s="68">
        <f>IF(OR($U83=0,$F83&lt;&gt;2),0,IF(HS83&gt;0,HS83,IF(ROUND(DU83*$J83,6)&lt;ROUND($M83,6),DU83,0)))</f>
        <v/>
      </c>
      <c r="HU83" s="68">
        <f>IF(OR($U83=0,$F83&lt;&gt;2),0,IF(HT83&gt;0,HT83,IF(ROUND(DV83*$J83,6)&lt;ROUND($M83,6),DV83,0)))</f>
        <v/>
      </c>
      <c r="HV83" s="68">
        <f>IF(OR($U83=0,$F83&lt;&gt;2),0,IF(HU83&gt;0,HU83,IF(ROUND(DW83*$J83,6)&lt;ROUND($M83,6),DW83,0)))</f>
        <v/>
      </c>
      <c r="HW83" s="68">
        <f>IF(OR($U83=0,$F83&lt;&gt;2),0,IF(HV83&gt;0,HV83,IF(ROUND(DX83*$J83,6)&lt;ROUND($M83,6),DX83,0)))</f>
        <v/>
      </c>
      <c r="HX83" s="68">
        <f>IF(OR($U83=0,$F83&lt;&gt;2),0,IF(HW83&gt;0,HW83,IF(ROUND(DY83*$J83,6)&lt;ROUND($M83,6),DY83,0)))</f>
        <v/>
      </c>
      <c r="HY83" s="68">
        <f>IF(OR($U83=0,$F83&lt;&gt;2),0,IF(HX83&gt;0,HX83,IF(ROUND(DZ83*$J83,6)&lt;ROUND($M83,6),DZ83,0)))</f>
        <v/>
      </c>
      <c r="HZ83" s="68">
        <f>IF(OR($U83=0,$F83&lt;&gt;2),0,IF(HY83&gt;0,HY83,IF(ROUND(EA83*$J83,6)&lt;ROUND($M83,6),EA83,0)))</f>
        <v/>
      </c>
      <c r="IA83" s="68">
        <f>IF(OR($U83=0,$F83&lt;&gt;2),0,IF(HZ83&gt;0,HZ83,IF(ROUND(EB83*$J83,6)&lt;ROUND($M83,6),EB83,0)))</f>
        <v/>
      </c>
      <c r="IB83" s="68">
        <f>IF(OR($U83=0,$F83&lt;&gt;2),0,IF(IA83&gt;0,IA83,IF(ROUND(EC83*$J83,6)&lt;ROUND($M83,6),EC83,0)))</f>
        <v/>
      </c>
      <c r="IC83" s="68">
        <f>IF(OR($U83=0,$F83&lt;&gt;2),0,IF(IB83&gt;0,IB83,IF(ROUND(ED83*$J83,6)&lt;ROUND($M83,6),ED83,0)))</f>
        <v/>
      </c>
      <c r="ID83" s="68">
        <f>IF(OR($U83=0,$F83&lt;&gt;2),0,IF(IC83&gt;0,IC83,IF(ROUND(EE83*$J83,6)&lt;ROUND($M83,6),EE83,0)))</f>
        <v/>
      </c>
      <c r="IE83" s="68">
        <f>IF(OR($U83=0,$F83&lt;&gt;2),0,IF(ID83&gt;0,ID83,IF(ROUND(EF83*$J83,6)&lt;ROUND($M83,6),EF83,0)))</f>
        <v/>
      </c>
      <c r="IF83" s="68">
        <f>IF(OR($U83=0,$F83&lt;&gt;2),0,IF(IE83&gt;0,IE83,IF(ROUND(EG83*$J83,6)&lt;ROUND($M83,6),EG83,0)))</f>
        <v/>
      </c>
      <c r="IG83" s="68">
        <f>IF(OR($U83=0,$F83&lt;&gt;2),0,IF(IF83&gt;0,IF83,IF(ROUND(EH83*$J83,6)&lt;ROUND($M83,6),EH83,0)))</f>
        <v/>
      </c>
      <c r="IH83" s="68">
        <f>IF(OR($U83=0,$F83&lt;&gt;2),0,IF(IG83&gt;0,IG83,IF(ROUND(EI83*$J83,6)&lt;ROUND($M83,6),EI83,0)))</f>
        <v/>
      </c>
      <c r="II83" s="68">
        <f>IF(OR($U83=0,$F83&lt;&gt;2),0,IF(IH83&gt;0,IH83,IF(ROUND(EJ83*$J83,6)&lt;ROUND($M83,6),EJ83,0)))</f>
        <v/>
      </c>
      <c r="IJ83" s="68">
        <f>IF(OR($U83=0,$F83&lt;&gt;2),0,IF(II83&gt;0,II83,IF(ROUND(EK83*$J83,6)&lt;ROUND($M83,6),EK83,0)))</f>
        <v/>
      </c>
      <c r="IK83" s="68">
        <f>IF(OR($U83=0,$F83&lt;&gt;2),0,IF(IJ83&gt;0,IJ83,IF(ROUND(EL83*$J83,6)&lt;ROUND($M83,6),EL83,0)))</f>
        <v/>
      </c>
      <c r="IL83" s="68">
        <f>IF(OR($U83=0,$F83&lt;&gt;2),0,IF(IK83&gt;0,IK83,IF(ROUND(EM83*$J83,6)&lt;ROUND($M83,6),EM83,0)))</f>
        <v/>
      </c>
      <c r="IM83" s="68">
        <f>IF(OR($U83=0,$F83&lt;&gt;2),0,IF(IL83&gt;0,IL83,IF(ROUND(EN83*$J83,6)&lt;ROUND($M83,6),EN83,0)))</f>
        <v/>
      </c>
      <c r="IN83" s="68">
        <f>IF(OR($U83=0,$F83&lt;&gt;2),0,IF(IM83&gt;0,IM83,IF(ROUND(EO83*$J83,6)&lt;ROUND($M83,6),EO83,0)))</f>
        <v/>
      </c>
    </row>
    <row r="84">
      <c r="A84" s="68" t="n">
        <v>79</v>
      </c>
      <c r="B84" s="68">
        <f>IF(OR(TRIM('固定資産台帳'!$B84)&lt;&gt;"",'固定資産台帳'!$E84&lt;&gt;"",'固定資産台帳'!$G84&lt;&gt;"",'固定資産台帳'!$H84&lt;&gt;""),1,0)</f>
        <v/>
      </c>
      <c r="C84" s="68">
        <f>IF(ISNUMBER('固定資産台帳'!$G84),MAX(ROUND('固定資産台帳'!$G84,0),0),0)</f>
        <v/>
      </c>
      <c r="D84" s="84">
        <f>IF(ISNUMBER('固定資産台帳'!$E84),INT('固定資産台帳'!$E84),0)</f>
        <v/>
      </c>
      <c r="E84" s="84">
        <f>IF(ISNUMBER('固定資産台帳'!$F84),INT('固定資産台帳'!$F84),$D84)</f>
        <v/>
      </c>
      <c r="F84" s="68">
        <f>IF('固定資産台帳'!$H84="定額法",1,IF(OR('固定資産台帳'!$H84="定率法",'固定資産台帳'!$H84="定率法（200%）",'固定資産台帳'!$H84="定率法（250%）"),2,IF('固定資産台帳'!$H84="一括償却（3年）",3,IF('固定資産台帳'!$H84="少額特例",4,0))))</f>
        <v/>
      </c>
      <c r="G84" s="68">
        <f>IF('固定資産台帳'!$H84="定率法（250%）",250,IF('固定資産台帳'!$H84="定率法（200%）",200,IF($D84&gt;=DATE(2012,4,1),200,250)))</f>
        <v/>
      </c>
      <c r="H84" s="68">
        <f>IF(ISNUMBER('固定資産台帳'!$I84),IF(AND('固定資産台帳'!$I84&gt;=2,'固定資産台帳'!$I84&lt;=100,'固定資産台帳'!$I84=INT('固定資産台帳'!$I84)),'固定資産台帳'!$I84,0),0)</f>
        <v/>
      </c>
      <c r="I84" s="68">
        <f>IF('固定資産台帳'!$C84="無形固定資産",0,1)</f>
        <v/>
      </c>
      <c r="J84" s="68">
        <f>IF(OR($H84=0,$F84=0,$F84&gt;2),0,IF($F84=1,INDEX('償却率表'!$B$6:$B$104,$H84-1),IF($G84=200,INDEX('償却率表'!$C$6:$C$104,$H84-1),INDEX('償却率表'!$F$6:$F$104,$H84-1))))</f>
        <v/>
      </c>
      <c r="K84" s="68">
        <f>IF(AND($F84=2,$H84&gt;0),IF($G84=200,INDEX('償却率表'!$D$6:$D$104,$H84-1),INDEX('償却率表'!$G$6:$G$104,$H84-1)),0)</f>
        <v/>
      </c>
      <c r="L84" s="68">
        <f>IF(AND($F84=2,$H84&gt;0),IF($G84=200,INDEX('償却率表'!$E$6:$E$104,$H84-1),INDEX('償却率表'!$H$6:$H$104,$H84-1)),0)</f>
        <v/>
      </c>
      <c r="M84" s="68">
        <f>$C84*$L84</f>
        <v/>
      </c>
      <c r="N84" s="68">
        <f>IF($B$1=1,1,IF('固定資産台帳'!$J84="",1,IF(ISNUMBER('固定資産台帳'!$J84),IF(AND('固定資産台帳'!$J84&gt;0,'固定資産台帳'!$J84&lt;=1),'固定資産台帳'!$J84,0),0)))</f>
        <v/>
      </c>
      <c r="O84" s="68">
        <f>IF($E84=0,0,YEAR($E84)-IF(MONTH($E84)&lt;$B$2,1,0))</f>
        <v/>
      </c>
      <c r="P84" s="68">
        <f>IF($E84=0,0,12-MOD(MONTH($E84)-$B$2,12))</f>
        <v/>
      </c>
      <c r="Q84" s="84">
        <f>IF(ISNUMBER('固定資産台帳'!$K84),INT('固定資産台帳'!$K84),0)</f>
        <v/>
      </c>
      <c r="R84" s="68">
        <f>IF(OR($Q84=0,$E84=0),999,YEAR($Q84)-IF(MONTH($Q84)&lt;$B$2,1,0)-$O84)</f>
        <v/>
      </c>
      <c r="S84" s="68">
        <f>IF($R84=999,0,MOD(MONTH($Q84)-$B$2,12)+1-IF($R84=0,12-$P84,0))</f>
        <v/>
      </c>
      <c r="T84" s="68">
        <f>IF($B84=0,0,IF($C84&lt;=0,1,IF($D84=0,2,IF($F84=0,3,IF(AND($F84&lt;=2,$H84=0),4,IF(AND($F84&lt;=2,$D84&lt;DATE(2007,4,1)),5,IF($E84&lt;$D84,6,IF(AND($Q84&gt;0,$Q84&lt;$E84),7,IF($N84=0,8,IF($B$3=0,9,0))))))))))</f>
        <v/>
      </c>
      <c r="U84" s="68">
        <f>IF(AND($B84=1,$T84=0),1,0)</f>
        <v/>
      </c>
      <c r="V84" s="68">
        <f>$B$3-$O84</f>
        <v/>
      </c>
      <c r="W84" s="68">
        <f>IF(AND($U84=1,$V84&gt;=0),1,0)</f>
        <v/>
      </c>
      <c r="X84" s="68">
        <f>IF($W84=0,0,IF($V84=0,$C84,INDEX($AS84:$EP84,MIN($V84,102))))</f>
        <v/>
      </c>
      <c r="Y84" s="68">
        <f>IF($W84=0,0,INDEX($AS84:$EP84,MIN($V84,101)+1))</f>
        <v/>
      </c>
      <c r="Z84" s="68">
        <f>$X84-$Y84</f>
        <v/>
      </c>
      <c r="AA84" s="68">
        <f>IF(AND($W84=1,$F84=2,$V84&gt;=1),INDEX($ER84:$IN84,MIN($V84,101)),0)</f>
        <v/>
      </c>
      <c r="AB84" s="68">
        <f>IF(OR($W84=0,$F84&gt;2,$Z84=0),0,IF($V84=0,IF($R84=0,$S84,$P84),IF($V84=$R84,$S84,12)))</f>
        <v/>
      </c>
      <c r="AC84" s="68">
        <f>IF($W84=0,0,INT(ROUND($Z84*$N84,6)+$B$4))</f>
        <v/>
      </c>
      <c r="AD84" s="68">
        <f>IF(AND($W84=1,$F84&lt;=2,$V84=$R84),1,0)</f>
        <v/>
      </c>
      <c r="AE84" s="68">
        <f>IF(AND($W84=1,$F84&lt;=2,$V84&gt;$R84),1,0)</f>
        <v/>
      </c>
      <c r="AF84" s="68">
        <f>IF(AND($W84=1,$AE84=0,OR($Z84&gt;0,$AD84=1)),1,0)</f>
        <v/>
      </c>
      <c r="AG84" s="68">
        <f>IF($AF84=1,SUM($AF$6:$AF84),0)</f>
        <v/>
      </c>
      <c r="AH84" s="68">
        <f>IF($T84=0,"",CHOOSE($T84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84" s="68">
        <f>IF(AND($F84=2,OR('固定資産台帳'!$C84="建物",'固定資産台帳'!$C84="無形固定資産",AND(OR('固定資産台帳'!$C84="建物附属設備",'固定資産台帳'!$C84="構築物"),$D84&gt;=DATE(2016,4,1)))),"この資産は定額法だけです（定率法は使えません）。","")&amp;IF(AND($F84=3,$C84&gt;=200000),"一括償却は20万円未満の資産だけです。","")&amp;IF(AND($F84=3,$B$1=0,$C84&lt;100000),"10万円未満は一括償却にせず、全額をその年の経費にします。","")&amp;IF(AND($F84=4,$C84&lt;100000),"10万円未満は少額特例ではなく、全額をその年の経費にします。","")&amp;IF(AND($F84=4,$D84&lt;DATE(2026,4,1),$C84&gt;=300000),"2026年3月31日までの取得で少額特例が使えるのは30万円未満です。","")&amp;IF(AND($F84=4,$D84&gt;=DATE(2026,4,1),$C84&gt;=400000),"少額特例は40万円未満の資産だけです。","")&amp;IF(AND($F84=4,OR($D84&lt;DATE(2006,4,1),$D84&gt;DATE(2029,3,31))),"少額特例は2006年4月1日〜2029年3月31日に取得した資産だけです。","")&amp;IF(AND($F84=2,$G84=250,$D84&gt;DATE(2012,12,31)),"250%定率法は2012年12月31日までの取得だけです。","")</f>
        <v/>
      </c>
      <c r="AJ84" s="68">
        <f>IF(AND($F84=2,'固定資産台帳'!$H84="定率法（200%）",$D84&lt;DATE(2012,4,1)),"2012年3月31日までの取得に200%を使うのは、経過措置の届出をした場合です。","")&amp;IF(AND($F84=2,'固定資産台帳'!$H84="定率法（250%）",$D84&gt;=DATE(2012,4,1),$D84&lt;=DATE(2012,12,31)),"2012年4〜12月の取得に250%を使うのは、経過措置を選んだ場合です。","")</f>
        <v/>
      </c>
      <c r="AK84" s="68">
        <f>IF($U84=0,"",IF($V84&lt;0,"表示している年より後に使い始める資産です。",IF($AE84=1,"売却・除却済みです。",IF($AD84=1,"この年に売却・除却。期末の帳簿価額 "&amp;TEXT($Y84,"#,##0")&amp;"円を帳簿から外します。",IF($F84=4,IF($V84=0,"少額特例：この年に全額を経費にします。","少額特例で経費にした資産です。"),IF($F84=3,IF($V84&gt;2,"一括償却は終わっています。","一括償却 "&amp;($V84+1)&amp;"年目（3年のうち）。"),IF($Z84=0,"償却済み（帳簿価額 "&amp;TEXT($Y84,"#,##0")&amp;"円）。",IF($AA84&gt;0,"改定償却率で計算（改定取得価額 "&amp;TEXT($AA84,"#,##0")&amp;"円）。",IF($V84=0,"この年に使い始め（"&amp;$AB84&amp;"か月分）。","")))))))))</f>
        <v/>
      </c>
      <c r="AL84" s="68">
        <f>IF(AND($U84=1,$F84=4,$V84=0),$C84,0)</f>
        <v/>
      </c>
      <c r="AM84" s="68">
        <f>IF($F84=2,INT(ROUND($M84,6)+$B$4),0)</f>
        <v/>
      </c>
      <c r="AN84" s="68">
        <f>IF($W84=0,0,IF($F84=2,IF($AA84&gt;0,$AA84,$X84),$C84))</f>
        <v/>
      </c>
      <c r="AO84" s="68">
        <f>IF($W84=0,"",IF($F84=3,"1/3",IF($F84=4,"―",IF($AA84&gt;0,$K84,$J84))))</f>
        <v/>
      </c>
      <c r="AP84" s="68" t="n"/>
      <c r="AQ84" s="68" t="n"/>
      <c r="AR84" s="68" t="n"/>
      <c r="AS84" s="68">
        <f>IF($U84=0,0,IF($F84=4,0,IF($F84=3,MAX($C84-INT(ROUND($C84/3,6)+$B$4),0),$C84-MIN(INT(ROUND($C84*$J84*IF($R84=0,$S84,$P84)/12,6)+$B$4),MAX($C84-$I84,0)))))</f>
        <v/>
      </c>
      <c r="AT84" s="68">
        <f>IF($U84=0,0,IF($F84=4,0,IF($F84=3,AS84-MIN(INT(ROUND($C84/3,6)+$B$4),AS84),IF(OR(1&gt;$R84,AS84&lt;=$I84),AS84,AS84-MIN(INT(ROUND(IF($F84=1,$C84*$J84,IF(ER84&gt;0,ER84*$K84,AS84*$J84))*IF(1=$R84,$S84,12)/12,6)+$B$4),AS84-$I84)))))</f>
        <v/>
      </c>
      <c r="AU84" s="68">
        <f>IF($U84=0,0,IF($F84=4,0,IF($F84=3,0,IF(OR(2&gt;$R84,AT84&lt;=$I84),AT84,AT84-MIN(INT(ROUND(IF($F84=1,$C84*$J84,IF(ES84&gt;0,ES84*$K84,AT84*$J84))*IF(2=$R84,$S84,12)/12,6)+$B$4),AT84-$I84)))))</f>
        <v/>
      </c>
      <c r="AV84" s="68">
        <f>IF($U84=0,0,IF($F84=4,0,IF($F84=3,0,IF(OR(3&gt;$R84,AU84&lt;=$I84),AU84,AU84-MIN(INT(ROUND(IF($F84=1,$C84*$J84,IF(ET84&gt;0,ET84*$K84,AU84*$J84))*IF(3=$R84,$S84,12)/12,6)+$B$4),AU84-$I84)))))</f>
        <v/>
      </c>
      <c r="AW84" s="68">
        <f>IF($U84=0,0,IF($F84=4,0,IF($F84=3,0,IF(OR(4&gt;$R84,AV84&lt;=$I84),AV84,AV84-MIN(INT(ROUND(IF($F84=1,$C84*$J84,IF(EU84&gt;0,EU84*$K84,AV84*$J84))*IF(4=$R84,$S84,12)/12,6)+$B$4),AV84-$I84)))))</f>
        <v/>
      </c>
      <c r="AX84" s="68">
        <f>IF($U84=0,0,IF($F84=4,0,IF($F84=3,0,IF(OR(5&gt;$R84,AW84&lt;=$I84),AW84,AW84-MIN(INT(ROUND(IF($F84=1,$C84*$J84,IF(EV84&gt;0,EV84*$K84,AW84*$J84))*IF(5=$R84,$S84,12)/12,6)+$B$4),AW84-$I84)))))</f>
        <v/>
      </c>
      <c r="AY84" s="68">
        <f>IF($U84=0,0,IF($F84=4,0,IF($F84=3,0,IF(OR(6&gt;$R84,AX84&lt;=$I84),AX84,AX84-MIN(INT(ROUND(IF($F84=1,$C84*$J84,IF(EW84&gt;0,EW84*$K84,AX84*$J84))*IF(6=$R84,$S84,12)/12,6)+$B$4),AX84-$I84)))))</f>
        <v/>
      </c>
      <c r="AZ84" s="68">
        <f>IF($U84=0,0,IF($F84=4,0,IF($F84=3,0,IF(OR(7&gt;$R84,AY84&lt;=$I84),AY84,AY84-MIN(INT(ROUND(IF($F84=1,$C84*$J84,IF(EX84&gt;0,EX84*$K84,AY84*$J84))*IF(7=$R84,$S84,12)/12,6)+$B$4),AY84-$I84)))))</f>
        <v/>
      </c>
      <c r="BA84" s="68">
        <f>IF($U84=0,0,IF($F84=4,0,IF($F84=3,0,IF(OR(8&gt;$R84,AZ84&lt;=$I84),AZ84,AZ84-MIN(INT(ROUND(IF($F84=1,$C84*$J84,IF(EY84&gt;0,EY84*$K84,AZ84*$J84))*IF(8=$R84,$S84,12)/12,6)+$B$4),AZ84-$I84)))))</f>
        <v/>
      </c>
      <c r="BB84" s="68">
        <f>IF($U84=0,0,IF($F84=4,0,IF($F84=3,0,IF(OR(9&gt;$R84,BA84&lt;=$I84),BA84,BA84-MIN(INT(ROUND(IF($F84=1,$C84*$J84,IF(EZ84&gt;0,EZ84*$K84,BA84*$J84))*IF(9=$R84,$S84,12)/12,6)+$B$4),BA84-$I84)))))</f>
        <v/>
      </c>
      <c r="BC84" s="68">
        <f>IF($U84=0,0,IF($F84=4,0,IF($F84=3,0,IF(OR(10&gt;$R84,BB84&lt;=$I84),BB84,BB84-MIN(INT(ROUND(IF($F84=1,$C84*$J84,IF(FA84&gt;0,FA84*$K84,BB84*$J84))*IF(10=$R84,$S84,12)/12,6)+$B$4),BB84-$I84)))))</f>
        <v/>
      </c>
      <c r="BD84" s="68">
        <f>IF($U84=0,0,IF($F84=4,0,IF($F84=3,0,IF(OR(11&gt;$R84,BC84&lt;=$I84),BC84,BC84-MIN(INT(ROUND(IF($F84=1,$C84*$J84,IF(FB84&gt;0,FB84*$K84,BC84*$J84))*IF(11=$R84,$S84,12)/12,6)+$B$4),BC84-$I84)))))</f>
        <v/>
      </c>
      <c r="BE84" s="68">
        <f>IF($U84=0,0,IF($F84=4,0,IF($F84=3,0,IF(OR(12&gt;$R84,BD84&lt;=$I84),BD84,BD84-MIN(INT(ROUND(IF($F84=1,$C84*$J84,IF(FC84&gt;0,FC84*$K84,BD84*$J84))*IF(12=$R84,$S84,12)/12,6)+$B$4),BD84-$I84)))))</f>
        <v/>
      </c>
      <c r="BF84" s="68">
        <f>IF($U84=0,0,IF($F84=4,0,IF($F84=3,0,IF(OR(13&gt;$R84,BE84&lt;=$I84),BE84,BE84-MIN(INT(ROUND(IF($F84=1,$C84*$J84,IF(FD84&gt;0,FD84*$K84,BE84*$J84))*IF(13=$R84,$S84,12)/12,6)+$B$4),BE84-$I84)))))</f>
        <v/>
      </c>
      <c r="BG84" s="68">
        <f>IF($U84=0,0,IF($F84=4,0,IF($F84=3,0,IF(OR(14&gt;$R84,BF84&lt;=$I84),BF84,BF84-MIN(INT(ROUND(IF($F84=1,$C84*$J84,IF(FE84&gt;0,FE84*$K84,BF84*$J84))*IF(14=$R84,$S84,12)/12,6)+$B$4),BF84-$I84)))))</f>
        <v/>
      </c>
      <c r="BH84" s="68">
        <f>IF($U84=0,0,IF($F84=4,0,IF($F84=3,0,IF(OR(15&gt;$R84,BG84&lt;=$I84),BG84,BG84-MIN(INT(ROUND(IF($F84=1,$C84*$J84,IF(FF84&gt;0,FF84*$K84,BG84*$J84))*IF(15=$R84,$S84,12)/12,6)+$B$4),BG84-$I84)))))</f>
        <v/>
      </c>
      <c r="BI84" s="68">
        <f>IF($U84=0,0,IF($F84=4,0,IF($F84=3,0,IF(OR(16&gt;$R84,BH84&lt;=$I84),BH84,BH84-MIN(INT(ROUND(IF($F84=1,$C84*$J84,IF(FG84&gt;0,FG84*$K84,BH84*$J84))*IF(16=$R84,$S84,12)/12,6)+$B$4),BH84-$I84)))))</f>
        <v/>
      </c>
      <c r="BJ84" s="68">
        <f>IF($U84=0,0,IF($F84=4,0,IF($F84=3,0,IF(OR(17&gt;$R84,BI84&lt;=$I84),BI84,BI84-MIN(INT(ROUND(IF($F84=1,$C84*$J84,IF(FH84&gt;0,FH84*$K84,BI84*$J84))*IF(17=$R84,$S84,12)/12,6)+$B$4),BI84-$I84)))))</f>
        <v/>
      </c>
      <c r="BK84" s="68">
        <f>IF($U84=0,0,IF($F84=4,0,IF($F84=3,0,IF(OR(18&gt;$R84,BJ84&lt;=$I84),BJ84,BJ84-MIN(INT(ROUND(IF($F84=1,$C84*$J84,IF(FI84&gt;0,FI84*$K84,BJ84*$J84))*IF(18=$R84,$S84,12)/12,6)+$B$4),BJ84-$I84)))))</f>
        <v/>
      </c>
      <c r="BL84" s="68">
        <f>IF($U84=0,0,IF($F84=4,0,IF($F84=3,0,IF(OR(19&gt;$R84,BK84&lt;=$I84),BK84,BK84-MIN(INT(ROUND(IF($F84=1,$C84*$J84,IF(FJ84&gt;0,FJ84*$K84,BK84*$J84))*IF(19=$R84,$S84,12)/12,6)+$B$4),BK84-$I84)))))</f>
        <v/>
      </c>
      <c r="BM84" s="68">
        <f>IF($U84=0,0,IF($F84=4,0,IF($F84=3,0,IF(OR(20&gt;$R84,BL84&lt;=$I84),BL84,BL84-MIN(INT(ROUND(IF($F84=1,$C84*$J84,IF(FK84&gt;0,FK84*$K84,BL84*$J84))*IF(20=$R84,$S84,12)/12,6)+$B$4),BL84-$I84)))))</f>
        <v/>
      </c>
      <c r="BN84" s="68">
        <f>IF($U84=0,0,IF($F84=4,0,IF($F84=3,0,IF(OR(21&gt;$R84,BM84&lt;=$I84),BM84,BM84-MIN(INT(ROUND(IF($F84=1,$C84*$J84,IF(FL84&gt;0,FL84*$K84,BM84*$J84))*IF(21=$R84,$S84,12)/12,6)+$B$4),BM84-$I84)))))</f>
        <v/>
      </c>
      <c r="BO84" s="68">
        <f>IF($U84=0,0,IF($F84=4,0,IF($F84=3,0,IF(OR(22&gt;$R84,BN84&lt;=$I84),BN84,BN84-MIN(INT(ROUND(IF($F84=1,$C84*$J84,IF(FM84&gt;0,FM84*$K84,BN84*$J84))*IF(22=$R84,$S84,12)/12,6)+$B$4),BN84-$I84)))))</f>
        <v/>
      </c>
      <c r="BP84" s="68">
        <f>IF($U84=0,0,IF($F84=4,0,IF($F84=3,0,IF(OR(23&gt;$R84,BO84&lt;=$I84),BO84,BO84-MIN(INT(ROUND(IF($F84=1,$C84*$J84,IF(FN84&gt;0,FN84*$K84,BO84*$J84))*IF(23=$R84,$S84,12)/12,6)+$B$4),BO84-$I84)))))</f>
        <v/>
      </c>
      <c r="BQ84" s="68">
        <f>IF($U84=0,0,IF($F84=4,0,IF($F84=3,0,IF(OR(24&gt;$R84,BP84&lt;=$I84),BP84,BP84-MIN(INT(ROUND(IF($F84=1,$C84*$J84,IF(FO84&gt;0,FO84*$K84,BP84*$J84))*IF(24=$R84,$S84,12)/12,6)+$B$4),BP84-$I84)))))</f>
        <v/>
      </c>
      <c r="BR84" s="68">
        <f>IF($U84=0,0,IF($F84=4,0,IF($F84=3,0,IF(OR(25&gt;$R84,BQ84&lt;=$I84),BQ84,BQ84-MIN(INT(ROUND(IF($F84=1,$C84*$J84,IF(FP84&gt;0,FP84*$K84,BQ84*$J84))*IF(25=$R84,$S84,12)/12,6)+$B$4),BQ84-$I84)))))</f>
        <v/>
      </c>
      <c r="BS84" s="68">
        <f>IF($U84=0,0,IF($F84=4,0,IF($F84=3,0,IF(OR(26&gt;$R84,BR84&lt;=$I84),BR84,BR84-MIN(INT(ROUND(IF($F84=1,$C84*$J84,IF(FQ84&gt;0,FQ84*$K84,BR84*$J84))*IF(26=$R84,$S84,12)/12,6)+$B$4),BR84-$I84)))))</f>
        <v/>
      </c>
      <c r="BT84" s="68">
        <f>IF($U84=0,0,IF($F84=4,0,IF($F84=3,0,IF(OR(27&gt;$R84,BS84&lt;=$I84),BS84,BS84-MIN(INT(ROUND(IF($F84=1,$C84*$J84,IF(FR84&gt;0,FR84*$K84,BS84*$J84))*IF(27=$R84,$S84,12)/12,6)+$B$4),BS84-$I84)))))</f>
        <v/>
      </c>
      <c r="BU84" s="68">
        <f>IF($U84=0,0,IF($F84=4,0,IF($F84=3,0,IF(OR(28&gt;$R84,BT84&lt;=$I84),BT84,BT84-MIN(INT(ROUND(IF($F84=1,$C84*$J84,IF(FS84&gt;0,FS84*$K84,BT84*$J84))*IF(28=$R84,$S84,12)/12,6)+$B$4),BT84-$I84)))))</f>
        <v/>
      </c>
      <c r="BV84" s="68">
        <f>IF($U84=0,0,IF($F84=4,0,IF($F84=3,0,IF(OR(29&gt;$R84,BU84&lt;=$I84),BU84,BU84-MIN(INT(ROUND(IF($F84=1,$C84*$J84,IF(FT84&gt;0,FT84*$K84,BU84*$J84))*IF(29=$R84,$S84,12)/12,6)+$B$4),BU84-$I84)))))</f>
        <v/>
      </c>
      <c r="BW84" s="68">
        <f>IF($U84=0,0,IF($F84=4,0,IF($F84=3,0,IF(OR(30&gt;$R84,BV84&lt;=$I84),BV84,BV84-MIN(INT(ROUND(IF($F84=1,$C84*$J84,IF(FU84&gt;0,FU84*$K84,BV84*$J84))*IF(30=$R84,$S84,12)/12,6)+$B$4),BV84-$I84)))))</f>
        <v/>
      </c>
      <c r="BX84" s="68">
        <f>IF($U84=0,0,IF($F84=4,0,IF($F84=3,0,IF(OR(31&gt;$R84,BW84&lt;=$I84),BW84,BW84-MIN(INT(ROUND(IF($F84=1,$C84*$J84,IF(FV84&gt;0,FV84*$K84,BW84*$J84))*IF(31=$R84,$S84,12)/12,6)+$B$4),BW84-$I84)))))</f>
        <v/>
      </c>
      <c r="BY84" s="68">
        <f>IF($U84=0,0,IF($F84=4,0,IF($F84=3,0,IF(OR(32&gt;$R84,BX84&lt;=$I84),BX84,BX84-MIN(INT(ROUND(IF($F84=1,$C84*$J84,IF(FW84&gt;0,FW84*$K84,BX84*$J84))*IF(32=$R84,$S84,12)/12,6)+$B$4),BX84-$I84)))))</f>
        <v/>
      </c>
      <c r="BZ84" s="68">
        <f>IF($U84=0,0,IF($F84=4,0,IF($F84=3,0,IF(OR(33&gt;$R84,BY84&lt;=$I84),BY84,BY84-MIN(INT(ROUND(IF($F84=1,$C84*$J84,IF(FX84&gt;0,FX84*$K84,BY84*$J84))*IF(33=$R84,$S84,12)/12,6)+$B$4),BY84-$I84)))))</f>
        <v/>
      </c>
      <c r="CA84" s="68">
        <f>IF($U84=0,0,IF($F84=4,0,IF($F84=3,0,IF(OR(34&gt;$R84,BZ84&lt;=$I84),BZ84,BZ84-MIN(INT(ROUND(IF($F84=1,$C84*$J84,IF(FY84&gt;0,FY84*$K84,BZ84*$J84))*IF(34=$R84,$S84,12)/12,6)+$B$4),BZ84-$I84)))))</f>
        <v/>
      </c>
      <c r="CB84" s="68">
        <f>IF($U84=0,0,IF($F84=4,0,IF($F84=3,0,IF(OR(35&gt;$R84,CA84&lt;=$I84),CA84,CA84-MIN(INT(ROUND(IF($F84=1,$C84*$J84,IF(FZ84&gt;0,FZ84*$K84,CA84*$J84))*IF(35=$R84,$S84,12)/12,6)+$B$4),CA84-$I84)))))</f>
        <v/>
      </c>
      <c r="CC84" s="68">
        <f>IF($U84=0,0,IF($F84=4,0,IF($F84=3,0,IF(OR(36&gt;$R84,CB84&lt;=$I84),CB84,CB84-MIN(INT(ROUND(IF($F84=1,$C84*$J84,IF(GA84&gt;0,GA84*$K84,CB84*$J84))*IF(36=$R84,$S84,12)/12,6)+$B$4),CB84-$I84)))))</f>
        <v/>
      </c>
      <c r="CD84" s="68">
        <f>IF($U84=0,0,IF($F84=4,0,IF($F84=3,0,IF(OR(37&gt;$R84,CC84&lt;=$I84),CC84,CC84-MIN(INT(ROUND(IF($F84=1,$C84*$J84,IF(GB84&gt;0,GB84*$K84,CC84*$J84))*IF(37=$R84,$S84,12)/12,6)+$B$4),CC84-$I84)))))</f>
        <v/>
      </c>
      <c r="CE84" s="68">
        <f>IF($U84=0,0,IF($F84=4,0,IF($F84=3,0,IF(OR(38&gt;$R84,CD84&lt;=$I84),CD84,CD84-MIN(INT(ROUND(IF($F84=1,$C84*$J84,IF(GC84&gt;0,GC84*$K84,CD84*$J84))*IF(38=$R84,$S84,12)/12,6)+$B$4),CD84-$I84)))))</f>
        <v/>
      </c>
      <c r="CF84" s="68">
        <f>IF($U84=0,0,IF($F84=4,0,IF($F84=3,0,IF(OR(39&gt;$R84,CE84&lt;=$I84),CE84,CE84-MIN(INT(ROUND(IF($F84=1,$C84*$J84,IF(GD84&gt;0,GD84*$K84,CE84*$J84))*IF(39=$R84,$S84,12)/12,6)+$B$4),CE84-$I84)))))</f>
        <v/>
      </c>
      <c r="CG84" s="68">
        <f>IF($U84=0,0,IF($F84=4,0,IF($F84=3,0,IF(OR(40&gt;$R84,CF84&lt;=$I84),CF84,CF84-MIN(INT(ROUND(IF($F84=1,$C84*$J84,IF(GE84&gt;0,GE84*$K84,CF84*$J84))*IF(40=$R84,$S84,12)/12,6)+$B$4),CF84-$I84)))))</f>
        <v/>
      </c>
      <c r="CH84" s="68">
        <f>IF($U84=0,0,IF($F84=4,0,IF($F84=3,0,IF(OR(41&gt;$R84,CG84&lt;=$I84),CG84,CG84-MIN(INT(ROUND(IF($F84=1,$C84*$J84,IF(GF84&gt;0,GF84*$K84,CG84*$J84))*IF(41=$R84,$S84,12)/12,6)+$B$4),CG84-$I84)))))</f>
        <v/>
      </c>
      <c r="CI84" s="68">
        <f>IF($U84=0,0,IF($F84=4,0,IF($F84=3,0,IF(OR(42&gt;$R84,CH84&lt;=$I84),CH84,CH84-MIN(INT(ROUND(IF($F84=1,$C84*$J84,IF(GG84&gt;0,GG84*$K84,CH84*$J84))*IF(42=$R84,$S84,12)/12,6)+$B$4),CH84-$I84)))))</f>
        <v/>
      </c>
      <c r="CJ84" s="68">
        <f>IF($U84=0,0,IF($F84=4,0,IF($F84=3,0,IF(OR(43&gt;$R84,CI84&lt;=$I84),CI84,CI84-MIN(INT(ROUND(IF($F84=1,$C84*$J84,IF(GH84&gt;0,GH84*$K84,CI84*$J84))*IF(43=$R84,$S84,12)/12,6)+$B$4),CI84-$I84)))))</f>
        <v/>
      </c>
      <c r="CK84" s="68">
        <f>IF($U84=0,0,IF($F84=4,0,IF($F84=3,0,IF(OR(44&gt;$R84,CJ84&lt;=$I84),CJ84,CJ84-MIN(INT(ROUND(IF($F84=1,$C84*$J84,IF(GI84&gt;0,GI84*$K84,CJ84*$J84))*IF(44=$R84,$S84,12)/12,6)+$B$4),CJ84-$I84)))))</f>
        <v/>
      </c>
      <c r="CL84" s="68">
        <f>IF($U84=0,0,IF($F84=4,0,IF($F84=3,0,IF(OR(45&gt;$R84,CK84&lt;=$I84),CK84,CK84-MIN(INT(ROUND(IF($F84=1,$C84*$J84,IF(GJ84&gt;0,GJ84*$K84,CK84*$J84))*IF(45=$R84,$S84,12)/12,6)+$B$4),CK84-$I84)))))</f>
        <v/>
      </c>
      <c r="CM84" s="68">
        <f>IF($U84=0,0,IF($F84=4,0,IF($F84=3,0,IF(OR(46&gt;$R84,CL84&lt;=$I84),CL84,CL84-MIN(INT(ROUND(IF($F84=1,$C84*$J84,IF(GK84&gt;0,GK84*$K84,CL84*$J84))*IF(46=$R84,$S84,12)/12,6)+$B$4),CL84-$I84)))))</f>
        <v/>
      </c>
      <c r="CN84" s="68">
        <f>IF($U84=0,0,IF($F84=4,0,IF($F84=3,0,IF(OR(47&gt;$R84,CM84&lt;=$I84),CM84,CM84-MIN(INT(ROUND(IF($F84=1,$C84*$J84,IF(GL84&gt;0,GL84*$K84,CM84*$J84))*IF(47=$R84,$S84,12)/12,6)+$B$4),CM84-$I84)))))</f>
        <v/>
      </c>
      <c r="CO84" s="68">
        <f>IF($U84=0,0,IF($F84=4,0,IF($F84=3,0,IF(OR(48&gt;$R84,CN84&lt;=$I84),CN84,CN84-MIN(INT(ROUND(IF($F84=1,$C84*$J84,IF(GM84&gt;0,GM84*$K84,CN84*$J84))*IF(48=$R84,$S84,12)/12,6)+$B$4),CN84-$I84)))))</f>
        <v/>
      </c>
      <c r="CP84" s="68">
        <f>IF($U84=0,0,IF($F84=4,0,IF($F84=3,0,IF(OR(49&gt;$R84,CO84&lt;=$I84),CO84,CO84-MIN(INT(ROUND(IF($F84=1,$C84*$J84,IF(GN84&gt;0,GN84*$K84,CO84*$J84))*IF(49=$R84,$S84,12)/12,6)+$B$4),CO84-$I84)))))</f>
        <v/>
      </c>
      <c r="CQ84" s="68">
        <f>IF($U84=0,0,IF($F84=4,0,IF($F84=3,0,IF(OR(50&gt;$R84,CP84&lt;=$I84),CP84,CP84-MIN(INT(ROUND(IF($F84=1,$C84*$J84,IF(GO84&gt;0,GO84*$K84,CP84*$J84))*IF(50=$R84,$S84,12)/12,6)+$B$4),CP84-$I84)))))</f>
        <v/>
      </c>
      <c r="CR84" s="68">
        <f>IF($U84=0,0,IF($F84=4,0,IF($F84=3,0,IF(OR(51&gt;$R84,CQ84&lt;=$I84),CQ84,CQ84-MIN(INT(ROUND(IF($F84=1,$C84*$J84,IF(GP84&gt;0,GP84*$K84,CQ84*$J84))*IF(51=$R84,$S84,12)/12,6)+$B$4),CQ84-$I84)))))</f>
        <v/>
      </c>
      <c r="CS84" s="68">
        <f>IF($U84=0,0,IF($F84=4,0,IF($F84=3,0,IF(OR(52&gt;$R84,CR84&lt;=$I84),CR84,CR84-MIN(INT(ROUND(IF($F84=1,$C84*$J84,IF(GQ84&gt;0,GQ84*$K84,CR84*$J84))*IF(52=$R84,$S84,12)/12,6)+$B$4),CR84-$I84)))))</f>
        <v/>
      </c>
      <c r="CT84" s="68">
        <f>IF($U84=0,0,IF($F84=4,0,IF($F84=3,0,IF(OR(53&gt;$R84,CS84&lt;=$I84),CS84,CS84-MIN(INT(ROUND(IF($F84=1,$C84*$J84,IF(GR84&gt;0,GR84*$K84,CS84*$J84))*IF(53=$R84,$S84,12)/12,6)+$B$4),CS84-$I84)))))</f>
        <v/>
      </c>
      <c r="CU84" s="68">
        <f>IF($U84=0,0,IF($F84=4,0,IF($F84=3,0,IF(OR(54&gt;$R84,CT84&lt;=$I84),CT84,CT84-MIN(INT(ROUND(IF($F84=1,$C84*$J84,IF(GS84&gt;0,GS84*$K84,CT84*$J84))*IF(54=$R84,$S84,12)/12,6)+$B$4),CT84-$I84)))))</f>
        <v/>
      </c>
      <c r="CV84" s="68">
        <f>IF($U84=0,0,IF($F84=4,0,IF($F84=3,0,IF(OR(55&gt;$R84,CU84&lt;=$I84),CU84,CU84-MIN(INT(ROUND(IF($F84=1,$C84*$J84,IF(GT84&gt;0,GT84*$K84,CU84*$J84))*IF(55=$R84,$S84,12)/12,6)+$B$4),CU84-$I84)))))</f>
        <v/>
      </c>
      <c r="CW84" s="68">
        <f>IF($U84=0,0,IF($F84=4,0,IF($F84=3,0,IF(OR(56&gt;$R84,CV84&lt;=$I84),CV84,CV84-MIN(INT(ROUND(IF($F84=1,$C84*$J84,IF(GU84&gt;0,GU84*$K84,CV84*$J84))*IF(56=$R84,$S84,12)/12,6)+$B$4),CV84-$I84)))))</f>
        <v/>
      </c>
      <c r="CX84" s="68">
        <f>IF($U84=0,0,IF($F84=4,0,IF($F84=3,0,IF(OR(57&gt;$R84,CW84&lt;=$I84),CW84,CW84-MIN(INT(ROUND(IF($F84=1,$C84*$J84,IF(GV84&gt;0,GV84*$K84,CW84*$J84))*IF(57=$R84,$S84,12)/12,6)+$B$4),CW84-$I84)))))</f>
        <v/>
      </c>
      <c r="CY84" s="68">
        <f>IF($U84=0,0,IF($F84=4,0,IF($F84=3,0,IF(OR(58&gt;$R84,CX84&lt;=$I84),CX84,CX84-MIN(INT(ROUND(IF($F84=1,$C84*$J84,IF(GW84&gt;0,GW84*$K84,CX84*$J84))*IF(58=$R84,$S84,12)/12,6)+$B$4),CX84-$I84)))))</f>
        <v/>
      </c>
      <c r="CZ84" s="68">
        <f>IF($U84=0,0,IF($F84=4,0,IF($F84=3,0,IF(OR(59&gt;$R84,CY84&lt;=$I84),CY84,CY84-MIN(INT(ROUND(IF($F84=1,$C84*$J84,IF(GX84&gt;0,GX84*$K84,CY84*$J84))*IF(59=$R84,$S84,12)/12,6)+$B$4),CY84-$I84)))))</f>
        <v/>
      </c>
      <c r="DA84" s="68">
        <f>IF($U84=0,0,IF($F84=4,0,IF($F84=3,0,IF(OR(60&gt;$R84,CZ84&lt;=$I84),CZ84,CZ84-MIN(INT(ROUND(IF($F84=1,$C84*$J84,IF(GY84&gt;0,GY84*$K84,CZ84*$J84))*IF(60=$R84,$S84,12)/12,6)+$B$4),CZ84-$I84)))))</f>
        <v/>
      </c>
      <c r="DB84" s="68">
        <f>IF($U84=0,0,IF($F84=4,0,IF($F84=3,0,IF(OR(61&gt;$R84,DA84&lt;=$I84),DA84,DA84-MIN(INT(ROUND(IF($F84=1,$C84*$J84,IF(GZ84&gt;0,GZ84*$K84,DA84*$J84))*IF(61=$R84,$S84,12)/12,6)+$B$4),DA84-$I84)))))</f>
        <v/>
      </c>
      <c r="DC84" s="68">
        <f>IF($U84=0,0,IF($F84=4,0,IF($F84=3,0,IF(OR(62&gt;$R84,DB84&lt;=$I84),DB84,DB84-MIN(INT(ROUND(IF($F84=1,$C84*$J84,IF(HA84&gt;0,HA84*$K84,DB84*$J84))*IF(62=$R84,$S84,12)/12,6)+$B$4),DB84-$I84)))))</f>
        <v/>
      </c>
      <c r="DD84" s="68">
        <f>IF($U84=0,0,IF($F84=4,0,IF($F84=3,0,IF(OR(63&gt;$R84,DC84&lt;=$I84),DC84,DC84-MIN(INT(ROUND(IF($F84=1,$C84*$J84,IF(HB84&gt;0,HB84*$K84,DC84*$J84))*IF(63=$R84,$S84,12)/12,6)+$B$4),DC84-$I84)))))</f>
        <v/>
      </c>
      <c r="DE84" s="68">
        <f>IF($U84=0,0,IF($F84=4,0,IF($F84=3,0,IF(OR(64&gt;$R84,DD84&lt;=$I84),DD84,DD84-MIN(INT(ROUND(IF($F84=1,$C84*$J84,IF(HC84&gt;0,HC84*$K84,DD84*$J84))*IF(64=$R84,$S84,12)/12,6)+$B$4),DD84-$I84)))))</f>
        <v/>
      </c>
      <c r="DF84" s="68">
        <f>IF($U84=0,0,IF($F84=4,0,IF($F84=3,0,IF(OR(65&gt;$R84,DE84&lt;=$I84),DE84,DE84-MIN(INT(ROUND(IF($F84=1,$C84*$J84,IF(HD84&gt;0,HD84*$K84,DE84*$J84))*IF(65=$R84,$S84,12)/12,6)+$B$4),DE84-$I84)))))</f>
        <v/>
      </c>
      <c r="DG84" s="68">
        <f>IF($U84=0,0,IF($F84=4,0,IF($F84=3,0,IF(OR(66&gt;$R84,DF84&lt;=$I84),DF84,DF84-MIN(INT(ROUND(IF($F84=1,$C84*$J84,IF(HE84&gt;0,HE84*$K84,DF84*$J84))*IF(66=$R84,$S84,12)/12,6)+$B$4),DF84-$I84)))))</f>
        <v/>
      </c>
      <c r="DH84" s="68">
        <f>IF($U84=0,0,IF($F84=4,0,IF($F84=3,0,IF(OR(67&gt;$R84,DG84&lt;=$I84),DG84,DG84-MIN(INT(ROUND(IF($F84=1,$C84*$J84,IF(HF84&gt;0,HF84*$K84,DG84*$J84))*IF(67=$R84,$S84,12)/12,6)+$B$4),DG84-$I84)))))</f>
        <v/>
      </c>
      <c r="DI84" s="68">
        <f>IF($U84=0,0,IF($F84=4,0,IF($F84=3,0,IF(OR(68&gt;$R84,DH84&lt;=$I84),DH84,DH84-MIN(INT(ROUND(IF($F84=1,$C84*$J84,IF(HG84&gt;0,HG84*$K84,DH84*$J84))*IF(68=$R84,$S84,12)/12,6)+$B$4),DH84-$I84)))))</f>
        <v/>
      </c>
      <c r="DJ84" s="68">
        <f>IF($U84=0,0,IF($F84=4,0,IF($F84=3,0,IF(OR(69&gt;$R84,DI84&lt;=$I84),DI84,DI84-MIN(INT(ROUND(IF($F84=1,$C84*$J84,IF(HH84&gt;0,HH84*$K84,DI84*$J84))*IF(69=$R84,$S84,12)/12,6)+$B$4),DI84-$I84)))))</f>
        <v/>
      </c>
      <c r="DK84" s="68">
        <f>IF($U84=0,0,IF($F84=4,0,IF($F84=3,0,IF(OR(70&gt;$R84,DJ84&lt;=$I84),DJ84,DJ84-MIN(INT(ROUND(IF($F84=1,$C84*$J84,IF(HI84&gt;0,HI84*$K84,DJ84*$J84))*IF(70=$R84,$S84,12)/12,6)+$B$4),DJ84-$I84)))))</f>
        <v/>
      </c>
      <c r="DL84" s="68">
        <f>IF($U84=0,0,IF($F84=4,0,IF($F84=3,0,IF(OR(71&gt;$R84,DK84&lt;=$I84),DK84,DK84-MIN(INT(ROUND(IF($F84=1,$C84*$J84,IF(HJ84&gt;0,HJ84*$K84,DK84*$J84))*IF(71=$R84,$S84,12)/12,6)+$B$4),DK84-$I84)))))</f>
        <v/>
      </c>
      <c r="DM84" s="68">
        <f>IF($U84=0,0,IF($F84=4,0,IF($F84=3,0,IF(OR(72&gt;$R84,DL84&lt;=$I84),DL84,DL84-MIN(INT(ROUND(IF($F84=1,$C84*$J84,IF(HK84&gt;0,HK84*$K84,DL84*$J84))*IF(72=$R84,$S84,12)/12,6)+$B$4),DL84-$I84)))))</f>
        <v/>
      </c>
      <c r="DN84" s="68">
        <f>IF($U84=0,0,IF($F84=4,0,IF($F84=3,0,IF(OR(73&gt;$R84,DM84&lt;=$I84),DM84,DM84-MIN(INT(ROUND(IF($F84=1,$C84*$J84,IF(HL84&gt;0,HL84*$K84,DM84*$J84))*IF(73=$R84,$S84,12)/12,6)+$B$4),DM84-$I84)))))</f>
        <v/>
      </c>
      <c r="DO84" s="68">
        <f>IF($U84=0,0,IF($F84=4,0,IF($F84=3,0,IF(OR(74&gt;$R84,DN84&lt;=$I84),DN84,DN84-MIN(INT(ROUND(IF($F84=1,$C84*$J84,IF(HM84&gt;0,HM84*$K84,DN84*$J84))*IF(74=$R84,$S84,12)/12,6)+$B$4),DN84-$I84)))))</f>
        <v/>
      </c>
      <c r="DP84" s="68">
        <f>IF($U84=0,0,IF($F84=4,0,IF($F84=3,0,IF(OR(75&gt;$R84,DO84&lt;=$I84),DO84,DO84-MIN(INT(ROUND(IF($F84=1,$C84*$J84,IF(HN84&gt;0,HN84*$K84,DO84*$J84))*IF(75=$R84,$S84,12)/12,6)+$B$4),DO84-$I84)))))</f>
        <v/>
      </c>
      <c r="DQ84" s="68">
        <f>IF($U84=0,0,IF($F84=4,0,IF($F84=3,0,IF(OR(76&gt;$R84,DP84&lt;=$I84),DP84,DP84-MIN(INT(ROUND(IF($F84=1,$C84*$J84,IF(HO84&gt;0,HO84*$K84,DP84*$J84))*IF(76=$R84,$S84,12)/12,6)+$B$4),DP84-$I84)))))</f>
        <v/>
      </c>
      <c r="DR84" s="68">
        <f>IF($U84=0,0,IF($F84=4,0,IF($F84=3,0,IF(OR(77&gt;$R84,DQ84&lt;=$I84),DQ84,DQ84-MIN(INT(ROUND(IF($F84=1,$C84*$J84,IF(HP84&gt;0,HP84*$K84,DQ84*$J84))*IF(77=$R84,$S84,12)/12,6)+$B$4),DQ84-$I84)))))</f>
        <v/>
      </c>
      <c r="DS84" s="68">
        <f>IF($U84=0,0,IF($F84=4,0,IF($F84=3,0,IF(OR(78&gt;$R84,DR84&lt;=$I84),DR84,DR84-MIN(INT(ROUND(IF($F84=1,$C84*$J84,IF(HQ84&gt;0,HQ84*$K84,DR84*$J84))*IF(78=$R84,$S84,12)/12,6)+$B$4),DR84-$I84)))))</f>
        <v/>
      </c>
      <c r="DT84" s="68">
        <f>IF($U84=0,0,IF($F84=4,0,IF($F84=3,0,IF(OR(79&gt;$R84,DS84&lt;=$I84),DS84,DS84-MIN(INT(ROUND(IF($F84=1,$C84*$J84,IF(HR84&gt;0,HR84*$K84,DS84*$J84))*IF(79=$R84,$S84,12)/12,6)+$B$4),DS84-$I84)))))</f>
        <v/>
      </c>
      <c r="DU84" s="68">
        <f>IF($U84=0,0,IF($F84=4,0,IF($F84=3,0,IF(OR(80&gt;$R84,DT84&lt;=$I84),DT84,DT84-MIN(INT(ROUND(IF($F84=1,$C84*$J84,IF(HS84&gt;0,HS84*$K84,DT84*$J84))*IF(80=$R84,$S84,12)/12,6)+$B$4),DT84-$I84)))))</f>
        <v/>
      </c>
      <c r="DV84" s="68">
        <f>IF($U84=0,0,IF($F84=4,0,IF($F84=3,0,IF(OR(81&gt;$R84,DU84&lt;=$I84),DU84,DU84-MIN(INT(ROUND(IF($F84=1,$C84*$J84,IF(HT84&gt;0,HT84*$K84,DU84*$J84))*IF(81=$R84,$S84,12)/12,6)+$B$4),DU84-$I84)))))</f>
        <v/>
      </c>
      <c r="DW84" s="68">
        <f>IF($U84=0,0,IF($F84=4,0,IF($F84=3,0,IF(OR(82&gt;$R84,DV84&lt;=$I84),DV84,DV84-MIN(INT(ROUND(IF($F84=1,$C84*$J84,IF(HU84&gt;0,HU84*$K84,DV84*$J84))*IF(82=$R84,$S84,12)/12,6)+$B$4),DV84-$I84)))))</f>
        <v/>
      </c>
      <c r="DX84" s="68">
        <f>IF($U84=0,0,IF($F84=4,0,IF($F84=3,0,IF(OR(83&gt;$R84,DW84&lt;=$I84),DW84,DW84-MIN(INT(ROUND(IF($F84=1,$C84*$J84,IF(HV84&gt;0,HV84*$K84,DW84*$J84))*IF(83=$R84,$S84,12)/12,6)+$B$4),DW84-$I84)))))</f>
        <v/>
      </c>
      <c r="DY84" s="68">
        <f>IF($U84=0,0,IF($F84=4,0,IF($F84=3,0,IF(OR(84&gt;$R84,DX84&lt;=$I84),DX84,DX84-MIN(INT(ROUND(IF($F84=1,$C84*$J84,IF(HW84&gt;0,HW84*$K84,DX84*$J84))*IF(84=$R84,$S84,12)/12,6)+$B$4),DX84-$I84)))))</f>
        <v/>
      </c>
      <c r="DZ84" s="68">
        <f>IF($U84=0,0,IF($F84=4,0,IF($F84=3,0,IF(OR(85&gt;$R84,DY84&lt;=$I84),DY84,DY84-MIN(INT(ROUND(IF($F84=1,$C84*$J84,IF(HX84&gt;0,HX84*$K84,DY84*$J84))*IF(85=$R84,$S84,12)/12,6)+$B$4),DY84-$I84)))))</f>
        <v/>
      </c>
      <c r="EA84" s="68">
        <f>IF($U84=0,0,IF($F84=4,0,IF($F84=3,0,IF(OR(86&gt;$R84,DZ84&lt;=$I84),DZ84,DZ84-MIN(INT(ROUND(IF($F84=1,$C84*$J84,IF(HY84&gt;0,HY84*$K84,DZ84*$J84))*IF(86=$R84,$S84,12)/12,6)+$B$4),DZ84-$I84)))))</f>
        <v/>
      </c>
      <c r="EB84" s="68">
        <f>IF($U84=0,0,IF($F84=4,0,IF($F84=3,0,IF(OR(87&gt;$R84,EA84&lt;=$I84),EA84,EA84-MIN(INT(ROUND(IF($F84=1,$C84*$J84,IF(HZ84&gt;0,HZ84*$K84,EA84*$J84))*IF(87=$R84,$S84,12)/12,6)+$B$4),EA84-$I84)))))</f>
        <v/>
      </c>
      <c r="EC84" s="68">
        <f>IF($U84=0,0,IF($F84=4,0,IF($F84=3,0,IF(OR(88&gt;$R84,EB84&lt;=$I84),EB84,EB84-MIN(INT(ROUND(IF($F84=1,$C84*$J84,IF(IA84&gt;0,IA84*$K84,EB84*$J84))*IF(88=$R84,$S84,12)/12,6)+$B$4),EB84-$I84)))))</f>
        <v/>
      </c>
      <c r="ED84" s="68">
        <f>IF($U84=0,0,IF($F84=4,0,IF($F84=3,0,IF(OR(89&gt;$R84,EC84&lt;=$I84),EC84,EC84-MIN(INT(ROUND(IF($F84=1,$C84*$J84,IF(IB84&gt;0,IB84*$K84,EC84*$J84))*IF(89=$R84,$S84,12)/12,6)+$B$4),EC84-$I84)))))</f>
        <v/>
      </c>
      <c r="EE84" s="68">
        <f>IF($U84=0,0,IF($F84=4,0,IF($F84=3,0,IF(OR(90&gt;$R84,ED84&lt;=$I84),ED84,ED84-MIN(INT(ROUND(IF($F84=1,$C84*$J84,IF(IC84&gt;0,IC84*$K84,ED84*$J84))*IF(90=$R84,$S84,12)/12,6)+$B$4),ED84-$I84)))))</f>
        <v/>
      </c>
      <c r="EF84" s="68">
        <f>IF($U84=0,0,IF($F84=4,0,IF($F84=3,0,IF(OR(91&gt;$R84,EE84&lt;=$I84),EE84,EE84-MIN(INT(ROUND(IF($F84=1,$C84*$J84,IF(ID84&gt;0,ID84*$K84,EE84*$J84))*IF(91=$R84,$S84,12)/12,6)+$B$4),EE84-$I84)))))</f>
        <v/>
      </c>
      <c r="EG84" s="68">
        <f>IF($U84=0,0,IF($F84=4,0,IF($F84=3,0,IF(OR(92&gt;$R84,EF84&lt;=$I84),EF84,EF84-MIN(INT(ROUND(IF($F84=1,$C84*$J84,IF(IE84&gt;0,IE84*$K84,EF84*$J84))*IF(92=$R84,$S84,12)/12,6)+$B$4),EF84-$I84)))))</f>
        <v/>
      </c>
      <c r="EH84" s="68">
        <f>IF($U84=0,0,IF($F84=4,0,IF($F84=3,0,IF(OR(93&gt;$R84,EG84&lt;=$I84),EG84,EG84-MIN(INT(ROUND(IF($F84=1,$C84*$J84,IF(IF84&gt;0,IF84*$K84,EG84*$J84))*IF(93=$R84,$S84,12)/12,6)+$B$4),EG84-$I84)))))</f>
        <v/>
      </c>
      <c r="EI84" s="68">
        <f>IF($U84=0,0,IF($F84=4,0,IF($F84=3,0,IF(OR(94&gt;$R84,EH84&lt;=$I84),EH84,EH84-MIN(INT(ROUND(IF($F84=1,$C84*$J84,IF(IG84&gt;0,IG84*$K84,EH84*$J84))*IF(94=$R84,$S84,12)/12,6)+$B$4),EH84-$I84)))))</f>
        <v/>
      </c>
      <c r="EJ84" s="68">
        <f>IF($U84=0,0,IF($F84=4,0,IF($F84=3,0,IF(OR(95&gt;$R84,EI84&lt;=$I84),EI84,EI84-MIN(INT(ROUND(IF($F84=1,$C84*$J84,IF(IH84&gt;0,IH84*$K84,EI84*$J84))*IF(95=$R84,$S84,12)/12,6)+$B$4),EI84-$I84)))))</f>
        <v/>
      </c>
      <c r="EK84" s="68">
        <f>IF($U84=0,0,IF($F84=4,0,IF($F84=3,0,IF(OR(96&gt;$R84,EJ84&lt;=$I84),EJ84,EJ84-MIN(INT(ROUND(IF($F84=1,$C84*$J84,IF(II84&gt;0,II84*$K84,EJ84*$J84))*IF(96=$R84,$S84,12)/12,6)+$B$4),EJ84-$I84)))))</f>
        <v/>
      </c>
      <c r="EL84" s="68">
        <f>IF($U84=0,0,IF($F84=4,0,IF($F84=3,0,IF(OR(97&gt;$R84,EK84&lt;=$I84),EK84,EK84-MIN(INT(ROUND(IF($F84=1,$C84*$J84,IF(IJ84&gt;0,IJ84*$K84,EK84*$J84))*IF(97=$R84,$S84,12)/12,6)+$B$4),EK84-$I84)))))</f>
        <v/>
      </c>
      <c r="EM84" s="68">
        <f>IF($U84=0,0,IF($F84=4,0,IF($F84=3,0,IF(OR(98&gt;$R84,EL84&lt;=$I84),EL84,EL84-MIN(INT(ROUND(IF($F84=1,$C84*$J84,IF(IK84&gt;0,IK84*$K84,EL84*$J84))*IF(98=$R84,$S84,12)/12,6)+$B$4),EL84-$I84)))))</f>
        <v/>
      </c>
      <c r="EN84" s="68">
        <f>IF($U84=0,0,IF($F84=4,0,IF($F84=3,0,IF(OR(99&gt;$R84,EM84&lt;=$I84),EM84,EM84-MIN(INT(ROUND(IF($F84=1,$C84*$J84,IF(IL84&gt;0,IL84*$K84,EM84*$J84))*IF(99=$R84,$S84,12)/12,6)+$B$4),EM84-$I84)))))</f>
        <v/>
      </c>
      <c r="EO84" s="68">
        <f>IF($U84=0,0,IF($F84=4,0,IF($F84=3,0,IF(OR(100&gt;$R84,EN84&lt;=$I84),EN84,EN84-MIN(INT(ROUND(IF($F84=1,$C84*$J84,IF(IM84&gt;0,IM84*$K84,EN84*$J84))*IF(100=$R84,$S84,12)/12,6)+$B$4),EN84-$I84)))))</f>
        <v/>
      </c>
      <c r="EP84" s="68">
        <f>IF($U84=0,0,IF($F84=4,0,IF($F84=3,0,IF(OR(101&gt;$R84,EO84&lt;=$I84),EO84,EO84-MIN(INT(ROUND(IF($F84=1,$C84*$J84,IF(IN84&gt;0,IN84*$K84,EO84*$J84))*IF(101=$R84,$S84,12)/12,6)+$B$4),EO84-$I84)))))</f>
        <v/>
      </c>
      <c r="EQ84" s="68" t="n"/>
      <c r="ER84" s="68">
        <f>IF(OR($U84=0,$F84&lt;&gt;2),0,IF(ROUND(AS84*$J84,6)&lt;ROUND($M84,6),AS84,0))</f>
        <v/>
      </c>
      <c r="ES84" s="68">
        <f>IF(OR($U84=0,$F84&lt;&gt;2),0,IF(ER84&gt;0,ER84,IF(ROUND(AT84*$J84,6)&lt;ROUND($M84,6),AT84,0)))</f>
        <v/>
      </c>
      <c r="ET84" s="68">
        <f>IF(OR($U84=0,$F84&lt;&gt;2),0,IF(ES84&gt;0,ES84,IF(ROUND(AU84*$J84,6)&lt;ROUND($M84,6),AU84,0)))</f>
        <v/>
      </c>
      <c r="EU84" s="68">
        <f>IF(OR($U84=0,$F84&lt;&gt;2),0,IF(ET84&gt;0,ET84,IF(ROUND(AV84*$J84,6)&lt;ROUND($M84,6),AV84,0)))</f>
        <v/>
      </c>
      <c r="EV84" s="68">
        <f>IF(OR($U84=0,$F84&lt;&gt;2),0,IF(EU84&gt;0,EU84,IF(ROUND(AW84*$J84,6)&lt;ROUND($M84,6),AW84,0)))</f>
        <v/>
      </c>
      <c r="EW84" s="68">
        <f>IF(OR($U84=0,$F84&lt;&gt;2),0,IF(EV84&gt;0,EV84,IF(ROUND(AX84*$J84,6)&lt;ROUND($M84,6),AX84,0)))</f>
        <v/>
      </c>
      <c r="EX84" s="68">
        <f>IF(OR($U84=0,$F84&lt;&gt;2),0,IF(EW84&gt;0,EW84,IF(ROUND(AY84*$J84,6)&lt;ROUND($M84,6),AY84,0)))</f>
        <v/>
      </c>
      <c r="EY84" s="68">
        <f>IF(OR($U84=0,$F84&lt;&gt;2),0,IF(EX84&gt;0,EX84,IF(ROUND(AZ84*$J84,6)&lt;ROUND($M84,6),AZ84,0)))</f>
        <v/>
      </c>
      <c r="EZ84" s="68">
        <f>IF(OR($U84=0,$F84&lt;&gt;2),0,IF(EY84&gt;0,EY84,IF(ROUND(BA84*$J84,6)&lt;ROUND($M84,6),BA84,0)))</f>
        <v/>
      </c>
      <c r="FA84" s="68">
        <f>IF(OR($U84=0,$F84&lt;&gt;2),0,IF(EZ84&gt;0,EZ84,IF(ROUND(BB84*$J84,6)&lt;ROUND($M84,6),BB84,0)))</f>
        <v/>
      </c>
      <c r="FB84" s="68">
        <f>IF(OR($U84=0,$F84&lt;&gt;2),0,IF(FA84&gt;0,FA84,IF(ROUND(BC84*$J84,6)&lt;ROUND($M84,6),BC84,0)))</f>
        <v/>
      </c>
      <c r="FC84" s="68">
        <f>IF(OR($U84=0,$F84&lt;&gt;2),0,IF(FB84&gt;0,FB84,IF(ROUND(BD84*$J84,6)&lt;ROUND($M84,6),BD84,0)))</f>
        <v/>
      </c>
      <c r="FD84" s="68">
        <f>IF(OR($U84=0,$F84&lt;&gt;2),0,IF(FC84&gt;0,FC84,IF(ROUND(BE84*$J84,6)&lt;ROUND($M84,6),BE84,0)))</f>
        <v/>
      </c>
      <c r="FE84" s="68">
        <f>IF(OR($U84=0,$F84&lt;&gt;2),0,IF(FD84&gt;0,FD84,IF(ROUND(BF84*$J84,6)&lt;ROUND($M84,6),BF84,0)))</f>
        <v/>
      </c>
      <c r="FF84" s="68">
        <f>IF(OR($U84=0,$F84&lt;&gt;2),0,IF(FE84&gt;0,FE84,IF(ROUND(BG84*$J84,6)&lt;ROUND($M84,6),BG84,0)))</f>
        <v/>
      </c>
      <c r="FG84" s="68">
        <f>IF(OR($U84=0,$F84&lt;&gt;2),0,IF(FF84&gt;0,FF84,IF(ROUND(BH84*$J84,6)&lt;ROUND($M84,6),BH84,0)))</f>
        <v/>
      </c>
      <c r="FH84" s="68">
        <f>IF(OR($U84=0,$F84&lt;&gt;2),0,IF(FG84&gt;0,FG84,IF(ROUND(BI84*$J84,6)&lt;ROUND($M84,6),BI84,0)))</f>
        <v/>
      </c>
      <c r="FI84" s="68">
        <f>IF(OR($U84=0,$F84&lt;&gt;2),0,IF(FH84&gt;0,FH84,IF(ROUND(BJ84*$J84,6)&lt;ROUND($M84,6),BJ84,0)))</f>
        <v/>
      </c>
      <c r="FJ84" s="68">
        <f>IF(OR($U84=0,$F84&lt;&gt;2),0,IF(FI84&gt;0,FI84,IF(ROUND(BK84*$J84,6)&lt;ROUND($M84,6),BK84,0)))</f>
        <v/>
      </c>
      <c r="FK84" s="68">
        <f>IF(OR($U84=0,$F84&lt;&gt;2),0,IF(FJ84&gt;0,FJ84,IF(ROUND(BL84*$J84,6)&lt;ROUND($M84,6),BL84,0)))</f>
        <v/>
      </c>
      <c r="FL84" s="68">
        <f>IF(OR($U84=0,$F84&lt;&gt;2),0,IF(FK84&gt;0,FK84,IF(ROUND(BM84*$J84,6)&lt;ROUND($M84,6),BM84,0)))</f>
        <v/>
      </c>
      <c r="FM84" s="68">
        <f>IF(OR($U84=0,$F84&lt;&gt;2),0,IF(FL84&gt;0,FL84,IF(ROUND(BN84*$J84,6)&lt;ROUND($M84,6),BN84,0)))</f>
        <v/>
      </c>
      <c r="FN84" s="68">
        <f>IF(OR($U84=0,$F84&lt;&gt;2),0,IF(FM84&gt;0,FM84,IF(ROUND(BO84*$J84,6)&lt;ROUND($M84,6),BO84,0)))</f>
        <v/>
      </c>
      <c r="FO84" s="68">
        <f>IF(OR($U84=0,$F84&lt;&gt;2),0,IF(FN84&gt;0,FN84,IF(ROUND(BP84*$J84,6)&lt;ROUND($M84,6),BP84,0)))</f>
        <v/>
      </c>
      <c r="FP84" s="68">
        <f>IF(OR($U84=0,$F84&lt;&gt;2),0,IF(FO84&gt;0,FO84,IF(ROUND(BQ84*$J84,6)&lt;ROUND($M84,6),BQ84,0)))</f>
        <v/>
      </c>
      <c r="FQ84" s="68">
        <f>IF(OR($U84=0,$F84&lt;&gt;2),0,IF(FP84&gt;0,FP84,IF(ROUND(BR84*$J84,6)&lt;ROUND($M84,6),BR84,0)))</f>
        <v/>
      </c>
      <c r="FR84" s="68">
        <f>IF(OR($U84=0,$F84&lt;&gt;2),0,IF(FQ84&gt;0,FQ84,IF(ROUND(BS84*$J84,6)&lt;ROUND($M84,6),BS84,0)))</f>
        <v/>
      </c>
      <c r="FS84" s="68">
        <f>IF(OR($U84=0,$F84&lt;&gt;2),0,IF(FR84&gt;0,FR84,IF(ROUND(BT84*$J84,6)&lt;ROUND($M84,6),BT84,0)))</f>
        <v/>
      </c>
      <c r="FT84" s="68">
        <f>IF(OR($U84=0,$F84&lt;&gt;2),0,IF(FS84&gt;0,FS84,IF(ROUND(BU84*$J84,6)&lt;ROUND($M84,6),BU84,0)))</f>
        <v/>
      </c>
      <c r="FU84" s="68">
        <f>IF(OR($U84=0,$F84&lt;&gt;2),0,IF(FT84&gt;0,FT84,IF(ROUND(BV84*$J84,6)&lt;ROUND($M84,6),BV84,0)))</f>
        <v/>
      </c>
      <c r="FV84" s="68">
        <f>IF(OR($U84=0,$F84&lt;&gt;2),0,IF(FU84&gt;0,FU84,IF(ROUND(BW84*$J84,6)&lt;ROUND($M84,6),BW84,0)))</f>
        <v/>
      </c>
      <c r="FW84" s="68">
        <f>IF(OR($U84=0,$F84&lt;&gt;2),0,IF(FV84&gt;0,FV84,IF(ROUND(BX84*$J84,6)&lt;ROUND($M84,6),BX84,0)))</f>
        <v/>
      </c>
      <c r="FX84" s="68">
        <f>IF(OR($U84=0,$F84&lt;&gt;2),0,IF(FW84&gt;0,FW84,IF(ROUND(BY84*$J84,6)&lt;ROUND($M84,6),BY84,0)))</f>
        <v/>
      </c>
      <c r="FY84" s="68">
        <f>IF(OR($U84=0,$F84&lt;&gt;2),0,IF(FX84&gt;0,FX84,IF(ROUND(BZ84*$J84,6)&lt;ROUND($M84,6),BZ84,0)))</f>
        <v/>
      </c>
      <c r="FZ84" s="68">
        <f>IF(OR($U84=0,$F84&lt;&gt;2),0,IF(FY84&gt;0,FY84,IF(ROUND(CA84*$J84,6)&lt;ROUND($M84,6),CA84,0)))</f>
        <v/>
      </c>
      <c r="GA84" s="68">
        <f>IF(OR($U84=0,$F84&lt;&gt;2),0,IF(FZ84&gt;0,FZ84,IF(ROUND(CB84*$J84,6)&lt;ROUND($M84,6),CB84,0)))</f>
        <v/>
      </c>
      <c r="GB84" s="68">
        <f>IF(OR($U84=0,$F84&lt;&gt;2),0,IF(GA84&gt;0,GA84,IF(ROUND(CC84*$J84,6)&lt;ROUND($M84,6),CC84,0)))</f>
        <v/>
      </c>
      <c r="GC84" s="68">
        <f>IF(OR($U84=0,$F84&lt;&gt;2),0,IF(GB84&gt;0,GB84,IF(ROUND(CD84*$J84,6)&lt;ROUND($M84,6),CD84,0)))</f>
        <v/>
      </c>
      <c r="GD84" s="68">
        <f>IF(OR($U84=0,$F84&lt;&gt;2),0,IF(GC84&gt;0,GC84,IF(ROUND(CE84*$J84,6)&lt;ROUND($M84,6),CE84,0)))</f>
        <v/>
      </c>
      <c r="GE84" s="68">
        <f>IF(OR($U84=0,$F84&lt;&gt;2),0,IF(GD84&gt;0,GD84,IF(ROUND(CF84*$J84,6)&lt;ROUND($M84,6),CF84,0)))</f>
        <v/>
      </c>
      <c r="GF84" s="68">
        <f>IF(OR($U84=0,$F84&lt;&gt;2),0,IF(GE84&gt;0,GE84,IF(ROUND(CG84*$J84,6)&lt;ROUND($M84,6),CG84,0)))</f>
        <v/>
      </c>
      <c r="GG84" s="68">
        <f>IF(OR($U84=0,$F84&lt;&gt;2),0,IF(GF84&gt;0,GF84,IF(ROUND(CH84*$J84,6)&lt;ROUND($M84,6),CH84,0)))</f>
        <v/>
      </c>
      <c r="GH84" s="68">
        <f>IF(OR($U84=0,$F84&lt;&gt;2),0,IF(GG84&gt;0,GG84,IF(ROUND(CI84*$J84,6)&lt;ROUND($M84,6),CI84,0)))</f>
        <v/>
      </c>
      <c r="GI84" s="68">
        <f>IF(OR($U84=0,$F84&lt;&gt;2),0,IF(GH84&gt;0,GH84,IF(ROUND(CJ84*$J84,6)&lt;ROUND($M84,6),CJ84,0)))</f>
        <v/>
      </c>
      <c r="GJ84" s="68">
        <f>IF(OR($U84=0,$F84&lt;&gt;2),0,IF(GI84&gt;0,GI84,IF(ROUND(CK84*$J84,6)&lt;ROUND($M84,6),CK84,0)))</f>
        <v/>
      </c>
      <c r="GK84" s="68">
        <f>IF(OR($U84=0,$F84&lt;&gt;2),0,IF(GJ84&gt;0,GJ84,IF(ROUND(CL84*$J84,6)&lt;ROUND($M84,6),CL84,0)))</f>
        <v/>
      </c>
      <c r="GL84" s="68">
        <f>IF(OR($U84=0,$F84&lt;&gt;2),0,IF(GK84&gt;0,GK84,IF(ROUND(CM84*$J84,6)&lt;ROUND($M84,6),CM84,0)))</f>
        <v/>
      </c>
      <c r="GM84" s="68">
        <f>IF(OR($U84=0,$F84&lt;&gt;2),0,IF(GL84&gt;0,GL84,IF(ROUND(CN84*$J84,6)&lt;ROUND($M84,6),CN84,0)))</f>
        <v/>
      </c>
      <c r="GN84" s="68">
        <f>IF(OR($U84=0,$F84&lt;&gt;2),0,IF(GM84&gt;0,GM84,IF(ROUND(CO84*$J84,6)&lt;ROUND($M84,6),CO84,0)))</f>
        <v/>
      </c>
      <c r="GO84" s="68">
        <f>IF(OR($U84=0,$F84&lt;&gt;2),0,IF(GN84&gt;0,GN84,IF(ROUND(CP84*$J84,6)&lt;ROUND($M84,6),CP84,0)))</f>
        <v/>
      </c>
      <c r="GP84" s="68">
        <f>IF(OR($U84=0,$F84&lt;&gt;2),0,IF(GO84&gt;0,GO84,IF(ROUND(CQ84*$J84,6)&lt;ROUND($M84,6),CQ84,0)))</f>
        <v/>
      </c>
      <c r="GQ84" s="68">
        <f>IF(OR($U84=0,$F84&lt;&gt;2),0,IF(GP84&gt;0,GP84,IF(ROUND(CR84*$J84,6)&lt;ROUND($M84,6),CR84,0)))</f>
        <v/>
      </c>
      <c r="GR84" s="68">
        <f>IF(OR($U84=0,$F84&lt;&gt;2),0,IF(GQ84&gt;0,GQ84,IF(ROUND(CS84*$J84,6)&lt;ROUND($M84,6),CS84,0)))</f>
        <v/>
      </c>
      <c r="GS84" s="68">
        <f>IF(OR($U84=0,$F84&lt;&gt;2),0,IF(GR84&gt;0,GR84,IF(ROUND(CT84*$J84,6)&lt;ROUND($M84,6),CT84,0)))</f>
        <v/>
      </c>
      <c r="GT84" s="68">
        <f>IF(OR($U84=0,$F84&lt;&gt;2),0,IF(GS84&gt;0,GS84,IF(ROUND(CU84*$J84,6)&lt;ROUND($M84,6),CU84,0)))</f>
        <v/>
      </c>
      <c r="GU84" s="68">
        <f>IF(OR($U84=0,$F84&lt;&gt;2),0,IF(GT84&gt;0,GT84,IF(ROUND(CV84*$J84,6)&lt;ROUND($M84,6),CV84,0)))</f>
        <v/>
      </c>
      <c r="GV84" s="68">
        <f>IF(OR($U84=0,$F84&lt;&gt;2),0,IF(GU84&gt;0,GU84,IF(ROUND(CW84*$J84,6)&lt;ROUND($M84,6),CW84,0)))</f>
        <v/>
      </c>
      <c r="GW84" s="68">
        <f>IF(OR($U84=0,$F84&lt;&gt;2),0,IF(GV84&gt;0,GV84,IF(ROUND(CX84*$J84,6)&lt;ROUND($M84,6),CX84,0)))</f>
        <v/>
      </c>
      <c r="GX84" s="68">
        <f>IF(OR($U84=0,$F84&lt;&gt;2),0,IF(GW84&gt;0,GW84,IF(ROUND(CY84*$J84,6)&lt;ROUND($M84,6),CY84,0)))</f>
        <v/>
      </c>
      <c r="GY84" s="68">
        <f>IF(OR($U84=0,$F84&lt;&gt;2),0,IF(GX84&gt;0,GX84,IF(ROUND(CZ84*$J84,6)&lt;ROUND($M84,6),CZ84,0)))</f>
        <v/>
      </c>
      <c r="GZ84" s="68">
        <f>IF(OR($U84=0,$F84&lt;&gt;2),0,IF(GY84&gt;0,GY84,IF(ROUND(DA84*$J84,6)&lt;ROUND($M84,6),DA84,0)))</f>
        <v/>
      </c>
      <c r="HA84" s="68">
        <f>IF(OR($U84=0,$F84&lt;&gt;2),0,IF(GZ84&gt;0,GZ84,IF(ROUND(DB84*$J84,6)&lt;ROUND($M84,6),DB84,0)))</f>
        <v/>
      </c>
      <c r="HB84" s="68">
        <f>IF(OR($U84=0,$F84&lt;&gt;2),0,IF(HA84&gt;0,HA84,IF(ROUND(DC84*$J84,6)&lt;ROUND($M84,6),DC84,0)))</f>
        <v/>
      </c>
      <c r="HC84" s="68">
        <f>IF(OR($U84=0,$F84&lt;&gt;2),0,IF(HB84&gt;0,HB84,IF(ROUND(DD84*$J84,6)&lt;ROUND($M84,6),DD84,0)))</f>
        <v/>
      </c>
      <c r="HD84" s="68">
        <f>IF(OR($U84=0,$F84&lt;&gt;2),0,IF(HC84&gt;0,HC84,IF(ROUND(DE84*$J84,6)&lt;ROUND($M84,6),DE84,0)))</f>
        <v/>
      </c>
      <c r="HE84" s="68">
        <f>IF(OR($U84=0,$F84&lt;&gt;2),0,IF(HD84&gt;0,HD84,IF(ROUND(DF84*$J84,6)&lt;ROUND($M84,6),DF84,0)))</f>
        <v/>
      </c>
      <c r="HF84" s="68">
        <f>IF(OR($U84=0,$F84&lt;&gt;2),0,IF(HE84&gt;0,HE84,IF(ROUND(DG84*$J84,6)&lt;ROUND($M84,6),DG84,0)))</f>
        <v/>
      </c>
      <c r="HG84" s="68">
        <f>IF(OR($U84=0,$F84&lt;&gt;2),0,IF(HF84&gt;0,HF84,IF(ROUND(DH84*$J84,6)&lt;ROUND($M84,6),DH84,0)))</f>
        <v/>
      </c>
      <c r="HH84" s="68">
        <f>IF(OR($U84=0,$F84&lt;&gt;2),0,IF(HG84&gt;0,HG84,IF(ROUND(DI84*$J84,6)&lt;ROUND($M84,6),DI84,0)))</f>
        <v/>
      </c>
      <c r="HI84" s="68">
        <f>IF(OR($U84=0,$F84&lt;&gt;2),0,IF(HH84&gt;0,HH84,IF(ROUND(DJ84*$J84,6)&lt;ROUND($M84,6),DJ84,0)))</f>
        <v/>
      </c>
      <c r="HJ84" s="68">
        <f>IF(OR($U84=0,$F84&lt;&gt;2),0,IF(HI84&gt;0,HI84,IF(ROUND(DK84*$J84,6)&lt;ROUND($M84,6),DK84,0)))</f>
        <v/>
      </c>
      <c r="HK84" s="68">
        <f>IF(OR($U84=0,$F84&lt;&gt;2),0,IF(HJ84&gt;0,HJ84,IF(ROUND(DL84*$J84,6)&lt;ROUND($M84,6),DL84,0)))</f>
        <v/>
      </c>
      <c r="HL84" s="68">
        <f>IF(OR($U84=0,$F84&lt;&gt;2),0,IF(HK84&gt;0,HK84,IF(ROUND(DM84*$J84,6)&lt;ROUND($M84,6),DM84,0)))</f>
        <v/>
      </c>
      <c r="HM84" s="68">
        <f>IF(OR($U84=0,$F84&lt;&gt;2),0,IF(HL84&gt;0,HL84,IF(ROUND(DN84*$J84,6)&lt;ROUND($M84,6),DN84,0)))</f>
        <v/>
      </c>
      <c r="HN84" s="68">
        <f>IF(OR($U84=0,$F84&lt;&gt;2),0,IF(HM84&gt;0,HM84,IF(ROUND(DO84*$J84,6)&lt;ROUND($M84,6),DO84,0)))</f>
        <v/>
      </c>
      <c r="HO84" s="68">
        <f>IF(OR($U84=0,$F84&lt;&gt;2),0,IF(HN84&gt;0,HN84,IF(ROUND(DP84*$J84,6)&lt;ROUND($M84,6),DP84,0)))</f>
        <v/>
      </c>
      <c r="HP84" s="68">
        <f>IF(OR($U84=0,$F84&lt;&gt;2),0,IF(HO84&gt;0,HO84,IF(ROUND(DQ84*$J84,6)&lt;ROUND($M84,6),DQ84,0)))</f>
        <v/>
      </c>
      <c r="HQ84" s="68">
        <f>IF(OR($U84=0,$F84&lt;&gt;2),0,IF(HP84&gt;0,HP84,IF(ROUND(DR84*$J84,6)&lt;ROUND($M84,6),DR84,0)))</f>
        <v/>
      </c>
      <c r="HR84" s="68">
        <f>IF(OR($U84=0,$F84&lt;&gt;2),0,IF(HQ84&gt;0,HQ84,IF(ROUND(DS84*$J84,6)&lt;ROUND($M84,6),DS84,0)))</f>
        <v/>
      </c>
      <c r="HS84" s="68">
        <f>IF(OR($U84=0,$F84&lt;&gt;2),0,IF(HR84&gt;0,HR84,IF(ROUND(DT84*$J84,6)&lt;ROUND($M84,6),DT84,0)))</f>
        <v/>
      </c>
      <c r="HT84" s="68">
        <f>IF(OR($U84=0,$F84&lt;&gt;2),0,IF(HS84&gt;0,HS84,IF(ROUND(DU84*$J84,6)&lt;ROUND($M84,6),DU84,0)))</f>
        <v/>
      </c>
      <c r="HU84" s="68">
        <f>IF(OR($U84=0,$F84&lt;&gt;2),0,IF(HT84&gt;0,HT84,IF(ROUND(DV84*$J84,6)&lt;ROUND($M84,6),DV84,0)))</f>
        <v/>
      </c>
      <c r="HV84" s="68">
        <f>IF(OR($U84=0,$F84&lt;&gt;2),0,IF(HU84&gt;0,HU84,IF(ROUND(DW84*$J84,6)&lt;ROUND($M84,6),DW84,0)))</f>
        <v/>
      </c>
      <c r="HW84" s="68">
        <f>IF(OR($U84=0,$F84&lt;&gt;2),0,IF(HV84&gt;0,HV84,IF(ROUND(DX84*$J84,6)&lt;ROUND($M84,6),DX84,0)))</f>
        <v/>
      </c>
      <c r="HX84" s="68">
        <f>IF(OR($U84=0,$F84&lt;&gt;2),0,IF(HW84&gt;0,HW84,IF(ROUND(DY84*$J84,6)&lt;ROUND($M84,6),DY84,0)))</f>
        <v/>
      </c>
      <c r="HY84" s="68">
        <f>IF(OR($U84=0,$F84&lt;&gt;2),0,IF(HX84&gt;0,HX84,IF(ROUND(DZ84*$J84,6)&lt;ROUND($M84,6),DZ84,0)))</f>
        <v/>
      </c>
      <c r="HZ84" s="68">
        <f>IF(OR($U84=0,$F84&lt;&gt;2),0,IF(HY84&gt;0,HY84,IF(ROUND(EA84*$J84,6)&lt;ROUND($M84,6),EA84,0)))</f>
        <v/>
      </c>
      <c r="IA84" s="68">
        <f>IF(OR($U84=0,$F84&lt;&gt;2),0,IF(HZ84&gt;0,HZ84,IF(ROUND(EB84*$J84,6)&lt;ROUND($M84,6),EB84,0)))</f>
        <v/>
      </c>
      <c r="IB84" s="68">
        <f>IF(OR($U84=0,$F84&lt;&gt;2),0,IF(IA84&gt;0,IA84,IF(ROUND(EC84*$J84,6)&lt;ROUND($M84,6),EC84,0)))</f>
        <v/>
      </c>
      <c r="IC84" s="68">
        <f>IF(OR($U84=0,$F84&lt;&gt;2),0,IF(IB84&gt;0,IB84,IF(ROUND(ED84*$J84,6)&lt;ROUND($M84,6),ED84,0)))</f>
        <v/>
      </c>
      <c r="ID84" s="68">
        <f>IF(OR($U84=0,$F84&lt;&gt;2),0,IF(IC84&gt;0,IC84,IF(ROUND(EE84*$J84,6)&lt;ROUND($M84,6),EE84,0)))</f>
        <v/>
      </c>
      <c r="IE84" s="68">
        <f>IF(OR($U84=0,$F84&lt;&gt;2),0,IF(ID84&gt;0,ID84,IF(ROUND(EF84*$J84,6)&lt;ROUND($M84,6),EF84,0)))</f>
        <v/>
      </c>
      <c r="IF84" s="68">
        <f>IF(OR($U84=0,$F84&lt;&gt;2),0,IF(IE84&gt;0,IE84,IF(ROUND(EG84*$J84,6)&lt;ROUND($M84,6),EG84,0)))</f>
        <v/>
      </c>
      <c r="IG84" s="68">
        <f>IF(OR($U84=0,$F84&lt;&gt;2),0,IF(IF84&gt;0,IF84,IF(ROUND(EH84*$J84,6)&lt;ROUND($M84,6),EH84,0)))</f>
        <v/>
      </c>
      <c r="IH84" s="68">
        <f>IF(OR($U84=0,$F84&lt;&gt;2),0,IF(IG84&gt;0,IG84,IF(ROUND(EI84*$J84,6)&lt;ROUND($M84,6),EI84,0)))</f>
        <v/>
      </c>
      <c r="II84" s="68">
        <f>IF(OR($U84=0,$F84&lt;&gt;2),0,IF(IH84&gt;0,IH84,IF(ROUND(EJ84*$J84,6)&lt;ROUND($M84,6),EJ84,0)))</f>
        <v/>
      </c>
      <c r="IJ84" s="68">
        <f>IF(OR($U84=0,$F84&lt;&gt;2),0,IF(II84&gt;0,II84,IF(ROUND(EK84*$J84,6)&lt;ROUND($M84,6),EK84,0)))</f>
        <v/>
      </c>
      <c r="IK84" s="68">
        <f>IF(OR($U84=0,$F84&lt;&gt;2),0,IF(IJ84&gt;0,IJ84,IF(ROUND(EL84*$J84,6)&lt;ROUND($M84,6),EL84,0)))</f>
        <v/>
      </c>
      <c r="IL84" s="68">
        <f>IF(OR($U84=0,$F84&lt;&gt;2),0,IF(IK84&gt;0,IK84,IF(ROUND(EM84*$J84,6)&lt;ROUND($M84,6),EM84,0)))</f>
        <v/>
      </c>
      <c r="IM84" s="68">
        <f>IF(OR($U84=0,$F84&lt;&gt;2),0,IF(IL84&gt;0,IL84,IF(ROUND(EN84*$J84,6)&lt;ROUND($M84,6),EN84,0)))</f>
        <v/>
      </c>
      <c r="IN84" s="68">
        <f>IF(OR($U84=0,$F84&lt;&gt;2),0,IF(IM84&gt;0,IM84,IF(ROUND(EO84*$J84,6)&lt;ROUND($M84,6),EO84,0)))</f>
        <v/>
      </c>
    </row>
    <row r="85">
      <c r="A85" s="68" t="n">
        <v>80</v>
      </c>
      <c r="B85" s="68">
        <f>IF(OR(TRIM('固定資産台帳'!$B85)&lt;&gt;"",'固定資産台帳'!$E85&lt;&gt;"",'固定資産台帳'!$G85&lt;&gt;"",'固定資産台帳'!$H85&lt;&gt;""),1,0)</f>
        <v/>
      </c>
      <c r="C85" s="68">
        <f>IF(ISNUMBER('固定資産台帳'!$G85),MAX(ROUND('固定資産台帳'!$G85,0),0),0)</f>
        <v/>
      </c>
      <c r="D85" s="84">
        <f>IF(ISNUMBER('固定資産台帳'!$E85),INT('固定資産台帳'!$E85),0)</f>
        <v/>
      </c>
      <c r="E85" s="84">
        <f>IF(ISNUMBER('固定資産台帳'!$F85),INT('固定資産台帳'!$F85),$D85)</f>
        <v/>
      </c>
      <c r="F85" s="68">
        <f>IF('固定資産台帳'!$H85="定額法",1,IF(OR('固定資産台帳'!$H85="定率法",'固定資産台帳'!$H85="定率法（200%）",'固定資産台帳'!$H85="定率法（250%）"),2,IF('固定資産台帳'!$H85="一括償却（3年）",3,IF('固定資産台帳'!$H85="少額特例",4,0))))</f>
        <v/>
      </c>
      <c r="G85" s="68">
        <f>IF('固定資産台帳'!$H85="定率法（250%）",250,IF('固定資産台帳'!$H85="定率法（200%）",200,IF($D85&gt;=DATE(2012,4,1),200,250)))</f>
        <v/>
      </c>
      <c r="H85" s="68">
        <f>IF(ISNUMBER('固定資産台帳'!$I85),IF(AND('固定資産台帳'!$I85&gt;=2,'固定資産台帳'!$I85&lt;=100,'固定資産台帳'!$I85=INT('固定資産台帳'!$I85)),'固定資産台帳'!$I85,0),0)</f>
        <v/>
      </c>
      <c r="I85" s="68">
        <f>IF('固定資産台帳'!$C85="無形固定資産",0,1)</f>
        <v/>
      </c>
      <c r="J85" s="68">
        <f>IF(OR($H85=0,$F85=0,$F85&gt;2),0,IF($F85=1,INDEX('償却率表'!$B$6:$B$104,$H85-1),IF($G85=200,INDEX('償却率表'!$C$6:$C$104,$H85-1),INDEX('償却率表'!$F$6:$F$104,$H85-1))))</f>
        <v/>
      </c>
      <c r="K85" s="68">
        <f>IF(AND($F85=2,$H85&gt;0),IF($G85=200,INDEX('償却率表'!$D$6:$D$104,$H85-1),INDEX('償却率表'!$G$6:$G$104,$H85-1)),0)</f>
        <v/>
      </c>
      <c r="L85" s="68">
        <f>IF(AND($F85=2,$H85&gt;0),IF($G85=200,INDEX('償却率表'!$E$6:$E$104,$H85-1),INDEX('償却率表'!$H$6:$H$104,$H85-1)),0)</f>
        <v/>
      </c>
      <c r="M85" s="68">
        <f>$C85*$L85</f>
        <v/>
      </c>
      <c r="N85" s="68">
        <f>IF($B$1=1,1,IF('固定資産台帳'!$J85="",1,IF(ISNUMBER('固定資産台帳'!$J85),IF(AND('固定資産台帳'!$J85&gt;0,'固定資産台帳'!$J85&lt;=1),'固定資産台帳'!$J85,0),0)))</f>
        <v/>
      </c>
      <c r="O85" s="68">
        <f>IF($E85=0,0,YEAR($E85)-IF(MONTH($E85)&lt;$B$2,1,0))</f>
        <v/>
      </c>
      <c r="P85" s="68">
        <f>IF($E85=0,0,12-MOD(MONTH($E85)-$B$2,12))</f>
        <v/>
      </c>
      <c r="Q85" s="84">
        <f>IF(ISNUMBER('固定資産台帳'!$K85),INT('固定資産台帳'!$K85),0)</f>
        <v/>
      </c>
      <c r="R85" s="68">
        <f>IF(OR($Q85=0,$E85=0),999,YEAR($Q85)-IF(MONTH($Q85)&lt;$B$2,1,0)-$O85)</f>
        <v/>
      </c>
      <c r="S85" s="68">
        <f>IF($R85=999,0,MOD(MONTH($Q85)-$B$2,12)+1-IF($R85=0,12-$P85,0))</f>
        <v/>
      </c>
      <c r="T85" s="68">
        <f>IF($B85=0,0,IF($C85&lt;=0,1,IF($D85=0,2,IF($F85=0,3,IF(AND($F85&lt;=2,$H85=0),4,IF(AND($F85&lt;=2,$D85&lt;DATE(2007,4,1)),5,IF($E85&lt;$D85,6,IF(AND($Q85&gt;0,$Q85&lt;$E85),7,IF($N85=0,8,IF($B$3=0,9,0))))))))))</f>
        <v/>
      </c>
      <c r="U85" s="68">
        <f>IF(AND($B85=1,$T85=0),1,0)</f>
        <v/>
      </c>
      <c r="V85" s="68">
        <f>$B$3-$O85</f>
        <v/>
      </c>
      <c r="W85" s="68">
        <f>IF(AND($U85=1,$V85&gt;=0),1,0)</f>
        <v/>
      </c>
      <c r="X85" s="68">
        <f>IF($W85=0,0,IF($V85=0,$C85,INDEX($AS85:$EP85,MIN($V85,102))))</f>
        <v/>
      </c>
      <c r="Y85" s="68">
        <f>IF($W85=0,0,INDEX($AS85:$EP85,MIN($V85,101)+1))</f>
        <v/>
      </c>
      <c r="Z85" s="68">
        <f>$X85-$Y85</f>
        <v/>
      </c>
      <c r="AA85" s="68">
        <f>IF(AND($W85=1,$F85=2,$V85&gt;=1),INDEX($ER85:$IN85,MIN($V85,101)),0)</f>
        <v/>
      </c>
      <c r="AB85" s="68">
        <f>IF(OR($W85=0,$F85&gt;2,$Z85=0),0,IF($V85=0,IF($R85=0,$S85,$P85),IF($V85=$R85,$S85,12)))</f>
        <v/>
      </c>
      <c r="AC85" s="68">
        <f>IF($W85=0,0,INT(ROUND($Z85*$N85,6)+$B$4))</f>
        <v/>
      </c>
      <c r="AD85" s="68">
        <f>IF(AND($W85=1,$F85&lt;=2,$V85=$R85),1,0)</f>
        <v/>
      </c>
      <c r="AE85" s="68">
        <f>IF(AND($W85=1,$F85&lt;=2,$V85&gt;$R85),1,0)</f>
        <v/>
      </c>
      <c r="AF85" s="68">
        <f>IF(AND($W85=1,$AE85=0,OR($Z85&gt;0,$AD85=1)),1,0)</f>
        <v/>
      </c>
      <c r="AG85" s="68">
        <f>IF($AF85=1,SUM($AF$6:$AF85),0)</f>
        <v/>
      </c>
      <c r="AH85" s="68">
        <f>IF($T85=0,"",CHOOSE($T85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85" s="68">
        <f>IF(AND($F85=2,OR('固定資産台帳'!$C85="建物",'固定資産台帳'!$C85="無形固定資産",AND(OR('固定資産台帳'!$C85="建物附属設備",'固定資産台帳'!$C85="構築物"),$D85&gt;=DATE(2016,4,1)))),"この資産は定額法だけです（定率法は使えません）。","")&amp;IF(AND($F85=3,$C85&gt;=200000),"一括償却は20万円未満の資産だけです。","")&amp;IF(AND($F85=3,$B$1=0,$C85&lt;100000),"10万円未満は一括償却にせず、全額をその年の経費にします。","")&amp;IF(AND($F85=4,$C85&lt;100000),"10万円未満は少額特例ではなく、全額をその年の経費にします。","")&amp;IF(AND($F85=4,$D85&lt;DATE(2026,4,1),$C85&gt;=300000),"2026年3月31日までの取得で少額特例が使えるのは30万円未満です。","")&amp;IF(AND($F85=4,$D85&gt;=DATE(2026,4,1),$C85&gt;=400000),"少額特例は40万円未満の資産だけです。","")&amp;IF(AND($F85=4,OR($D85&lt;DATE(2006,4,1),$D85&gt;DATE(2029,3,31))),"少額特例は2006年4月1日〜2029年3月31日に取得した資産だけです。","")&amp;IF(AND($F85=2,$G85=250,$D85&gt;DATE(2012,12,31)),"250%定率法は2012年12月31日までの取得だけです。","")</f>
        <v/>
      </c>
      <c r="AJ85" s="68">
        <f>IF(AND($F85=2,'固定資産台帳'!$H85="定率法（200%）",$D85&lt;DATE(2012,4,1)),"2012年3月31日までの取得に200%を使うのは、経過措置の届出をした場合です。","")&amp;IF(AND($F85=2,'固定資産台帳'!$H85="定率法（250%）",$D85&gt;=DATE(2012,4,1),$D85&lt;=DATE(2012,12,31)),"2012年4〜12月の取得に250%を使うのは、経過措置を選んだ場合です。","")</f>
        <v/>
      </c>
      <c r="AK85" s="68">
        <f>IF($U85=0,"",IF($V85&lt;0,"表示している年より後に使い始める資産です。",IF($AE85=1,"売却・除却済みです。",IF($AD85=1,"この年に売却・除却。期末の帳簿価額 "&amp;TEXT($Y85,"#,##0")&amp;"円を帳簿から外します。",IF($F85=4,IF($V85=0,"少額特例：この年に全額を経費にします。","少額特例で経費にした資産です。"),IF($F85=3,IF($V85&gt;2,"一括償却は終わっています。","一括償却 "&amp;($V85+1)&amp;"年目（3年のうち）。"),IF($Z85=0,"償却済み（帳簿価額 "&amp;TEXT($Y85,"#,##0")&amp;"円）。",IF($AA85&gt;0,"改定償却率で計算（改定取得価額 "&amp;TEXT($AA85,"#,##0")&amp;"円）。",IF($V85=0,"この年に使い始め（"&amp;$AB85&amp;"か月分）。","")))))))))</f>
        <v/>
      </c>
      <c r="AL85" s="68">
        <f>IF(AND($U85=1,$F85=4,$V85=0),$C85,0)</f>
        <v/>
      </c>
      <c r="AM85" s="68">
        <f>IF($F85=2,INT(ROUND($M85,6)+$B$4),0)</f>
        <v/>
      </c>
      <c r="AN85" s="68">
        <f>IF($W85=0,0,IF($F85=2,IF($AA85&gt;0,$AA85,$X85),$C85))</f>
        <v/>
      </c>
      <c r="AO85" s="68">
        <f>IF($W85=0,"",IF($F85=3,"1/3",IF($F85=4,"―",IF($AA85&gt;0,$K85,$J85))))</f>
        <v/>
      </c>
      <c r="AP85" s="68" t="n"/>
      <c r="AQ85" s="68" t="n"/>
      <c r="AR85" s="68" t="n"/>
      <c r="AS85" s="68">
        <f>IF($U85=0,0,IF($F85=4,0,IF($F85=3,MAX($C85-INT(ROUND($C85/3,6)+$B$4),0),$C85-MIN(INT(ROUND($C85*$J85*IF($R85=0,$S85,$P85)/12,6)+$B$4),MAX($C85-$I85,0)))))</f>
        <v/>
      </c>
      <c r="AT85" s="68">
        <f>IF($U85=0,0,IF($F85=4,0,IF($F85=3,AS85-MIN(INT(ROUND($C85/3,6)+$B$4),AS85),IF(OR(1&gt;$R85,AS85&lt;=$I85),AS85,AS85-MIN(INT(ROUND(IF($F85=1,$C85*$J85,IF(ER85&gt;0,ER85*$K85,AS85*$J85))*IF(1=$R85,$S85,12)/12,6)+$B$4),AS85-$I85)))))</f>
        <v/>
      </c>
      <c r="AU85" s="68">
        <f>IF($U85=0,0,IF($F85=4,0,IF($F85=3,0,IF(OR(2&gt;$R85,AT85&lt;=$I85),AT85,AT85-MIN(INT(ROUND(IF($F85=1,$C85*$J85,IF(ES85&gt;0,ES85*$K85,AT85*$J85))*IF(2=$R85,$S85,12)/12,6)+$B$4),AT85-$I85)))))</f>
        <v/>
      </c>
      <c r="AV85" s="68">
        <f>IF($U85=0,0,IF($F85=4,0,IF($F85=3,0,IF(OR(3&gt;$R85,AU85&lt;=$I85),AU85,AU85-MIN(INT(ROUND(IF($F85=1,$C85*$J85,IF(ET85&gt;0,ET85*$K85,AU85*$J85))*IF(3=$R85,$S85,12)/12,6)+$B$4),AU85-$I85)))))</f>
        <v/>
      </c>
      <c r="AW85" s="68">
        <f>IF($U85=0,0,IF($F85=4,0,IF($F85=3,0,IF(OR(4&gt;$R85,AV85&lt;=$I85),AV85,AV85-MIN(INT(ROUND(IF($F85=1,$C85*$J85,IF(EU85&gt;0,EU85*$K85,AV85*$J85))*IF(4=$R85,$S85,12)/12,6)+$B$4),AV85-$I85)))))</f>
        <v/>
      </c>
      <c r="AX85" s="68">
        <f>IF($U85=0,0,IF($F85=4,0,IF($F85=3,0,IF(OR(5&gt;$R85,AW85&lt;=$I85),AW85,AW85-MIN(INT(ROUND(IF($F85=1,$C85*$J85,IF(EV85&gt;0,EV85*$K85,AW85*$J85))*IF(5=$R85,$S85,12)/12,6)+$B$4),AW85-$I85)))))</f>
        <v/>
      </c>
      <c r="AY85" s="68">
        <f>IF($U85=0,0,IF($F85=4,0,IF($F85=3,0,IF(OR(6&gt;$R85,AX85&lt;=$I85),AX85,AX85-MIN(INT(ROUND(IF($F85=1,$C85*$J85,IF(EW85&gt;0,EW85*$K85,AX85*$J85))*IF(6=$R85,$S85,12)/12,6)+$B$4),AX85-$I85)))))</f>
        <v/>
      </c>
      <c r="AZ85" s="68">
        <f>IF($U85=0,0,IF($F85=4,0,IF($F85=3,0,IF(OR(7&gt;$R85,AY85&lt;=$I85),AY85,AY85-MIN(INT(ROUND(IF($F85=1,$C85*$J85,IF(EX85&gt;0,EX85*$K85,AY85*$J85))*IF(7=$R85,$S85,12)/12,6)+$B$4),AY85-$I85)))))</f>
        <v/>
      </c>
      <c r="BA85" s="68">
        <f>IF($U85=0,0,IF($F85=4,0,IF($F85=3,0,IF(OR(8&gt;$R85,AZ85&lt;=$I85),AZ85,AZ85-MIN(INT(ROUND(IF($F85=1,$C85*$J85,IF(EY85&gt;0,EY85*$K85,AZ85*$J85))*IF(8=$R85,$S85,12)/12,6)+$B$4),AZ85-$I85)))))</f>
        <v/>
      </c>
      <c r="BB85" s="68">
        <f>IF($U85=0,0,IF($F85=4,0,IF($F85=3,0,IF(OR(9&gt;$R85,BA85&lt;=$I85),BA85,BA85-MIN(INT(ROUND(IF($F85=1,$C85*$J85,IF(EZ85&gt;0,EZ85*$K85,BA85*$J85))*IF(9=$R85,$S85,12)/12,6)+$B$4),BA85-$I85)))))</f>
        <v/>
      </c>
      <c r="BC85" s="68">
        <f>IF($U85=0,0,IF($F85=4,0,IF($F85=3,0,IF(OR(10&gt;$R85,BB85&lt;=$I85),BB85,BB85-MIN(INT(ROUND(IF($F85=1,$C85*$J85,IF(FA85&gt;0,FA85*$K85,BB85*$J85))*IF(10=$R85,$S85,12)/12,6)+$B$4),BB85-$I85)))))</f>
        <v/>
      </c>
      <c r="BD85" s="68">
        <f>IF($U85=0,0,IF($F85=4,0,IF($F85=3,0,IF(OR(11&gt;$R85,BC85&lt;=$I85),BC85,BC85-MIN(INT(ROUND(IF($F85=1,$C85*$J85,IF(FB85&gt;0,FB85*$K85,BC85*$J85))*IF(11=$R85,$S85,12)/12,6)+$B$4),BC85-$I85)))))</f>
        <v/>
      </c>
      <c r="BE85" s="68">
        <f>IF($U85=0,0,IF($F85=4,0,IF($F85=3,0,IF(OR(12&gt;$R85,BD85&lt;=$I85),BD85,BD85-MIN(INT(ROUND(IF($F85=1,$C85*$J85,IF(FC85&gt;0,FC85*$K85,BD85*$J85))*IF(12=$R85,$S85,12)/12,6)+$B$4),BD85-$I85)))))</f>
        <v/>
      </c>
      <c r="BF85" s="68">
        <f>IF($U85=0,0,IF($F85=4,0,IF($F85=3,0,IF(OR(13&gt;$R85,BE85&lt;=$I85),BE85,BE85-MIN(INT(ROUND(IF($F85=1,$C85*$J85,IF(FD85&gt;0,FD85*$K85,BE85*$J85))*IF(13=$R85,$S85,12)/12,6)+$B$4),BE85-$I85)))))</f>
        <v/>
      </c>
      <c r="BG85" s="68">
        <f>IF($U85=0,0,IF($F85=4,0,IF($F85=3,0,IF(OR(14&gt;$R85,BF85&lt;=$I85),BF85,BF85-MIN(INT(ROUND(IF($F85=1,$C85*$J85,IF(FE85&gt;0,FE85*$K85,BF85*$J85))*IF(14=$R85,$S85,12)/12,6)+$B$4),BF85-$I85)))))</f>
        <v/>
      </c>
      <c r="BH85" s="68">
        <f>IF($U85=0,0,IF($F85=4,0,IF($F85=3,0,IF(OR(15&gt;$R85,BG85&lt;=$I85),BG85,BG85-MIN(INT(ROUND(IF($F85=1,$C85*$J85,IF(FF85&gt;0,FF85*$K85,BG85*$J85))*IF(15=$R85,$S85,12)/12,6)+$B$4),BG85-$I85)))))</f>
        <v/>
      </c>
      <c r="BI85" s="68">
        <f>IF($U85=0,0,IF($F85=4,0,IF($F85=3,0,IF(OR(16&gt;$R85,BH85&lt;=$I85),BH85,BH85-MIN(INT(ROUND(IF($F85=1,$C85*$J85,IF(FG85&gt;0,FG85*$K85,BH85*$J85))*IF(16=$R85,$S85,12)/12,6)+$B$4),BH85-$I85)))))</f>
        <v/>
      </c>
      <c r="BJ85" s="68">
        <f>IF($U85=0,0,IF($F85=4,0,IF($F85=3,0,IF(OR(17&gt;$R85,BI85&lt;=$I85),BI85,BI85-MIN(INT(ROUND(IF($F85=1,$C85*$J85,IF(FH85&gt;0,FH85*$K85,BI85*$J85))*IF(17=$R85,$S85,12)/12,6)+$B$4),BI85-$I85)))))</f>
        <v/>
      </c>
      <c r="BK85" s="68">
        <f>IF($U85=0,0,IF($F85=4,0,IF($F85=3,0,IF(OR(18&gt;$R85,BJ85&lt;=$I85),BJ85,BJ85-MIN(INT(ROUND(IF($F85=1,$C85*$J85,IF(FI85&gt;0,FI85*$K85,BJ85*$J85))*IF(18=$R85,$S85,12)/12,6)+$B$4),BJ85-$I85)))))</f>
        <v/>
      </c>
      <c r="BL85" s="68">
        <f>IF($U85=0,0,IF($F85=4,0,IF($F85=3,0,IF(OR(19&gt;$R85,BK85&lt;=$I85),BK85,BK85-MIN(INT(ROUND(IF($F85=1,$C85*$J85,IF(FJ85&gt;0,FJ85*$K85,BK85*$J85))*IF(19=$R85,$S85,12)/12,6)+$B$4),BK85-$I85)))))</f>
        <v/>
      </c>
      <c r="BM85" s="68">
        <f>IF($U85=0,0,IF($F85=4,0,IF($F85=3,0,IF(OR(20&gt;$R85,BL85&lt;=$I85),BL85,BL85-MIN(INT(ROUND(IF($F85=1,$C85*$J85,IF(FK85&gt;0,FK85*$K85,BL85*$J85))*IF(20=$R85,$S85,12)/12,6)+$B$4),BL85-$I85)))))</f>
        <v/>
      </c>
      <c r="BN85" s="68">
        <f>IF($U85=0,0,IF($F85=4,0,IF($F85=3,0,IF(OR(21&gt;$R85,BM85&lt;=$I85),BM85,BM85-MIN(INT(ROUND(IF($F85=1,$C85*$J85,IF(FL85&gt;0,FL85*$K85,BM85*$J85))*IF(21=$R85,$S85,12)/12,6)+$B$4),BM85-$I85)))))</f>
        <v/>
      </c>
      <c r="BO85" s="68">
        <f>IF($U85=0,0,IF($F85=4,0,IF($F85=3,0,IF(OR(22&gt;$R85,BN85&lt;=$I85),BN85,BN85-MIN(INT(ROUND(IF($F85=1,$C85*$J85,IF(FM85&gt;0,FM85*$K85,BN85*$J85))*IF(22=$R85,$S85,12)/12,6)+$B$4),BN85-$I85)))))</f>
        <v/>
      </c>
      <c r="BP85" s="68">
        <f>IF($U85=0,0,IF($F85=4,0,IF($F85=3,0,IF(OR(23&gt;$R85,BO85&lt;=$I85),BO85,BO85-MIN(INT(ROUND(IF($F85=1,$C85*$J85,IF(FN85&gt;0,FN85*$K85,BO85*$J85))*IF(23=$R85,$S85,12)/12,6)+$B$4),BO85-$I85)))))</f>
        <v/>
      </c>
      <c r="BQ85" s="68">
        <f>IF($U85=0,0,IF($F85=4,0,IF($F85=3,0,IF(OR(24&gt;$R85,BP85&lt;=$I85),BP85,BP85-MIN(INT(ROUND(IF($F85=1,$C85*$J85,IF(FO85&gt;0,FO85*$K85,BP85*$J85))*IF(24=$R85,$S85,12)/12,6)+$B$4),BP85-$I85)))))</f>
        <v/>
      </c>
      <c r="BR85" s="68">
        <f>IF($U85=0,0,IF($F85=4,0,IF($F85=3,0,IF(OR(25&gt;$R85,BQ85&lt;=$I85),BQ85,BQ85-MIN(INT(ROUND(IF($F85=1,$C85*$J85,IF(FP85&gt;0,FP85*$K85,BQ85*$J85))*IF(25=$R85,$S85,12)/12,6)+$B$4),BQ85-$I85)))))</f>
        <v/>
      </c>
      <c r="BS85" s="68">
        <f>IF($U85=0,0,IF($F85=4,0,IF($F85=3,0,IF(OR(26&gt;$R85,BR85&lt;=$I85),BR85,BR85-MIN(INT(ROUND(IF($F85=1,$C85*$J85,IF(FQ85&gt;0,FQ85*$K85,BR85*$J85))*IF(26=$R85,$S85,12)/12,6)+$B$4),BR85-$I85)))))</f>
        <v/>
      </c>
      <c r="BT85" s="68">
        <f>IF($U85=0,0,IF($F85=4,0,IF($F85=3,0,IF(OR(27&gt;$R85,BS85&lt;=$I85),BS85,BS85-MIN(INT(ROUND(IF($F85=1,$C85*$J85,IF(FR85&gt;0,FR85*$K85,BS85*$J85))*IF(27=$R85,$S85,12)/12,6)+$B$4),BS85-$I85)))))</f>
        <v/>
      </c>
      <c r="BU85" s="68">
        <f>IF($U85=0,0,IF($F85=4,0,IF($F85=3,0,IF(OR(28&gt;$R85,BT85&lt;=$I85),BT85,BT85-MIN(INT(ROUND(IF($F85=1,$C85*$J85,IF(FS85&gt;0,FS85*$K85,BT85*$J85))*IF(28=$R85,$S85,12)/12,6)+$B$4),BT85-$I85)))))</f>
        <v/>
      </c>
      <c r="BV85" s="68">
        <f>IF($U85=0,0,IF($F85=4,0,IF($F85=3,0,IF(OR(29&gt;$R85,BU85&lt;=$I85),BU85,BU85-MIN(INT(ROUND(IF($F85=1,$C85*$J85,IF(FT85&gt;0,FT85*$K85,BU85*$J85))*IF(29=$R85,$S85,12)/12,6)+$B$4),BU85-$I85)))))</f>
        <v/>
      </c>
      <c r="BW85" s="68">
        <f>IF($U85=0,0,IF($F85=4,0,IF($F85=3,0,IF(OR(30&gt;$R85,BV85&lt;=$I85),BV85,BV85-MIN(INT(ROUND(IF($F85=1,$C85*$J85,IF(FU85&gt;0,FU85*$K85,BV85*$J85))*IF(30=$R85,$S85,12)/12,6)+$B$4),BV85-$I85)))))</f>
        <v/>
      </c>
      <c r="BX85" s="68">
        <f>IF($U85=0,0,IF($F85=4,0,IF($F85=3,0,IF(OR(31&gt;$R85,BW85&lt;=$I85),BW85,BW85-MIN(INT(ROUND(IF($F85=1,$C85*$J85,IF(FV85&gt;0,FV85*$K85,BW85*$J85))*IF(31=$R85,$S85,12)/12,6)+$B$4),BW85-$I85)))))</f>
        <v/>
      </c>
      <c r="BY85" s="68">
        <f>IF($U85=0,0,IF($F85=4,0,IF($F85=3,0,IF(OR(32&gt;$R85,BX85&lt;=$I85),BX85,BX85-MIN(INT(ROUND(IF($F85=1,$C85*$J85,IF(FW85&gt;0,FW85*$K85,BX85*$J85))*IF(32=$R85,$S85,12)/12,6)+$B$4),BX85-$I85)))))</f>
        <v/>
      </c>
      <c r="BZ85" s="68">
        <f>IF($U85=0,0,IF($F85=4,0,IF($F85=3,0,IF(OR(33&gt;$R85,BY85&lt;=$I85),BY85,BY85-MIN(INT(ROUND(IF($F85=1,$C85*$J85,IF(FX85&gt;0,FX85*$K85,BY85*$J85))*IF(33=$R85,$S85,12)/12,6)+$B$4),BY85-$I85)))))</f>
        <v/>
      </c>
      <c r="CA85" s="68">
        <f>IF($U85=0,0,IF($F85=4,0,IF($F85=3,0,IF(OR(34&gt;$R85,BZ85&lt;=$I85),BZ85,BZ85-MIN(INT(ROUND(IF($F85=1,$C85*$J85,IF(FY85&gt;0,FY85*$K85,BZ85*$J85))*IF(34=$R85,$S85,12)/12,6)+$B$4),BZ85-$I85)))))</f>
        <v/>
      </c>
      <c r="CB85" s="68">
        <f>IF($U85=0,0,IF($F85=4,0,IF($F85=3,0,IF(OR(35&gt;$R85,CA85&lt;=$I85),CA85,CA85-MIN(INT(ROUND(IF($F85=1,$C85*$J85,IF(FZ85&gt;0,FZ85*$K85,CA85*$J85))*IF(35=$R85,$S85,12)/12,6)+$B$4),CA85-$I85)))))</f>
        <v/>
      </c>
      <c r="CC85" s="68">
        <f>IF($U85=0,0,IF($F85=4,0,IF($F85=3,0,IF(OR(36&gt;$R85,CB85&lt;=$I85),CB85,CB85-MIN(INT(ROUND(IF($F85=1,$C85*$J85,IF(GA85&gt;0,GA85*$K85,CB85*$J85))*IF(36=$R85,$S85,12)/12,6)+$B$4),CB85-$I85)))))</f>
        <v/>
      </c>
      <c r="CD85" s="68">
        <f>IF($U85=0,0,IF($F85=4,0,IF($F85=3,0,IF(OR(37&gt;$R85,CC85&lt;=$I85),CC85,CC85-MIN(INT(ROUND(IF($F85=1,$C85*$J85,IF(GB85&gt;0,GB85*$K85,CC85*$J85))*IF(37=$R85,$S85,12)/12,6)+$B$4),CC85-$I85)))))</f>
        <v/>
      </c>
      <c r="CE85" s="68">
        <f>IF($U85=0,0,IF($F85=4,0,IF($F85=3,0,IF(OR(38&gt;$R85,CD85&lt;=$I85),CD85,CD85-MIN(INT(ROUND(IF($F85=1,$C85*$J85,IF(GC85&gt;0,GC85*$K85,CD85*$J85))*IF(38=$R85,$S85,12)/12,6)+$B$4),CD85-$I85)))))</f>
        <v/>
      </c>
      <c r="CF85" s="68">
        <f>IF($U85=0,0,IF($F85=4,0,IF($F85=3,0,IF(OR(39&gt;$R85,CE85&lt;=$I85),CE85,CE85-MIN(INT(ROUND(IF($F85=1,$C85*$J85,IF(GD85&gt;0,GD85*$K85,CE85*$J85))*IF(39=$R85,$S85,12)/12,6)+$B$4),CE85-$I85)))))</f>
        <v/>
      </c>
      <c r="CG85" s="68">
        <f>IF($U85=0,0,IF($F85=4,0,IF($F85=3,0,IF(OR(40&gt;$R85,CF85&lt;=$I85),CF85,CF85-MIN(INT(ROUND(IF($F85=1,$C85*$J85,IF(GE85&gt;0,GE85*$K85,CF85*$J85))*IF(40=$R85,$S85,12)/12,6)+$B$4),CF85-$I85)))))</f>
        <v/>
      </c>
      <c r="CH85" s="68">
        <f>IF($U85=0,0,IF($F85=4,0,IF($F85=3,0,IF(OR(41&gt;$R85,CG85&lt;=$I85),CG85,CG85-MIN(INT(ROUND(IF($F85=1,$C85*$J85,IF(GF85&gt;0,GF85*$K85,CG85*$J85))*IF(41=$R85,$S85,12)/12,6)+$B$4),CG85-$I85)))))</f>
        <v/>
      </c>
      <c r="CI85" s="68">
        <f>IF($U85=0,0,IF($F85=4,0,IF($F85=3,0,IF(OR(42&gt;$R85,CH85&lt;=$I85),CH85,CH85-MIN(INT(ROUND(IF($F85=1,$C85*$J85,IF(GG85&gt;0,GG85*$K85,CH85*$J85))*IF(42=$R85,$S85,12)/12,6)+$B$4),CH85-$I85)))))</f>
        <v/>
      </c>
      <c r="CJ85" s="68">
        <f>IF($U85=0,0,IF($F85=4,0,IF($F85=3,0,IF(OR(43&gt;$R85,CI85&lt;=$I85),CI85,CI85-MIN(INT(ROUND(IF($F85=1,$C85*$J85,IF(GH85&gt;0,GH85*$K85,CI85*$J85))*IF(43=$R85,$S85,12)/12,6)+$B$4),CI85-$I85)))))</f>
        <v/>
      </c>
      <c r="CK85" s="68">
        <f>IF($U85=0,0,IF($F85=4,0,IF($F85=3,0,IF(OR(44&gt;$R85,CJ85&lt;=$I85),CJ85,CJ85-MIN(INT(ROUND(IF($F85=1,$C85*$J85,IF(GI85&gt;0,GI85*$K85,CJ85*$J85))*IF(44=$R85,$S85,12)/12,6)+$B$4),CJ85-$I85)))))</f>
        <v/>
      </c>
      <c r="CL85" s="68">
        <f>IF($U85=0,0,IF($F85=4,0,IF($F85=3,0,IF(OR(45&gt;$R85,CK85&lt;=$I85),CK85,CK85-MIN(INT(ROUND(IF($F85=1,$C85*$J85,IF(GJ85&gt;0,GJ85*$K85,CK85*$J85))*IF(45=$R85,$S85,12)/12,6)+$B$4),CK85-$I85)))))</f>
        <v/>
      </c>
      <c r="CM85" s="68">
        <f>IF($U85=0,0,IF($F85=4,0,IF($F85=3,0,IF(OR(46&gt;$R85,CL85&lt;=$I85),CL85,CL85-MIN(INT(ROUND(IF($F85=1,$C85*$J85,IF(GK85&gt;0,GK85*$K85,CL85*$J85))*IF(46=$R85,$S85,12)/12,6)+$B$4),CL85-$I85)))))</f>
        <v/>
      </c>
      <c r="CN85" s="68">
        <f>IF($U85=0,0,IF($F85=4,0,IF($F85=3,0,IF(OR(47&gt;$R85,CM85&lt;=$I85),CM85,CM85-MIN(INT(ROUND(IF($F85=1,$C85*$J85,IF(GL85&gt;0,GL85*$K85,CM85*$J85))*IF(47=$R85,$S85,12)/12,6)+$B$4),CM85-$I85)))))</f>
        <v/>
      </c>
      <c r="CO85" s="68">
        <f>IF($U85=0,0,IF($F85=4,0,IF($F85=3,0,IF(OR(48&gt;$R85,CN85&lt;=$I85),CN85,CN85-MIN(INT(ROUND(IF($F85=1,$C85*$J85,IF(GM85&gt;0,GM85*$K85,CN85*$J85))*IF(48=$R85,$S85,12)/12,6)+$B$4),CN85-$I85)))))</f>
        <v/>
      </c>
      <c r="CP85" s="68">
        <f>IF($U85=0,0,IF($F85=4,0,IF($F85=3,0,IF(OR(49&gt;$R85,CO85&lt;=$I85),CO85,CO85-MIN(INT(ROUND(IF($F85=1,$C85*$J85,IF(GN85&gt;0,GN85*$K85,CO85*$J85))*IF(49=$R85,$S85,12)/12,6)+$B$4),CO85-$I85)))))</f>
        <v/>
      </c>
      <c r="CQ85" s="68">
        <f>IF($U85=0,0,IF($F85=4,0,IF($F85=3,0,IF(OR(50&gt;$R85,CP85&lt;=$I85),CP85,CP85-MIN(INT(ROUND(IF($F85=1,$C85*$J85,IF(GO85&gt;0,GO85*$K85,CP85*$J85))*IF(50=$R85,$S85,12)/12,6)+$B$4),CP85-$I85)))))</f>
        <v/>
      </c>
      <c r="CR85" s="68">
        <f>IF($U85=0,0,IF($F85=4,0,IF($F85=3,0,IF(OR(51&gt;$R85,CQ85&lt;=$I85),CQ85,CQ85-MIN(INT(ROUND(IF($F85=1,$C85*$J85,IF(GP85&gt;0,GP85*$K85,CQ85*$J85))*IF(51=$R85,$S85,12)/12,6)+$B$4),CQ85-$I85)))))</f>
        <v/>
      </c>
      <c r="CS85" s="68">
        <f>IF($U85=0,0,IF($F85=4,0,IF($F85=3,0,IF(OR(52&gt;$R85,CR85&lt;=$I85),CR85,CR85-MIN(INT(ROUND(IF($F85=1,$C85*$J85,IF(GQ85&gt;0,GQ85*$K85,CR85*$J85))*IF(52=$R85,$S85,12)/12,6)+$B$4),CR85-$I85)))))</f>
        <v/>
      </c>
      <c r="CT85" s="68">
        <f>IF($U85=0,0,IF($F85=4,0,IF($F85=3,0,IF(OR(53&gt;$R85,CS85&lt;=$I85),CS85,CS85-MIN(INT(ROUND(IF($F85=1,$C85*$J85,IF(GR85&gt;0,GR85*$K85,CS85*$J85))*IF(53=$R85,$S85,12)/12,6)+$B$4),CS85-$I85)))))</f>
        <v/>
      </c>
      <c r="CU85" s="68">
        <f>IF($U85=0,0,IF($F85=4,0,IF($F85=3,0,IF(OR(54&gt;$R85,CT85&lt;=$I85),CT85,CT85-MIN(INT(ROUND(IF($F85=1,$C85*$J85,IF(GS85&gt;0,GS85*$K85,CT85*$J85))*IF(54=$R85,$S85,12)/12,6)+$B$4),CT85-$I85)))))</f>
        <v/>
      </c>
      <c r="CV85" s="68">
        <f>IF($U85=0,0,IF($F85=4,0,IF($F85=3,0,IF(OR(55&gt;$R85,CU85&lt;=$I85),CU85,CU85-MIN(INT(ROUND(IF($F85=1,$C85*$J85,IF(GT85&gt;0,GT85*$K85,CU85*$J85))*IF(55=$R85,$S85,12)/12,6)+$B$4),CU85-$I85)))))</f>
        <v/>
      </c>
      <c r="CW85" s="68">
        <f>IF($U85=0,0,IF($F85=4,0,IF($F85=3,0,IF(OR(56&gt;$R85,CV85&lt;=$I85),CV85,CV85-MIN(INT(ROUND(IF($F85=1,$C85*$J85,IF(GU85&gt;0,GU85*$K85,CV85*$J85))*IF(56=$R85,$S85,12)/12,6)+$B$4),CV85-$I85)))))</f>
        <v/>
      </c>
      <c r="CX85" s="68">
        <f>IF($U85=0,0,IF($F85=4,0,IF($F85=3,0,IF(OR(57&gt;$R85,CW85&lt;=$I85),CW85,CW85-MIN(INT(ROUND(IF($F85=1,$C85*$J85,IF(GV85&gt;0,GV85*$K85,CW85*$J85))*IF(57=$R85,$S85,12)/12,6)+$B$4),CW85-$I85)))))</f>
        <v/>
      </c>
      <c r="CY85" s="68">
        <f>IF($U85=0,0,IF($F85=4,0,IF($F85=3,0,IF(OR(58&gt;$R85,CX85&lt;=$I85),CX85,CX85-MIN(INT(ROUND(IF($F85=1,$C85*$J85,IF(GW85&gt;0,GW85*$K85,CX85*$J85))*IF(58=$R85,$S85,12)/12,6)+$B$4),CX85-$I85)))))</f>
        <v/>
      </c>
      <c r="CZ85" s="68">
        <f>IF($U85=0,0,IF($F85=4,0,IF($F85=3,0,IF(OR(59&gt;$R85,CY85&lt;=$I85),CY85,CY85-MIN(INT(ROUND(IF($F85=1,$C85*$J85,IF(GX85&gt;0,GX85*$K85,CY85*$J85))*IF(59=$R85,$S85,12)/12,6)+$B$4),CY85-$I85)))))</f>
        <v/>
      </c>
      <c r="DA85" s="68">
        <f>IF($U85=0,0,IF($F85=4,0,IF($F85=3,0,IF(OR(60&gt;$R85,CZ85&lt;=$I85),CZ85,CZ85-MIN(INT(ROUND(IF($F85=1,$C85*$J85,IF(GY85&gt;0,GY85*$K85,CZ85*$J85))*IF(60=$R85,$S85,12)/12,6)+$B$4),CZ85-$I85)))))</f>
        <v/>
      </c>
      <c r="DB85" s="68">
        <f>IF($U85=0,0,IF($F85=4,0,IF($F85=3,0,IF(OR(61&gt;$R85,DA85&lt;=$I85),DA85,DA85-MIN(INT(ROUND(IF($F85=1,$C85*$J85,IF(GZ85&gt;0,GZ85*$K85,DA85*$J85))*IF(61=$R85,$S85,12)/12,6)+$B$4),DA85-$I85)))))</f>
        <v/>
      </c>
      <c r="DC85" s="68">
        <f>IF($U85=0,0,IF($F85=4,0,IF($F85=3,0,IF(OR(62&gt;$R85,DB85&lt;=$I85),DB85,DB85-MIN(INT(ROUND(IF($F85=1,$C85*$J85,IF(HA85&gt;0,HA85*$K85,DB85*$J85))*IF(62=$R85,$S85,12)/12,6)+$B$4),DB85-$I85)))))</f>
        <v/>
      </c>
      <c r="DD85" s="68">
        <f>IF($U85=0,0,IF($F85=4,0,IF($F85=3,0,IF(OR(63&gt;$R85,DC85&lt;=$I85),DC85,DC85-MIN(INT(ROUND(IF($F85=1,$C85*$J85,IF(HB85&gt;0,HB85*$K85,DC85*$J85))*IF(63=$R85,$S85,12)/12,6)+$B$4),DC85-$I85)))))</f>
        <v/>
      </c>
      <c r="DE85" s="68">
        <f>IF($U85=0,0,IF($F85=4,0,IF($F85=3,0,IF(OR(64&gt;$R85,DD85&lt;=$I85),DD85,DD85-MIN(INT(ROUND(IF($F85=1,$C85*$J85,IF(HC85&gt;0,HC85*$K85,DD85*$J85))*IF(64=$R85,$S85,12)/12,6)+$B$4),DD85-$I85)))))</f>
        <v/>
      </c>
      <c r="DF85" s="68">
        <f>IF($U85=0,0,IF($F85=4,0,IF($F85=3,0,IF(OR(65&gt;$R85,DE85&lt;=$I85),DE85,DE85-MIN(INT(ROUND(IF($F85=1,$C85*$J85,IF(HD85&gt;0,HD85*$K85,DE85*$J85))*IF(65=$R85,$S85,12)/12,6)+$B$4),DE85-$I85)))))</f>
        <v/>
      </c>
      <c r="DG85" s="68">
        <f>IF($U85=0,0,IF($F85=4,0,IF($F85=3,0,IF(OR(66&gt;$R85,DF85&lt;=$I85),DF85,DF85-MIN(INT(ROUND(IF($F85=1,$C85*$J85,IF(HE85&gt;0,HE85*$K85,DF85*$J85))*IF(66=$R85,$S85,12)/12,6)+$B$4),DF85-$I85)))))</f>
        <v/>
      </c>
      <c r="DH85" s="68">
        <f>IF($U85=0,0,IF($F85=4,0,IF($F85=3,0,IF(OR(67&gt;$R85,DG85&lt;=$I85),DG85,DG85-MIN(INT(ROUND(IF($F85=1,$C85*$J85,IF(HF85&gt;0,HF85*$K85,DG85*$J85))*IF(67=$R85,$S85,12)/12,6)+$B$4),DG85-$I85)))))</f>
        <v/>
      </c>
      <c r="DI85" s="68">
        <f>IF($U85=0,0,IF($F85=4,0,IF($F85=3,0,IF(OR(68&gt;$R85,DH85&lt;=$I85),DH85,DH85-MIN(INT(ROUND(IF($F85=1,$C85*$J85,IF(HG85&gt;0,HG85*$K85,DH85*$J85))*IF(68=$R85,$S85,12)/12,6)+$B$4),DH85-$I85)))))</f>
        <v/>
      </c>
      <c r="DJ85" s="68">
        <f>IF($U85=0,0,IF($F85=4,0,IF($F85=3,0,IF(OR(69&gt;$R85,DI85&lt;=$I85),DI85,DI85-MIN(INT(ROUND(IF($F85=1,$C85*$J85,IF(HH85&gt;0,HH85*$K85,DI85*$J85))*IF(69=$R85,$S85,12)/12,6)+$B$4),DI85-$I85)))))</f>
        <v/>
      </c>
      <c r="DK85" s="68">
        <f>IF($U85=0,0,IF($F85=4,0,IF($F85=3,0,IF(OR(70&gt;$R85,DJ85&lt;=$I85),DJ85,DJ85-MIN(INT(ROUND(IF($F85=1,$C85*$J85,IF(HI85&gt;0,HI85*$K85,DJ85*$J85))*IF(70=$R85,$S85,12)/12,6)+$B$4),DJ85-$I85)))))</f>
        <v/>
      </c>
      <c r="DL85" s="68">
        <f>IF($U85=0,0,IF($F85=4,0,IF($F85=3,0,IF(OR(71&gt;$R85,DK85&lt;=$I85),DK85,DK85-MIN(INT(ROUND(IF($F85=1,$C85*$J85,IF(HJ85&gt;0,HJ85*$K85,DK85*$J85))*IF(71=$R85,$S85,12)/12,6)+$B$4),DK85-$I85)))))</f>
        <v/>
      </c>
      <c r="DM85" s="68">
        <f>IF($U85=0,0,IF($F85=4,0,IF($F85=3,0,IF(OR(72&gt;$R85,DL85&lt;=$I85),DL85,DL85-MIN(INT(ROUND(IF($F85=1,$C85*$J85,IF(HK85&gt;0,HK85*$K85,DL85*$J85))*IF(72=$R85,$S85,12)/12,6)+$B$4),DL85-$I85)))))</f>
        <v/>
      </c>
      <c r="DN85" s="68">
        <f>IF($U85=0,0,IF($F85=4,0,IF($F85=3,0,IF(OR(73&gt;$R85,DM85&lt;=$I85),DM85,DM85-MIN(INT(ROUND(IF($F85=1,$C85*$J85,IF(HL85&gt;0,HL85*$K85,DM85*$J85))*IF(73=$R85,$S85,12)/12,6)+$B$4),DM85-$I85)))))</f>
        <v/>
      </c>
      <c r="DO85" s="68">
        <f>IF($U85=0,0,IF($F85=4,0,IF($F85=3,0,IF(OR(74&gt;$R85,DN85&lt;=$I85),DN85,DN85-MIN(INT(ROUND(IF($F85=1,$C85*$J85,IF(HM85&gt;0,HM85*$K85,DN85*$J85))*IF(74=$R85,$S85,12)/12,6)+$B$4),DN85-$I85)))))</f>
        <v/>
      </c>
      <c r="DP85" s="68">
        <f>IF($U85=0,0,IF($F85=4,0,IF($F85=3,0,IF(OR(75&gt;$R85,DO85&lt;=$I85),DO85,DO85-MIN(INT(ROUND(IF($F85=1,$C85*$J85,IF(HN85&gt;0,HN85*$K85,DO85*$J85))*IF(75=$R85,$S85,12)/12,6)+$B$4),DO85-$I85)))))</f>
        <v/>
      </c>
      <c r="DQ85" s="68">
        <f>IF($U85=0,0,IF($F85=4,0,IF($F85=3,0,IF(OR(76&gt;$R85,DP85&lt;=$I85),DP85,DP85-MIN(INT(ROUND(IF($F85=1,$C85*$J85,IF(HO85&gt;0,HO85*$K85,DP85*$J85))*IF(76=$R85,$S85,12)/12,6)+$B$4),DP85-$I85)))))</f>
        <v/>
      </c>
      <c r="DR85" s="68">
        <f>IF($U85=0,0,IF($F85=4,0,IF($F85=3,0,IF(OR(77&gt;$R85,DQ85&lt;=$I85),DQ85,DQ85-MIN(INT(ROUND(IF($F85=1,$C85*$J85,IF(HP85&gt;0,HP85*$K85,DQ85*$J85))*IF(77=$R85,$S85,12)/12,6)+$B$4),DQ85-$I85)))))</f>
        <v/>
      </c>
      <c r="DS85" s="68">
        <f>IF($U85=0,0,IF($F85=4,0,IF($F85=3,0,IF(OR(78&gt;$R85,DR85&lt;=$I85),DR85,DR85-MIN(INT(ROUND(IF($F85=1,$C85*$J85,IF(HQ85&gt;0,HQ85*$K85,DR85*$J85))*IF(78=$R85,$S85,12)/12,6)+$B$4),DR85-$I85)))))</f>
        <v/>
      </c>
      <c r="DT85" s="68">
        <f>IF($U85=0,0,IF($F85=4,0,IF($F85=3,0,IF(OR(79&gt;$R85,DS85&lt;=$I85),DS85,DS85-MIN(INT(ROUND(IF($F85=1,$C85*$J85,IF(HR85&gt;0,HR85*$K85,DS85*$J85))*IF(79=$R85,$S85,12)/12,6)+$B$4),DS85-$I85)))))</f>
        <v/>
      </c>
      <c r="DU85" s="68">
        <f>IF($U85=0,0,IF($F85=4,0,IF($F85=3,0,IF(OR(80&gt;$R85,DT85&lt;=$I85),DT85,DT85-MIN(INT(ROUND(IF($F85=1,$C85*$J85,IF(HS85&gt;0,HS85*$K85,DT85*$J85))*IF(80=$R85,$S85,12)/12,6)+$B$4),DT85-$I85)))))</f>
        <v/>
      </c>
      <c r="DV85" s="68">
        <f>IF($U85=0,0,IF($F85=4,0,IF($F85=3,0,IF(OR(81&gt;$R85,DU85&lt;=$I85),DU85,DU85-MIN(INT(ROUND(IF($F85=1,$C85*$J85,IF(HT85&gt;0,HT85*$K85,DU85*$J85))*IF(81=$R85,$S85,12)/12,6)+$B$4),DU85-$I85)))))</f>
        <v/>
      </c>
      <c r="DW85" s="68">
        <f>IF($U85=0,0,IF($F85=4,0,IF($F85=3,0,IF(OR(82&gt;$R85,DV85&lt;=$I85),DV85,DV85-MIN(INT(ROUND(IF($F85=1,$C85*$J85,IF(HU85&gt;0,HU85*$K85,DV85*$J85))*IF(82=$R85,$S85,12)/12,6)+$B$4),DV85-$I85)))))</f>
        <v/>
      </c>
      <c r="DX85" s="68">
        <f>IF($U85=0,0,IF($F85=4,0,IF($F85=3,0,IF(OR(83&gt;$R85,DW85&lt;=$I85),DW85,DW85-MIN(INT(ROUND(IF($F85=1,$C85*$J85,IF(HV85&gt;0,HV85*$K85,DW85*$J85))*IF(83=$R85,$S85,12)/12,6)+$B$4),DW85-$I85)))))</f>
        <v/>
      </c>
      <c r="DY85" s="68">
        <f>IF($U85=0,0,IF($F85=4,0,IF($F85=3,0,IF(OR(84&gt;$R85,DX85&lt;=$I85),DX85,DX85-MIN(INT(ROUND(IF($F85=1,$C85*$J85,IF(HW85&gt;0,HW85*$K85,DX85*$J85))*IF(84=$R85,$S85,12)/12,6)+$B$4),DX85-$I85)))))</f>
        <v/>
      </c>
      <c r="DZ85" s="68">
        <f>IF($U85=0,0,IF($F85=4,0,IF($F85=3,0,IF(OR(85&gt;$R85,DY85&lt;=$I85),DY85,DY85-MIN(INT(ROUND(IF($F85=1,$C85*$J85,IF(HX85&gt;0,HX85*$K85,DY85*$J85))*IF(85=$R85,$S85,12)/12,6)+$B$4),DY85-$I85)))))</f>
        <v/>
      </c>
      <c r="EA85" s="68">
        <f>IF($U85=0,0,IF($F85=4,0,IF($F85=3,0,IF(OR(86&gt;$R85,DZ85&lt;=$I85),DZ85,DZ85-MIN(INT(ROUND(IF($F85=1,$C85*$J85,IF(HY85&gt;0,HY85*$K85,DZ85*$J85))*IF(86=$R85,$S85,12)/12,6)+$B$4),DZ85-$I85)))))</f>
        <v/>
      </c>
      <c r="EB85" s="68">
        <f>IF($U85=0,0,IF($F85=4,0,IF($F85=3,0,IF(OR(87&gt;$R85,EA85&lt;=$I85),EA85,EA85-MIN(INT(ROUND(IF($F85=1,$C85*$J85,IF(HZ85&gt;0,HZ85*$K85,EA85*$J85))*IF(87=$R85,$S85,12)/12,6)+$B$4),EA85-$I85)))))</f>
        <v/>
      </c>
      <c r="EC85" s="68">
        <f>IF($U85=0,0,IF($F85=4,0,IF($F85=3,0,IF(OR(88&gt;$R85,EB85&lt;=$I85),EB85,EB85-MIN(INT(ROUND(IF($F85=1,$C85*$J85,IF(IA85&gt;0,IA85*$K85,EB85*$J85))*IF(88=$R85,$S85,12)/12,6)+$B$4),EB85-$I85)))))</f>
        <v/>
      </c>
      <c r="ED85" s="68">
        <f>IF($U85=0,0,IF($F85=4,0,IF($F85=3,0,IF(OR(89&gt;$R85,EC85&lt;=$I85),EC85,EC85-MIN(INT(ROUND(IF($F85=1,$C85*$J85,IF(IB85&gt;0,IB85*$K85,EC85*$J85))*IF(89=$R85,$S85,12)/12,6)+$B$4),EC85-$I85)))))</f>
        <v/>
      </c>
      <c r="EE85" s="68">
        <f>IF($U85=0,0,IF($F85=4,0,IF($F85=3,0,IF(OR(90&gt;$R85,ED85&lt;=$I85),ED85,ED85-MIN(INT(ROUND(IF($F85=1,$C85*$J85,IF(IC85&gt;0,IC85*$K85,ED85*$J85))*IF(90=$R85,$S85,12)/12,6)+$B$4),ED85-$I85)))))</f>
        <v/>
      </c>
      <c r="EF85" s="68">
        <f>IF($U85=0,0,IF($F85=4,0,IF($F85=3,0,IF(OR(91&gt;$R85,EE85&lt;=$I85),EE85,EE85-MIN(INT(ROUND(IF($F85=1,$C85*$J85,IF(ID85&gt;0,ID85*$K85,EE85*$J85))*IF(91=$R85,$S85,12)/12,6)+$B$4),EE85-$I85)))))</f>
        <v/>
      </c>
      <c r="EG85" s="68">
        <f>IF($U85=0,0,IF($F85=4,0,IF($F85=3,0,IF(OR(92&gt;$R85,EF85&lt;=$I85),EF85,EF85-MIN(INT(ROUND(IF($F85=1,$C85*$J85,IF(IE85&gt;0,IE85*$K85,EF85*$J85))*IF(92=$R85,$S85,12)/12,6)+$B$4),EF85-$I85)))))</f>
        <v/>
      </c>
      <c r="EH85" s="68">
        <f>IF($U85=0,0,IF($F85=4,0,IF($F85=3,0,IF(OR(93&gt;$R85,EG85&lt;=$I85),EG85,EG85-MIN(INT(ROUND(IF($F85=1,$C85*$J85,IF(IF85&gt;0,IF85*$K85,EG85*$J85))*IF(93=$R85,$S85,12)/12,6)+$B$4),EG85-$I85)))))</f>
        <v/>
      </c>
      <c r="EI85" s="68">
        <f>IF($U85=0,0,IF($F85=4,0,IF($F85=3,0,IF(OR(94&gt;$R85,EH85&lt;=$I85),EH85,EH85-MIN(INT(ROUND(IF($F85=1,$C85*$J85,IF(IG85&gt;0,IG85*$K85,EH85*$J85))*IF(94=$R85,$S85,12)/12,6)+$B$4),EH85-$I85)))))</f>
        <v/>
      </c>
      <c r="EJ85" s="68">
        <f>IF($U85=0,0,IF($F85=4,0,IF($F85=3,0,IF(OR(95&gt;$R85,EI85&lt;=$I85),EI85,EI85-MIN(INT(ROUND(IF($F85=1,$C85*$J85,IF(IH85&gt;0,IH85*$K85,EI85*$J85))*IF(95=$R85,$S85,12)/12,6)+$B$4),EI85-$I85)))))</f>
        <v/>
      </c>
      <c r="EK85" s="68">
        <f>IF($U85=0,0,IF($F85=4,0,IF($F85=3,0,IF(OR(96&gt;$R85,EJ85&lt;=$I85),EJ85,EJ85-MIN(INT(ROUND(IF($F85=1,$C85*$J85,IF(II85&gt;0,II85*$K85,EJ85*$J85))*IF(96=$R85,$S85,12)/12,6)+$B$4),EJ85-$I85)))))</f>
        <v/>
      </c>
      <c r="EL85" s="68">
        <f>IF($U85=0,0,IF($F85=4,0,IF($F85=3,0,IF(OR(97&gt;$R85,EK85&lt;=$I85),EK85,EK85-MIN(INT(ROUND(IF($F85=1,$C85*$J85,IF(IJ85&gt;0,IJ85*$K85,EK85*$J85))*IF(97=$R85,$S85,12)/12,6)+$B$4),EK85-$I85)))))</f>
        <v/>
      </c>
      <c r="EM85" s="68">
        <f>IF($U85=0,0,IF($F85=4,0,IF($F85=3,0,IF(OR(98&gt;$R85,EL85&lt;=$I85),EL85,EL85-MIN(INT(ROUND(IF($F85=1,$C85*$J85,IF(IK85&gt;0,IK85*$K85,EL85*$J85))*IF(98=$R85,$S85,12)/12,6)+$B$4),EL85-$I85)))))</f>
        <v/>
      </c>
      <c r="EN85" s="68">
        <f>IF($U85=0,0,IF($F85=4,0,IF($F85=3,0,IF(OR(99&gt;$R85,EM85&lt;=$I85),EM85,EM85-MIN(INT(ROUND(IF($F85=1,$C85*$J85,IF(IL85&gt;0,IL85*$K85,EM85*$J85))*IF(99=$R85,$S85,12)/12,6)+$B$4),EM85-$I85)))))</f>
        <v/>
      </c>
      <c r="EO85" s="68">
        <f>IF($U85=0,0,IF($F85=4,0,IF($F85=3,0,IF(OR(100&gt;$R85,EN85&lt;=$I85),EN85,EN85-MIN(INT(ROUND(IF($F85=1,$C85*$J85,IF(IM85&gt;0,IM85*$K85,EN85*$J85))*IF(100=$R85,$S85,12)/12,6)+$B$4),EN85-$I85)))))</f>
        <v/>
      </c>
      <c r="EP85" s="68">
        <f>IF($U85=0,0,IF($F85=4,0,IF($F85=3,0,IF(OR(101&gt;$R85,EO85&lt;=$I85),EO85,EO85-MIN(INT(ROUND(IF($F85=1,$C85*$J85,IF(IN85&gt;0,IN85*$K85,EO85*$J85))*IF(101=$R85,$S85,12)/12,6)+$B$4),EO85-$I85)))))</f>
        <v/>
      </c>
      <c r="EQ85" s="68" t="n"/>
      <c r="ER85" s="68">
        <f>IF(OR($U85=0,$F85&lt;&gt;2),0,IF(ROUND(AS85*$J85,6)&lt;ROUND($M85,6),AS85,0))</f>
        <v/>
      </c>
      <c r="ES85" s="68">
        <f>IF(OR($U85=0,$F85&lt;&gt;2),0,IF(ER85&gt;0,ER85,IF(ROUND(AT85*$J85,6)&lt;ROUND($M85,6),AT85,0)))</f>
        <v/>
      </c>
      <c r="ET85" s="68">
        <f>IF(OR($U85=0,$F85&lt;&gt;2),0,IF(ES85&gt;0,ES85,IF(ROUND(AU85*$J85,6)&lt;ROUND($M85,6),AU85,0)))</f>
        <v/>
      </c>
      <c r="EU85" s="68">
        <f>IF(OR($U85=0,$F85&lt;&gt;2),0,IF(ET85&gt;0,ET85,IF(ROUND(AV85*$J85,6)&lt;ROUND($M85,6),AV85,0)))</f>
        <v/>
      </c>
      <c r="EV85" s="68">
        <f>IF(OR($U85=0,$F85&lt;&gt;2),0,IF(EU85&gt;0,EU85,IF(ROUND(AW85*$J85,6)&lt;ROUND($M85,6),AW85,0)))</f>
        <v/>
      </c>
      <c r="EW85" s="68">
        <f>IF(OR($U85=0,$F85&lt;&gt;2),0,IF(EV85&gt;0,EV85,IF(ROUND(AX85*$J85,6)&lt;ROUND($M85,6),AX85,0)))</f>
        <v/>
      </c>
      <c r="EX85" s="68">
        <f>IF(OR($U85=0,$F85&lt;&gt;2),0,IF(EW85&gt;0,EW85,IF(ROUND(AY85*$J85,6)&lt;ROUND($M85,6),AY85,0)))</f>
        <v/>
      </c>
      <c r="EY85" s="68">
        <f>IF(OR($U85=0,$F85&lt;&gt;2),0,IF(EX85&gt;0,EX85,IF(ROUND(AZ85*$J85,6)&lt;ROUND($M85,6),AZ85,0)))</f>
        <v/>
      </c>
      <c r="EZ85" s="68">
        <f>IF(OR($U85=0,$F85&lt;&gt;2),0,IF(EY85&gt;0,EY85,IF(ROUND(BA85*$J85,6)&lt;ROUND($M85,6),BA85,0)))</f>
        <v/>
      </c>
      <c r="FA85" s="68">
        <f>IF(OR($U85=0,$F85&lt;&gt;2),0,IF(EZ85&gt;0,EZ85,IF(ROUND(BB85*$J85,6)&lt;ROUND($M85,6),BB85,0)))</f>
        <v/>
      </c>
      <c r="FB85" s="68">
        <f>IF(OR($U85=0,$F85&lt;&gt;2),0,IF(FA85&gt;0,FA85,IF(ROUND(BC85*$J85,6)&lt;ROUND($M85,6),BC85,0)))</f>
        <v/>
      </c>
      <c r="FC85" s="68">
        <f>IF(OR($U85=0,$F85&lt;&gt;2),0,IF(FB85&gt;0,FB85,IF(ROUND(BD85*$J85,6)&lt;ROUND($M85,6),BD85,0)))</f>
        <v/>
      </c>
      <c r="FD85" s="68">
        <f>IF(OR($U85=0,$F85&lt;&gt;2),0,IF(FC85&gt;0,FC85,IF(ROUND(BE85*$J85,6)&lt;ROUND($M85,6),BE85,0)))</f>
        <v/>
      </c>
      <c r="FE85" s="68">
        <f>IF(OR($U85=0,$F85&lt;&gt;2),0,IF(FD85&gt;0,FD85,IF(ROUND(BF85*$J85,6)&lt;ROUND($M85,6),BF85,0)))</f>
        <v/>
      </c>
      <c r="FF85" s="68">
        <f>IF(OR($U85=0,$F85&lt;&gt;2),0,IF(FE85&gt;0,FE85,IF(ROUND(BG85*$J85,6)&lt;ROUND($M85,6),BG85,0)))</f>
        <v/>
      </c>
      <c r="FG85" s="68">
        <f>IF(OR($U85=0,$F85&lt;&gt;2),0,IF(FF85&gt;0,FF85,IF(ROUND(BH85*$J85,6)&lt;ROUND($M85,6),BH85,0)))</f>
        <v/>
      </c>
      <c r="FH85" s="68">
        <f>IF(OR($U85=0,$F85&lt;&gt;2),0,IF(FG85&gt;0,FG85,IF(ROUND(BI85*$J85,6)&lt;ROUND($M85,6),BI85,0)))</f>
        <v/>
      </c>
      <c r="FI85" s="68">
        <f>IF(OR($U85=0,$F85&lt;&gt;2),0,IF(FH85&gt;0,FH85,IF(ROUND(BJ85*$J85,6)&lt;ROUND($M85,6),BJ85,0)))</f>
        <v/>
      </c>
      <c r="FJ85" s="68">
        <f>IF(OR($U85=0,$F85&lt;&gt;2),0,IF(FI85&gt;0,FI85,IF(ROUND(BK85*$J85,6)&lt;ROUND($M85,6),BK85,0)))</f>
        <v/>
      </c>
      <c r="FK85" s="68">
        <f>IF(OR($U85=0,$F85&lt;&gt;2),0,IF(FJ85&gt;0,FJ85,IF(ROUND(BL85*$J85,6)&lt;ROUND($M85,6),BL85,0)))</f>
        <v/>
      </c>
      <c r="FL85" s="68">
        <f>IF(OR($U85=0,$F85&lt;&gt;2),0,IF(FK85&gt;0,FK85,IF(ROUND(BM85*$J85,6)&lt;ROUND($M85,6),BM85,0)))</f>
        <v/>
      </c>
      <c r="FM85" s="68">
        <f>IF(OR($U85=0,$F85&lt;&gt;2),0,IF(FL85&gt;0,FL85,IF(ROUND(BN85*$J85,6)&lt;ROUND($M85,6),BN85,0)))</f>
        <v/>
      </c>
      <c r="FN85" s="68">
        <f>IF(OR($U85=0,$F85&lt;&gt;2),0,IF(FM85&gt;0,FM85,IF(ROUND(BO85*$J85,6)&lt;ROUND($M85,6),BO85,0)))</f>
        <v/>
      </c>
      <c r="FO85" s="68">
        <f>IF(OR($U85=0,$F85&lt;&gt;2),0,IF(FN85&gt;0,FN85,IF(ROUND(BP85*$J85,6)&lt;ROUND($M85,6),BP85,0)))</f>
        <v/>
      </c>
      <c r="FP85" s="68">
        <f>IF(OR($U85=0,$F85&lt;&gt;2),0,IF(FO85&gt;0,FO85,IF(ROUND(BQ85*$J85,6)&lt;ROUND($M85,6),BQ85,0)))</f>
        <v/>
      </c>
      <c r="FQ85" s="68">
        <f>IF(OR($U85=0,$F85&lt;&gt;2),0,IF(FP85&gt;0,FP85,IF(ROUND(BR85*$J85,6)&lt;ROUND($M85,6),BR85,0)))</f>
        <v/>
      </c>
      <c r="FR85" s="68">
        <f>IF(OR($U85=0,$F85&lt;&gt;2),0,IF(FQ85&gt;0,FQ85,IF(ROUND(BS85*$J85,6)&lt;ROUND($M85,6),BS85,0)))</f>
        <v/>
      </c>
      <c r="FS85" s="68">
        <f>IF(OR($U85=0,$F85&lt;&gt;2),0,IF(FR85&gt;0,FR85,IF(ROUND(BT85*$J85,6)&lt;ROUND($M85,6),BT85,0)))</f>
        <v/>
      </c>
      <c r="FT85" s="68">
        <f>IF(OR($U85=0,$F85&lt;&gt;2),0,IF(FS85&gt;0,FS85,IF(ROUND(BU85*$J85,6)&lt;ROUND($M85,6),BU85,0)))</f>
        <v/>
      </c>
      <c r="FU85" s="68">
        <f>IF(OR($U85=0,$F85&lt;&gt;2),0,IF(FT85&gt;0,FT85,IF(ROUND(BV85*$J85,6)&lt;ROUND($M85,6),BV85,0)))</f>
        <v/>
      </c>
      <c r="FV85" s="68">
        <f>IF(OR($U85=0,$F85&lt;&gt;2),0,IF(FU85&gt;0,FU85,IF(ROUND(BW85*$J85,6)&lt;ROUND($M85,6),BW85,0)))</f>
        <v/>
      </c>
      <c r="FW85" s="68">
        <f>IF(OR($U85=0,$F85&lt;&gt;2),0,IF(FV85&gt;0,FV85,IF(ROUND(BX85*$J85,6)&lt;ROUND($M85,6),BX85,0)))</f>
        <v/>
      </c>
      <c r="FX85" s="68">
        <f>IF(OR($U85=0,$F85&lt;&gt;2),0,IF(FW85&gt;0,FW85,IF(ROUND(BY85*$J85,6)&lt;ROUND($M85,6),BY85,0)))</f>
        <v/>
      </c>
      <c r="FY85" s="68">
        <f>IF(OR($U85=0,$F85&lt;&gt;2),0,IF(FX85&gt;0,FX85,IF(ROUND(BZ85*$J85,6)&lt;ROUND($M85,6),BZ85,0)))</f>
        <v/>
      </c>
      <c r="FZ85" s="68">
        <f>IF(OR($U85=0,$F85&lt;&gt;2),0,IF(FY85&gt;0,FY85,IF(ROUND(CA85*$J85,6)&lt;ROUND($M85,6),CA85,0)))</f>
        <v/>
      </c>
      <c r="GA85" s="68">
        <f>IF(OR($U85=0,$F85&lt;&gt;2),0,IF(FZ85&gt;0,FZ85,IF(ROUND(CB85*$J85,6)&lt;ROUND($M85,6),CB85,0)))</f>
        <v/>
      </c>
      <c r="GB85" s="68">
        <f>IF(OR($U85=0,$F85&lt;&gt;2),0,IF(GA85&gt;0,GA85,IF(ROUND(CC85*$J85,6)&lt;ROUND($M85,6),CC85,0)))</f>
        <v/>
      </c>
      <c r="GC85" s="68">
        <f>IF(OR($U85=0,$F85&lt;&gt;2),0,IF(GB85&gt;0,GB85,IF(ROUND(CD85*$J85,6)&lt;ROUND($M85,6),CD85,0)))</f>
        <v/>
      </c>
      <c r="GD85" s="68">
        <f>IF(OR($U85=0,$F85&lt;&gt;2),0,IF(GC85&gt;0,GC85,IF(ROUND(CE85*$J85,6)&lt;ROUND($M85,6),CE85,0)))</f>
        <v/>
      </c>
      <c r="GE85" s="68">
        <f>IF(OR($U85=0,$F85&lt;&gt;2),0,IF(GD85&gt;0,GD85,IF(ROUND(CF85*$J85,6)&lt;ROUND($M85,6),CF85,0)))</f>
        <v/>
      </c>
      <c r="GF85" s="68">
        <f>IF(OR($U85=0,$F85&lt;&gt;2),0,IF(GE85&gt;0,GE85,IF(ROUND(CG85*$J85,6)&lt;ROUND($M85,6),CG85,0)))</f>
        <v/>
      </c>
      <c r="GG85" s="68">
        <f>IF(OR($U85=0,$F85&lt;&gt;2),0,IF(GF85&gt;0,GF85,IF(ROUND(CH85*$J85,6)&lt;ROUND($M85,6),CH85,0)))</f>
        <v/>
      </c>
      <c r="GH85" s="68">
        <f>IF(OR($U85=0,$F85&lt;&gt;2),0,IF(GG85&gt;0,GG85,IF(ROUND(CI85*$J85,6)&lt;ROUND($M85,6),CI85,0)))</f>
        <v/>
      </c>
      <c r="GI85" s="68">
        <f>IF(OR($U85=0,$F85&lt;&gt;2),0,IF(GH85&gt;0,GH85,IF(ROUND(CJ85*$J85,6)&lt;ROUND($M85,6),CJ85,0)))</f>
        <v/>
      </c>
      <c r="GJ85" s="68">
        <f>IF(OR($U85=0,$F85&lt;&gt;2),0,IF(GI85&gt;0,GI85,IF(ROUND(CK85*$J85,6)&lt;ROUND($M85,6),CK85,0)))</f>
        <v/>
      </c>
      <c r="GK85" s="68">
        <f>IF(OR($U85=0,$F85&lt;&gt;2),0,IF(GJ85&gt;0,GJ85,IF(ROUND(CL85*$J85,6)&lt;ROUND($M85,6),CL85,0)))</f>
        <v/>
      </c>
      <c r="GL85" s="68">
        <f>IF(OR($U85=0,$F85&lt;&gt;2),0,IF(GK85&gt;0,GK85,IF(ROUND(CM85*$J85,6)&lt;ROUND($M85,6),CM85,0)))</f>
        <v/>
      </c>
      <c r="GM85" s="68">
        <f>IF(OR($U85=0,$F85&lt;&gt;2),0,IF(GL85&gt;0,GL85,IF(ROUND(CN85*$J85,6)&lt;ROUND($M85,6),CN85,0)))</f>
        <v/>
      </c>
      <c r="GN85" s="68">
        <f>IF(OR($U85=0,$F85&lt;&gt;2),0,IF(GM85&gt;0,GM85,IF(ROUND(CO85*$J85,6)&lt;ROUND($M85,6),CO85,0)))</f>
        <v/>
      </c>
      <c r="GO85" s="68">
        <f>IF(OR($U85=0,$F85&lt;&gt;2),0,IF(GN85&gt;0,GN85,IF(ROUND(CP85*$J85,6)&lt;ROUND($M85,6),CP85,0)))</f>
        <v/>
      </c>
      <c r="GP85" s="68">
        <f>IF(OR($U85=0,$F85&lt;&gt;2),0,IF(GO85&gt;0,GO85,IF(ROUND(CQ85*$J85,6)&lt;ROUND($M85,6),CQ85,0)))</f>
        <v/>
      </c>
      <c r="GQ85" s="68">
        <f>IF(OR($U85=0,$F85&lt;&gt;2),0,IF(GP85&gt;0,GP85,IF(ROUND(CR85*$J85,6)&lt;ROUND($M85,6),CR85,0)))</f>
        <v/>
      </c>
      <c r="GR85" s="68">
        <f>IF(OR($U85=0,$F85&lt;&gt;2),0,IF(GQ85&gt;0,GQ85,IF(ROUND(CS85*$J85,6)&lt;ROUND($M85,6),CS85,0)))</f>
        <v/>
      </c>
      <c r="GS85" s="68">
        <f>IF(OR($U85=0,$F85&lt;&gt;2),0,IF(GR85&gt;0,GR85,IF(ROUND(CT85*$J85,6)&lt;ROUND($M85,6),CT85,0)))</f>
        <v/>
      </c>
      <c r="GT85" s="68">
        <f>IF(OR($U85=0,$F85&lt;&gt;2),0,IF(GS85&gt;0,GS85,IF(ROUND(CU85*$J85,6)&lt;ROUND($M85,6),CU85,0)))</f>
        <v/>
      </c>
      <c r="GU85" s="68">
        <f>IF(OR($U85=0,$F85&lt;&gt;2),0,IF(GT85&gt;0,GT85,IF(ROUND(CV85*$J85,6)&lt;ROUND($M85,6),CV85,0)))</f>
        <v/>
      </c>
      <c r="GV85" s="68">
        <f>IF(OR($U85=0,$F85&lt;&gt;2),0,IF(GU85&gt;0,GU85,IF(ROUND(CW85*$J85,6)&lt;ROUND($M85,6),CW85,0)))</f>
        <v/>
      </c>
      <c r="GW85" s="68">
        <f>IF(OR($U85=0,$F85&lt;&gt;2),0,IF(GV85&gt;0,GV85,IF(ROUND(CX85*$J85,6)&lt;ROUND($M85,6),CX85,0)))</f>
        <v/>
      </c>
      <c r="GX85" s="68">
        <f>IF(OR($U85=0,$F85&lt;&gt;2),0,IF(GW85&gt;0,GW85,IF(ROUND(CY85*$J85,6)&lt;ROUND($M85,6),CY85,0)))</f>
        <v/>
      </c>
      <c r="GY85" s="68">
        <f>IF(OR($U85=0,$F85&lt;&gt;2),0,IF(GX85&gt;0,GX85,IF(ROUND(CZ85*$J85,6)&lt;ROUND($M85,6),CZ85,0)))</f>
        <v/>
      </c>
      <c r="GZ85" s="68">
        <f>IF(OR($U85=0,$F85&lt;&gt;2),0,IF(GY85&gt;0,GY85,IF(ROUND(DA85*$J85,6)&lt;ROUND($M85,6),DA85,0)))</f>
        <v/>
      </c>
      <c r="HA85" s="68">
        <f>IF(OR($U85=0,$F85&lt;&gt;2),0,IF(GZ85&gt;0,GZ85,IF(ROUND(DB85*$J85,6)&lt;ROUND($M85,6),DB85,0)))</f>
        <v/>
      </c>
      <c r="HB85" s="68">
        <f>IF(OR($U85=0,$F85&lt;&gt;2),0,IF(HA85&gt;0,HA85,IF(ROUND(DC85*$J85,6)&lt;ROUND($M85,6),DC85,0)))</f>
        <v/>
      </c>
      <c r="HC85" s="68">
        <f>IF(OR($U85=0,$F85&lt;&gt;2),0,IF(HB85&gt;0,HB85,IF(ROUND(DD85*$J85,6)&lt;ROUND($M85,6),DD85,0)))</f>
        <v/>
      </c>
      <c r="HD85" s="68">
        <f>IF(OR($U85=0,$F85&lt;&gt;2),0,IF(HC85&gt;0,HC85,IF(ROUND(DE85*$J85,6)&lt;ROUND($M85,6),DE85,0)))</f>
        <v/>
      </c>
      <c r="HE85" s="68">
        <f>IF(OR($U85=0,$F85&lt;&gt;2),0,IF(HD85&gt;0,HD85,IF(ROUND(DF85*$J85,6)&lt;ROUND($M85,6),DF85,0)))</f>
        <v/>
      </c>
      <c r="HF85" s="68">
        <f>IF(OR($U85=0,$F85&lt;&gt;2),0,IF(HE85&gt;0,HE85,IF(ROUND(DG85*$J85,6)&lt;ROUND($M85,6),DG85,0)))</f>
        <v/>
      </c>
      <c r="HG85" s="68">
        <f>IF(OR($U85=0,$F85&lt;&gt;2),0,IF(HF85&gt;0,HF85,IF(ROUND(DH85*$J85,6)&lt;ROUND($M85,6),DH85,0)))</f>
        <v/>
      </c>
      <c r="HH85" s="68">
        <f>IF(OR($U85=0,$F85&lt;&gt;2),0,IF(HG85&gt;0,HG85,IF(ROUND(DI85*$J85,6)&lt;ROUND($M85,6),DI85,0)))</f>
        <v/>
      </c>
      <c r="HI85" s="68">
        <f>IF(OR($U85=0,$F85&lt;&gt;2),0,IF(HH85&gt;0,HH85,IF(ROUND(DJ85*$J85,6)&lt;ROUND($M85,6),DJ85,0)))</f>
        <v/>
      </c>
      <c r="HJ85" s="68">
        <f>IF(OR($U85=0,$F85&lt;&gt;2),0,IF(HI85&gt;0,HI85,IF(ROUND(DK85*$J85,6)&lt;ROUND($M85,6),DK85,0)))</f>
        <v/>
      </c>
      <c r="HK85" s="68">
        <f>IF(OR($U85=0,$F85&lt;&gt;2),0,IF(HJ85&gt;0,HJ85,IF(ROUND(DL85*$J85,6)&lt;ROUND($M85,6),DL85,0)))</f>
        <v/>
      </c>
      <c r="HL85" s="68">
        <f>IF(OR($U85=0,$F85&lt;&gt;2),0,IF(HK85&gt;0,HK85,IF(ROUND(DM85*$J85,6)&lt;ROUND($M85,6),DM85,0)))</f>
        <v/>
      </c>
      <c r="HM85" s="68">
        <f>IF(OR($U85=0,$F85&lt;&gt;2),0,IF(HL85&gt;0,HL85,IF(ROUND(DN85*$J85,6)&lt;ROUND($M85,6),DN85,0)))</f>
        <v/>
      </c>
      <c r="HN85" s="68">
        <f>IF(OR($U85=0,$F85&lt;&gt;2),0,IF(HM85&gt;0,HM85,IF(ROUND(DO85*$J85,6)&lt;ROUND($M85,6),DO85,0)))</f>
        <v/>
      </c>
      <c r="HO85" s="68">
        <f>IF(OR($U85=0,$F85&lt;&gt;2),0,IF(HN85&gt;0,HN85,IF(ROUND(DP85*$J85,6)&lt;ROUND($M85,6),DP85,0)))</f>
        <v/>
      </c>
      <c r="HP85" s="68">
        <f>IF(OR($U85=0,$F85&lt;&gt;2),0,IF(HO85&gt;0,HO85,IF(ROUND(DQ85*$J85,6)&lt;ROUND($M85,6),DQ85,0)))</f>
        <v/>
      </c>
      <c r="HQ85" s="68">
        <f>IF(OR($U85=0,$F85&lt;&gt;2),0,IF(HP85&gt;0,HP85,IF(ROUND(DR85*$J85,6)&lt;ROUND($M85,6),DR85,0)))</f>
        <v/>
      </c>
      <c r="HR85" s="68">
        <f>IF(OR($U85=0,$F85&lt;&gt;2),0,IF(HQ85&gt;0,HQ85,IF(ROUND(DS85*$J85,6)&lt;ROUND($M85,6),DS85,0)))</f>
        <v/>
      </c>
      <c r="HS85" s="68">
        <f>IF(OR($U85=0,$F85&lt;&gt;2),0,IF(HR85&gt;0,HR85,IF(ROUND(DT85*$J85,6)&lt;ROUND($M85,6),DT85,0)))</f>
        <v/>
      </c>
      <c r="HT85" s="68">
        <f>IF(OR($U85=0,$F85&lt;&gt;2),0,IF(HS85&gt;0,HS85,IF(ROUND(DU85*$J85,6)&lt;ROUND($M85,6),DU85,0)))</f>
        <v/>
      </c>
      <c r="HU85" s="68">
        <f>IF(OR($U85=0,$F85&lt;&gt;2),0,IF(HT85&gt;0,HT85,IF(ROUND(DV85*$J85,6)&lt;ROUND($M85,6),DV85,0)))</f>
        <v/>
      </c>
      <c r="HV85" s="68">
        <f>IF(OR($U85=0,$F85&lt;&gt;2),0,IF(HU85&gt;0,HU85,IF(ROUND(DW85*$J85,6)&lt;ROUND($M85,6),DW85,0)))</f>
        <v/>
      </c>
      <c r="HW85" s="68">
        <f>IF(OR($U85=0,$F85&lt;&gt;2),0,IF(HV85&gt;0,HV85,IF(ROUND(DX85*$J85,6)&lt;ROUND($M85,6),DX85,0)))</f>
        <v/>
      </c>
      <c r="HX85" s="68">
        <f>IF(OR($U85=0,$F85&lt;&gt;2),0,IF(HW85&gt;0,HW85,IF(ROUND(DY85*$J85,6)&lt;ROUND($M85,6),DY85,0)))</f>
        <v/>
      </c>
      <c r="HY85" s="68">
        <f>IF(OR($U85=0,$F85&lt;&gt;2),0,IF(HX85&gt;0,HX85,IF(ROUND(DZ85*$J85,6)&lt;ROUND($M85,6),DZ85,0)))</f>
        <v/>
      </c>
      <c r="HZ85" s="68">
        <f>IF(OR($U85=0,$F85&lt;&gt;2),0,IF(HY85&gt;0,HY85,IF(ROUND(EA85*$J85,6)&lt;ROUND($M85,6),EA85,0)))</f>
        <v/>
      </c>
      <c r="IA85" s="68">
        <f>IF(OR($U85=0,$F85&lt;&gt;2),0,IF(HZ85&gt;0,HZ85,IF(ROUND(EB85*$J85,6)&lt;ROUND($M85,6),EB85,0)))</f>
        <v/>
      </c>
      <c r="IB85" s="68">
        <f>IF(OR($U85=0,$F85&lt;&gt;2),0,IF(IA85&gt;0,IA85,IF(ROUND(EC85*$J85,6)&lt;ROUND($M85,6),EC85,0)))</f>
        <v/>
      </c>
      <c r="IC85" s="68">
        <f>IF(OR($U85=0,$F85&lt;&gt;2),0,IF(IB85&gt;0,IB85,IF(ROUND(ED85*$J85,6)&lt;ROUND($M85,6),ED85,0)))</f>
        <v/>
      </c>
      <c r="ID85" s="68">
        <f>IF(OR($U85=0,$F85&lt;&gt;2),0,IF(IC85&gt;0,IC85,IF(ROUND(EE85*$J85,6)&lt;ROUND($M85,6),EE85,0)))</f>
        <v/>
      </c>
      <c r="IE85" s="68">
        <f>IF(OR($U85=0,$F85&lt;&gt;2),0,IF(ID85&gt;0,ID85,IF(ROUND(EF85*$J85,6)&lt;ROUND($M85,6),EF85,0)))</f>
        <v/>
      </c>
      <c r="IF85" s="68">
        <f>IF(OR($U85=0,$F85&lt;&gt;2),0,IF(IE85&gt;0,IE85,IF(ROUND(EG85*$J85,6)&lt;ROUND($M85,6),EG85,0)))</f>
        <v/>
      </c>
      <c r="IG85" s="68">
        <f>IF(OR($U85=0,$F85&lt;&gt;2),0,IF(IF85&gt;0,IF85,IF(ROUND(EH85*$J85,6)&lt;ROUND($M85,6),EH85,0)))</f>
        <v/>
      </c>
      <c r="IH85" s="68">
        <f>IF(OR($U85=0,$F85&lt;&gt;2),0,IF(IG85&gt;0,IG85,IF(ROUND(EI85*$J85,6)&lt;ROUND($M85,6),EI85,0)))</f>
        <v/>
      </c>
      <c r="II85" s="68">
        <f>IF(OR($U85=0,$F85&lt;&gt;2),0,IF(IH85&gt;0,IH85,IF(ROUND(EJ85*$J85,6)&lt;ROUND($M85,6),EJ85,0)))</f>
        <v/>
      </c>
      <c r="IJ85" s="68">
        <f>IF(OR($U85=0,$F85&lt;&gt;2),0,IF(II85&gt;0,II85,IF(ROUND(EK85*$J85,6)&lt;ROUND($M85,6),EK85,0)))</f>
        <v/>
      </c>
      <c r="IK85" s="68">
        <f>IF(OR($U85=0,$F85&lt;&gt;2),0,IF(IJ85&gt;0,IJ85,IF(ROUND(EL85*$J85,6)&lt;ROUND($M85,6),EL85,0)))</f>
        <v/>
      </c>
      <c r="IL85" s="68">
        <f>IF(OR($U85=0,$F85&lt;&gt;2),0,IF(IK85&gt;0,IK85,IF(ROUND(EM85*$J85,6)&lt;ROUND($M85,6),EM85,0)))</f>
        <v/>
      </c>
      <c r="IM85" s="68">
        <f>IF(OR($U85=0,$F85&lt;&gt;2),0,IF(IL85&gt;0,IL85,IF(ROUND(EN85*$J85,6)&lt;ROUND($M85,6),EN85,0)))</f>
        <v/>
      </c>
      <c r="IN85" s="68">
        <f>IF(OR($U85=0,$F85&lt;&gt;2),0,IF(IM85&gt;0,IM85,IF(ROUND(EO85*$J85,6)&lt;ROUND($M85,6),EO85,0)))</f>
        <v/>
      </c>
    </row>
    <row r="86">
      <c r="A86" s="68" t="n">
        <v>81</v>
      </c>
      <c r="B86" s="68">
        <f>IF(OR(TRIM('固定資産台帳'!$B86)&lt;&gt;"",'固定資産台帳'!$E86&lt;&gt;"",'固定資産台帳'!$G86&lt;&gt;"",'固定資産台帳'!$H86&lt;&gt;""),1,0)</f>
        <v/>
      </c>
      <c r="C86" s="68">
        <f>IF(ISNUMBER('固定資産台帳'!$G86),MAX(ROUND('固定資産台帳'!$G86,0),0),0)</f>
        <v/>
      </c>
      <c r="D86" s="84">
        <f>IF(ISNUMBER('固定資産台帳'!$E86),INT('固定資産台帳'!$E86),0)</f>
        <v/>
      </c>
      <c r="E86" s="84">
        <f>IF(ISNUMBER('固定資産台帳'!$F86),INT('固定資産台帳'!$F86),$D86)</f>
        <v/>
      </c>
      <c r="F86" s="68">
        <f>IF('固定資産台帳'!$H86="定額法",1,IF(OR('固定資産台帳'!$H86="定率法",'固定資産台帳'!$H86="定率法（200%）",'固定資産台帳'!$H86="定率法（250%）"),2,IF('固定資産台帳'!$H86="一括償却（3年）",3,IF('固定資産台帳'!$H86="少額特例",4,0))))</f>
        <v/>
      </c>
      <c r="G86" s="68">
        <f>IF('固定資産台帳'!$H86="定率法（250%）",250,IF('固定資産台帳'!$H86="定率法（200%）",200,IF($D86&gt;=DATE(2012,4,1),200,250)))</f>
        <v/>
      </c>
      <c r="H86" s="68">
        <f>IF(ISNUMBER('固定資産台帳'!$I86),IF(AND('固定資産台帳'!$I86&gt;=2,'固定資産台帳'!$I86&lt;=100,'固定資産台帳'!$I86=INT('固定資産台帳'!$I86)),'固定資産台帳'!$I86,0),0)</f>
        <v/>
      </c>
      <c r="I86" s="68">
        <f>IF('固定資産台帳'!$C86="無形固定資産",0,1)</f>
        <v/>
      </c>
      <c r="J86" s="68">
        <f>IF(OR($H86=0,$F86=0,$F86&gt;2),0,IF($F86=1,INDEX('償却率表'!$B$6:$B$104,$H86-1),IF($G86=200,INDEX('償却率表'!$C$6:$C$104,$H86-1),INDEX('償却率表'!$F$6:$F$104,$H86-1))))</f>
        <v/>
      </c>
      <c r="K86" s="68">
        <f>IF(AND($F86=2,$H86&gt;0),IF($G86=200,INDEX('償却率表'!$D$6:$D$104,$H86-1),INDEX('償却率表'!$G$6:$G$104,$H86-1)),0)</f>
        <v/>
      </c>
      <c r="L86" s="68">
        <f>IF(AND($F86=2,$H86&gt;0),IF($G86=200,INDEX('償却率表'!$E$6:$E$104,$H86-1),INDEX('償却率表'!$H$6:$H$104,$H86-1)),0)</f>
        <v/>
      </c>
      <c r="M86" s="68">
        <f>$C86*$L86</f>
        <v/>
      </c>
      <c r="N86" s="68">
        <f>IF($B$1=1,1,IF('固定資産台帳'!$J86="",1,IF(ISNUMBER('固定資産台帳'!$J86),IF(AND('固定資産台帳'!$J86&gt;0,'固定資産台帳'!$J86&lt;=1),'固定資産台帳'!$J86,0),0)))</f>
        <v/>
      </c>
      <c r="O86" s="68">
        <f>IF($E86=0,0,YEAR($E86)-IF(MONTH($E86)&lt;$B$2,1,0))</f>
        <v/>
      </c>
      <c r="P86" s="68">
        <f>IF($E86=0,0,12-MOD(MONTH($E86)-$B$2,12))</f>
        <v/>
      </c>
      <c r="Q86" s="84">
        <f>IF(ISNUMBER('固定資産台帳'!$K86),INT('固定資産台帳'!$K86),0)</f>
        <v/>
      </c>
      <c r="R86" s="68">
        <f>IF(OR($Q86=0,$E86=0),999,YEAR($Q86)-IF(MONTH($Q86)&lt;$B$2,1,0)-$O86)</f>
        <v/>
      </c>
      <c r="S86" s="68">
        <f>IF($R86=999,0,MOD(MONTH($Q86)-$B$2,12)+1-IF($R86=0,12-$P86,0))</f>
        <v/>
      </c>
      <c r="T86" s="68">
        <f>IF($B86=0,0,IF($C86&lt;=0,1,IF($D86=0,2,IF($F86=0,3,IF(AND($F86&lt;=2,$H86=0),4,IF(AND($F86&lt;=2,$D86&lt;DATE(2007,4,1)),5,IF($E86&lt;$D86,6,IF(AND($Q86&gt;0,$Q86&lt;$E86),7,IF($N86=0,8,IF($B$3=0,9,0))))))))))</f>
        <v/>
      </c>
      <c r="U86" s="68">
        <f>IF(AND($B86=1,$T86=0),1,0)</f>
        <v/>
      </c>
      <c r="V86" s="68">
        <f>$B$3-$O86</f>
        <v/>
      </c>
      <c r="W86" s="68">
        <f>IF(AND($U86=1,$V86&gt;=0),1,0)</f>
        <v/>
      </c>
      <c r="X86" s="68">
        <f>IF($W86=0,0,IF($V86=0,$C86,INDEX($AS86:$EP86,MIN($V86,102))))</f>
        <v/>
      </c>
      <c r="Y86" s="68">
        <f>IF($W86=0,0,INDEX($AS86:$EP86,MIN($V86,101)+1))</f>
        <v/>
      </c>
      <c r="Z86" s="68">
        <f>$X86-$Y86</f>
        <v/>
      </c>
      <c r="AA86" s="68">
        <f>IF(AND($W86=1,$F86=2,$V86&gt;=1),INDEX($ER86:$IN86,MIN($V86,101)),0)</f>
        <v/>
      </c>
      <c r="AB86" s="68">
        <f>IF(OR($W86=0,$F86&gt;2,$Z86=0),0,IF($V86=0,IF($R86=0,$S86,$P86),IF($V86=$R86,$S86,12)))</f>
        <v/>
      </c>
      <c r="AC86" s="68">
        <f>IF($W86=0,0,INT(ROUND($Z86*$N86,6)+$B$4))</f>
        <v/>
      </c>
      <c r="AD86" s="68">
        <f>IF(AND($W86=1,$F86&lt;=2,$V86=$R86),1,0)</f>
        <v/>
      </c>
      <c r="AE86" s="68">
        <f>IF(AND($W86=1,$F86&lt;=2,$V86&gt;$R86),1,0)</f>
        <v/>
      </c>
      <c r="AF86" s="68">
        <f>IF(AND($W86=1,$AE86=0,OR($Z86&gt;0,$AD86=1)),1,0)</f>
        <v/>
      </c>
      <c r="AG86" s="68">
        <f>IF($AF86=1,SUM($AF$6:$AF86),0)</f>
        <v/>
      </c>
      <c r="AH86" s="68">
        <f>IF($T86=0,"",CHOOSE($T86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86" s="68">
        <f>IF(AND($F86=2,OR('固定資産台帳'!$C86="建物",'固定資産台帳'!$C86="無形固定資産",AND(OR('固定資産台帳'!$C86="建物附属設備",'固定資産台帳'!$C86="構築物"),$D86&gt;=DATE(2016,4,1)))),"この資産は定額法だけです（定率法は使えません）。","")&amp;IF(AND($F86=3,$C86&gt;=200000),"一括償却は20万円未満の資産だけです。","")&amp;IF(AND($F86=3,$B$1=0,$C86&lt;100000),"10万円未満は一括償却にせず、全額をその年の経費にします。","")&amp;IF(AND($F86=4,$C86&lt;100000),"10万円未満は少額特例ではなく、全額をその年の経費にします。","")&amp;IF(AND($F86=4,$D86&lt;DATE(2026,4,1),$C86&gt;=300000),"2026年3月31日までの取得で少額特例が使えるのは30万円未満です。","")&amp;IF(AND($F86=4,$D86&gt;=DATE(2026,4,1),$C86&gt;=400000),"少額特例は40万円未満の資産だけです。","")&amp;IF(AND($F86=4,OR($D86&lt;DATE(2006,4,1),$D86&gt;DATE(2029,3,31))),"少額特例は2006年4月1日〜2029年3月31日に取得した資産だけです。","")&amp;IF(AND($F86=2,$G86=250,$D86&gt;DATE(2012,12,31)),"250%定率法は2012年12月31日までの取得だけです。","")</f>
        <v/>
      </c>
      <c r="AJ86" s="68">
        <f>IF(AND($F86=2,'固定資産台帳'!$H86="定率法（200%）",$D86&lt;DATE(2012,4,1)),"2012年3月31日までの取得に200%を使うのは、経過措置の届出をした場合です。","")&amp;IF(AND($F86=2,'固定資産台帳'!$H86="定率法（250%）",$D86&gt;=DATE(2012,4,1),$D86&lt;=DATE(2012,12,31)),"2012年4〜12月の取得に250%を使うのは、経過措置を選んだ場合です。","")</f>
        <v/>
      </c>
      <c r="AK86" s="68">
        <f>IF($U86=0,"",IF($V86&lt;0,"表示している年より後に使い始める資産です。",IF($AE86=1,"売却・除却済みです。",IF($AD86=1,"この年に売却・除却。期末の帳簿価額 "&amp;TEXT($Y86,"#,##0")&amp;"円を帳簿から外します。",IF($F86=4,IF($V86=0,"少額特例：この年に全額を経費にします。","少額特例で経費にした資産です。"),IF($F86=3,IF($V86&gt;2,"一括償却は終わっています。","一括償却 "&amp;($V86+1)&amp;"年目（3年のうち）。"),IF($Z86=0,"償却済み（帳簿価額 "&amp;TEXT($Y86,"#,##0")&amp;"円）。",IF($AA86&gt;0,"改定償却率で計算（改定取得価額 "&amp;TEXT($AA86,"#,##0")&amp;"円）。",IF($V86=0,"この年に使い始め（"&amp;$AB86&amp;"か月分）。","")))))))))</f>
        <v/>
      </c>
      <c r="AL86" s="68">
        <f>IF(AND($U86=1,$F86=4,$V86=0),$C86,0)</f>
        <v/>
      </c>
      <c r="AM86" s="68">
        <f>IF($F86=2,INT(ROUND($M86,6)+$B$4),0)</f>
        <v/>
      </c>
      <c r="AN86" s="68">
        <f>IF($W86=0,0,IF($F86=2,IF($AA86&gt;0,$AA86,$X86),$C86))</f>
        <v/>
      </c>
      <c r="AO86" s="68">
        <f>IF($W86=0,"",IF($F86=3,"1/3",IF($F86=4,"―",IF($AA86&gt;0,$K86,$J86))))</f>
        <v/>
      </c>
      <c r="AP86" s="68" t="n"/>
      <c r="AQ86" s="68" t="n"/>
      <c r="AR86" s="68" t="n"/>
      <c r="AS86" s="68">
        <f>IF($U86=0,0,IF($F86=4,0,IF($F86=3,MAX($C86-INT(ROUND($C86/3,6)+$B$4),0),$C86-MIN(INT(ROUND($C86*$J86*IF($R86=0,$S86,$P86)/12,6)+$B$4),MAX($C86-$I86,0)))))</f>
        <v/>
      </c>
      <c r="AT86" s="68">
        <f>IF($U86=0,0,IF($F86=4,0,IF($F86=3,AS86-MIN(INT(ROUND($C86/3,6)+$B$4),AS86),IF(OR(1&gt;$R86,AS86&lt;=$I86),AS86,AS86-MIN(INT(ROUND(IF($F86=1,$C86*$J86,IF(ER86&gt;0,ER86*$K86,AS86*$J86))*IF(1=$R86,$S86,12)/12,6)+$B$4),AS86-$I86)))))</f>
        <v/>
      </c>
      <c r="AU86" s="68">
        <f>IF($U86=0,0,IF($F86=4,0,IF($F86=3,0,IF(OR(2&gt;$R86,AT86&lt;=$I86),AT86,AT86-MIN(INT(ROUND(IF($F86=1,$C86*$J86,IF(ES86&gt;0,ES86*$K86,AT86*$J86))*IF(2=$R86,$S86,12)/12,6)+$B$4),AT86-$I86)))))</f>
        <v/>
      </c>
      <c r="AV86" s="68">
        <f>IF($U86=0,0,IF($F86=4,0,IF($F86=3,0,IF(OR(3&gt;$R86,AU86&lt;=$I86),AU86,AU86-MIN(INT(ROUND(IF($F86=1,$C86*$J86,IF(ET86&gt;0,ET86*$K86,AU86*$J86))*IF(3=$R86,$S86,12)/12,6)+$B$4),AU86-$I86)))))</f>
        <v/>
      </c>
      <c r="AW86" s="68">
        <f>IF($U86=0,0,IF($F86=4,0,IF($F86=3,0,IF(OR(4&gt;$R86,AV86&lt;=$I86),AV86,AV86-MIN(INT(ROUND(IF($F86=1,$C86*$J86,IF(EU86&gt;0,EU86*$K86,AV86*$J86))*IF(4=$R86,$S86,12)/12,6)+$B$4),AV86-$I86)))))</f>
        <v/>
      </c>
      <c r="AX86" s="68">
        <f>IF($U86=0,0,IF($F86=4,0,IF($F86=3,0,IF(OR(5&gt;$R86,AW86&lt;=$I86),AW86,AW86-MIN(INT(ROUND(IF($F86=1,$C86*$J86,IF(EV86&gt;0,EV86*$K86,AW86*$J86))*IF(5=$R86,$S86,12)/12,6)+$B$4),AW86-$I86)))))</f>
        <v/>
      </c>
      <c r="AY86" s="68">
        <f>IF($U86=0,0,IF($F86=4,0,IF($F86=3,0,IF(OR(6&gt;$R86,AX86&lt;=$I86),AX86,AX86-MIN(INT(ROUND(IF($F86=1,$C86*$J86,IF(EW86&gt;0,EW86*$K86,AX86*$J86))*IF(6=$R86,$S86,12)/12,6)+$B$4),AX86-$I86)))))</f>
        <v/>
      </c>
      <c r="AZ86" s="68">
        <f>IF($U86=0,0,IF($F86=4,0,IF($F86=3,0,IF(OR(7&gt;$R86,AY86&lt;=$I86),AY86,AY86-MIN(INT(ROUND(IF($F86=1,$C86*$J86,IF(EX86&gt;0,EX86*$K86,AY86*$J86))*IF(7=$R86,$S86,12)/12,6)+$B$4),AY86-$I86)))))</f>
        <v/>
      </c>
      <c r="BA86" s="68">
        <f>IF($U86=0,0,IF($F86=4,0,IF($F86=3,0,IF(OR(8&gt;$R86,AZ86&lt;=$I86),AZ86,AZ86-MIN(INT(ROUND(IF($F86=1,$C86*$J86,IF(EY86&gt;0,EY86*$K86,AZ86*$J86))*IF(8=$R86,$S86,12)/12,6)+$B$4),AZ86-$I86)))))</f>
        <v/>
      </c>
      <c r="BB86" s="68">
        <f>IF($U86=0,0,IF($F86=4,0,IF($F86=3,0,IF(OR(9&gt;$R86,BA86&lt;=$I86),BA86,BA86-MIN(INT(ROUND(IF($F86=1,$C86*$J86,IF(EZ86&gt;0,EZ86*$K86,BA86*$J86))*IF(9=$R86,$S86,12)/12,6)+$B$4),BA86-$I86)))))</f>
        <v/>
      </c>
      <c r="BC86" s="68">
        <f>IF($U86=0,0,IF($F86=4,0,IF($F86=3,0,IF(OR(10&gt;$R86,BB86&lt;=$I86),BB86,BB86-MIN(INT(ROUND(IF($F86=1,$C86*$J86,IF(FA86&gt;0,FA86*$K86,BB86*$J86))*IF(10=$R86,$S86,12)/12,6)+$B$4),BB86-$I86)))))</f>
        <v/>
      </c>
      <c r="BD86" s="68">
        <f>IF($U86=0,0,IF($F86=4,0,IF($F86=3,0,IF(OR(11&gt;$R86,BC86&lt;=$I86),BC86,BC86-MIN(INT(ROUND(IF($F86=1,$C86*$J86,IF(FB86&gt;0,FB86*$K86,BC86*$J86))*IF(11=$R86,$S86,12)/12,6)+$B$4),BC86-$I86)))))</f>
        <v/>
      </c>
      <c r="BE86" s="68">
        <f>IF($U86=0,0,IF($F86=4,0,IF($F86=3,0,IF(OR(12&gt;$R86,BD86&lt;=$I86),BD86,BD86-MIN(INT(ROUND(IF($F86=1,$C86*$J86,IF(FC86&gt;0,FC86*$K86,BD86*$J86))*IF(12=$R86,$S86,12)/12,6)+$B$4),BD86-$I86)))))</f>
        <v/>
      </c>
      <c r="BF86" s="68">
        <f>IF($U86=0,0,IF($F86=4,0,IF($F86=3,0,IF(OR(13&gt;$R86,BE86&lt;=$I86),BE86,BE86-MIN(INT(ROUND(IF($F86=1,$C86*$J86,IF(FD86&gt;0,FD86*$K86,BE86*$J86))*IF(13=$R86,$S86,12)/12,6)+$B$4),BE86-$I86)))))</f>
        <v/>
      </c>
      <c r="BG86" s="68">
        <f>IF($U86=0,0,IF($F86=4,0,IF($F86=3,0,IF(OR(14&gt;$R86,BF86&lt;=$I86),BF86,BF86-MIN(INT(ROUND(IF($F86=1,$C86*$J86,IF(FE86&gt;0,FE86*$K86,BF86*$J86))*IF(14=$R86,$S86,12)/12,6)+$B$4),BF86-$I86)))))</f>
        <v/>
      </c>
      <c r="BH86" s="68">
        <f>IF($U86=0,0,IF($F86=4,0,IF($F86=3,0,IF(OR(15&gt;$R86,BG86&lt;=$I86),BG86,BG86-MIN(INT(ROUND(IF($F86=1,$C86*$J86,IF(FF86&gt;0,FF86*$K86,BG86*$J86))*IF(15=$R86,$S86,12)/12,6)+$B$4),BG86-$I86)))))</f>
        <v/>
      </c>
      <c r="BI86" s="68">
        <f>IF($U86=0,0,IF($F86=4,0,IF($F86=3,0,IF(OR(16&gt;$R86,BH86&lt;=$I86),BH86,BH86-MIN(INT(ROUND(IF($F86=1,$C86*$J86,IF(FG86&gt;0,FG86*$K86,BH86*$J86))*IF(16=$R86,$S86,12)/12,6)+$B$4),BH86-$I86)))))</f>
        <v/>
      </c>
      <c r="BJ86" s="68">
        <f>IF($U86=0,0,IF($F86=4,0,IF($F86=3,0,IF(OR(17&gt;$R86,BI86&lt;=$I86),BI86,BI86-MIN(INT(ROUND(IF($F86=1,$C86*$J86,IF(FH86&gt;0,FH86*$K86,BI86*$J86))*IF(17=$R86,$S86,12)/12,6)+$B$4),BI86-$I86)))))</f>
        <v/>
      </c>
      <c r="BK86" s="68">
        <f>IF($U86=0,0,IF($F86=4,0,IF($F86=3,0,IF(OR(18&gt;$R86,BJ86&lt;=$I86),BJ86,BJ86-MIN(INT(ROUND(IF($F86=1,$C86*$J86,IF(FI86&gt;0,FI86*$K86,BJ86*$J86))*IF(18=$R86,$S86,12)/12,6)+$B$4),BJ86-$I86)))))</f>
        <v/>
      </c>
      <c r="BL86" s="68">
        <f>IF($U86=0,0,IF($F86=4,0,IF($F86=3,0,IF(OR(19&gt;$R86,BK86&lt;=$I86),BK86,BK86-MIN(INT(ROUND(IF($F86=1,$C86*$J86,IF(FJ86&gt;0,FJ86*$K86,BK86*$J86))*IF(19=$R86,$S86,12)/12,6)+$B$4),BK86-$I86)))))</f>
        <v/>
      </c>
      <c r="BM86" s="68">
        <f>IF($U86=0,0,IF($F86=4,0,IF($F86=3,0,IF(OR(20&gt;$R86,BL86&lt;=$I86),BL86,BL86-MIN(INT(ROUND(IF($F86=1,$C86*$J86,IF(FK86&gt;0,FK86*$K86,BL86*$J86))*IF(20=$R86,$S86,12)/12,6)+$B$4),BL86-$I86)))))</f>
        <v/>
      </c>
      <c r="BN86" s="68">
        <f>IF($U86=0,0,IF($F86=4,0,IF($F86=3,0,IF(OR(21&gt;$R86,BM86&lt;=$I86),BM86,BM86-MIN(INT(ROUND(IF($F86=1,$C86*$J86,IF(FL86&gt;0,FL86*$K86,BM86*$J86))*IF(21=$R86,$S86,12)/12,6)+$B$4),BM86-$I86)))))</f>
        <v/>
      </c>
      <c r="BO86" s="68">
        <f>IF($U86=0,0,IF($F86=4,0,IF($F86=3,0,IF(OR(22&gt;$R86,BN86&lt;=$I86),BN86,BN86-MIN(INT(ROUND(IF($F86=1,$C86*$J86,IF(FM86&gt;0,FM86*$K86,BN86*$J86))*IF(22=$R86,$S86,12)/12,6)+$B$4),BN86-$I86)))))</f>
        <v/>
      </c>
      <c r="BP86" s="68">
        <f>IF($U86=0,0,IF($F86=4,0,IF($F86=3,0,IF(OR(23&gt;$R86,BO86&lt;=$I86),BO86,BO86-MIN(INT(ROUND(IF($F86=1,$C86*$J86,IF(FN86&gt;0,FN86*$K86,BO86*$J86))*IF(23=$R86,$S86,12)/12,6)+$B$4),BO86-$I86)))))</f>
        <v/>
      </c>
      <c r="BQ86" s="68">
        <f>IF($U86=0,0,IF($F86=4,0,IF($F86=3,0,IF(OR(24&gt;$R86,BP86&lt;=$I86),BP86,BP86-MIN(INT(ROUND(IF($F86=1,$C86*$J86,IF(FO86&gt;0,FO86*$K86,BP86*$J86))*IF(24=$R86,$S86,12)/12,6)+$B$4),BP86-$I86)))))</f>
        <v/>
      </c>
      <c r="BR86" s="68">
        <f>IF($U86=0,0,IF($F86=4,0,IF($F86=3,0,IF(OR(25&gt;$R86,BQ86&lt;=$I86),BQ86,BQ86-MIN(INT(ROUND(IF($F86=1,$C86*$J86,IF(FP86&gt;0,FP86*$K86,BQ86*$J86))*IF(25=$R86,$S86,12)/12,6)+$B$4),BQ86-$I86)))))</f>
        <v/>
      </c>
      <c r="BS86" s="68">
        <f>IF($U86=0,0,IF($F86=4,0,IF($F86=3,0,IF(OR(26&gt;$R86,BR86&lt;=$I86),BR86,BR86-MIN(INT(ROUND(IF($F86=1,$C86*$J86,IF(FQ86&gt;0,FQ86*$K86,BR86*$J86))*IF(26=$R86,$S86,12)/12,6)+$B$4),BR86-$I86)))))</f>
        <v/>
      </c>
      <c r="BT86" s="68">
        <f>IF($U86=0,0,IF($F86=4,0,IF($F86=3,0,IF(OR(27&gt;$R86,BS86&lt;=$I86),BS86,BS86-MIN(INT(ROUND(IF($F86=1,$C86*$J86,IF(FR86&gt;0,FR86*$K86,BS86*$J86))*IF(27=$R86,$S86,12)/12,6)+$B$4),BS86-$I86)))))</f>
        <v/>
      </c>
      <c r="BU86" s="68">
        <f>IF($U86=0,0,IF($F86=4,0,IF($F86=3,0,IF(OR(28&gt;$R86,BT86&lt;=$I86),BT86,BT86-MIN(INT(ROUND(IF($F86=1,$C86*$J86,IF(FS86&gt;0,FS86*$K86,BT86*$J86))*IF(28=$R86,$S86,12)/12,6)+$B$4),BT86-$I86)))))</f>
        <v/>
      </c>
      <c r="BV86" s="68">
        <f>IF($U86=0,0,IF($F86=4,0,IF($F86=3,0,IF(OR(29&gt;$R86,BU86&lt;=$I86),BU86,BU86-MIN(INT(ROUND(IF($F86=1,$C86*$J86,IF(FT86&gt;0,FT86*$K86,BU86*$J86))*IF(29=$R86,$S86,12)/12,6)+$B$4),BU86-$I86)))))</f>
        <v/>
      </c>
      <c r="BW86" s="68">
        <f>IF($U86=0,0,IF($F86=4,0,IF($F86=3,0,IF(OR(30&gt;$R86,BV86&lt;=$I86),BV86,BV86-MIN(INT(ROUND(IF($F86=1,$C86*$J86,IF(FU86&gt;0,FU86*$K86,BV86*$J86))*IF(30=$R86,$S86,12)/12,6)+$B$4),BV86-$I86)))))</f>
        <v/>
      </c>
      <c r="BX86" s="68">
        <f>IF($U86=0,0,IF($F86=4,0,IF($F86=3,0,IF(OR(31&gt;$R86,BW86&lt;=$I86),BW86,BW86-MIN(INT(ROUND(IF($F86=1,$C86*$J86,IF(FV86&gt;0,FV86*$K86,BW86*$J86))*IF(31=$R86,$S86,12)/12,6)+$B$4),BW86-$I86)))))</f>
        <v/>
      </c>
      <c r="BY86" s="68">
        <f>IF($U86=0,0,IF($F86=4,0,IF($F86=3,0,IF(OR(32&gt;$R86,BX86&lt;=$I86),BX86,BX86-MIN(INT(ROUND(IF($F86=1,$C86*$J86,IF(FW86&gt;0,FW86*$K86,BX86*$J86))*IF(32=$R86,$S86,12)/12,6)+$B$4),BX86-$I86)))))</f>
        <v/>
      </c>
      <c r="BZ86" s="68">
        <f>IF($U86=0,0,IF($F86=4,0,IF($F86=3,0,IF(OR(33&gt;$R86,BY86&lt;=$I86),BY86,BY86-MIN(INT(ROUND(IF($F86=1,$C86*$J86,IF(FX86&gt;0,FX86*$K86,BY86*$J86))*IF(33=$R86,$S86,12)/12,6)+$B$4),BY86-$I86)))))</f>
        <v/>
      </c>
      <c r="CA86" s="68">
        <f>IF($U86=0,0,IF($F86=4,0,IF($F86=3,0,IF(OR(34&gt;$R86,BZ86&lt;=$I86),BZ86,BZ86-MIN(INT(ROUND(IF($F86=1,$C86*$J86,IF(FY86&gt;0,FY86*$K86,BZ86*$J86))*IF(34=$R86,$S86,12)/12,6)+$B$4),BZ86-$I86)))))</f>
        <v/>
      </c>
      <c r="CB86" s="68">
        <f>IF($U86=0,0,IF($F86=4,0,IF($F86=3,0,IF(OR(35&gt;$R86,CA86&lt;=$I86),CA86,CA86-MIN(INT(ROUND(IF($F86=1,$C86*$J86,IF(FZ86&gt;0,FZ86*$K86,CA86*$J86))*IF(35=$R86,$S86,12)/12,6)+$B$4),CA86-$I86)))))</f>
        <v/>
      </c>
      <c r="CC86" s="68">
        <f>IF($U86=0,0,IF($F86=4,0,IF($F86=3,0,IF(OR(36&gt;$R86,CB86&lt;=$I86),CB86,CB86-MIN(INT(ROUND(IF($F86=1,$C86*$J86,IF(GA86&gt;0,GA86*$K86,CB86*$J86))*IF(36=$R86,$S86,12)/12,6)+$B$4),CB86-$I86)))))</f>
        <v/>
      </c>
      <c r="CD86" s="68">
        <f>IF($U86=0,0,IF($F86=4,0,IF($F86=3,0,IF(OR(37&gt;$R86,CC86&lt;=$I86),CC86,CC86-MIN(INT(ROUND(IF($F86=1,$C86*$J86,IF(GB86&gt;0,GB86*$K86,CC86*$J86))*IF(37=$R86,$S86,12)/12,6)+$B$4),CC86-$I86)))))</f>
        <v/>
      </c>
      <c r="CE86" s="68">
        <f>IF($U86=0,0,IF($F86=4,0,IF($F86=3,0,IF(OR(38&gt;$R86,CD86&lt;=$I86),CD86,CD86-MIN(INT(ROUND(IF($F86=1,$C86*$J86,IF(GC86&gt;0,GC86*$K86,CD86*$J86))*IF(38=$R86,$S86,12)/12,6)+$B$4),CD86-$I86)))))</f>
        <v/>
      </c>
      <c r="CF86" s="68">
        <f>IF($U86=0,0,IF($F86=4,0,IF($F86=3,0,IF(OR(39&gt;$R86,CE86&lt;=$I86),CE86,CE86-MIN(INT(ROUND(IF($F86=1,$C86*$J86,IF(GD86&gt;0,GD86*$K86,CE86*$J86))*IF(39=$R86,$S86,12)/12,6)+$B$4),CE86-$I86)))))</f>
        <v/>
      </c>
      <c r="CG86" s="68">
        <f>IF($U86=0,0,IF($F86=4,0,IF($F86=3,0,IF(OR(40&gt;$R86,CF86&lt;=$I86),CF86,CF86-MIN(INT(ROUND(IF($F86=1,$C86*$J86,IF(GE86&gt;0,GE86*$K86,CF86*$J86))*IF(40=$R86,$S86,12)/12,6)+$B$4),CF86-$I86)))))</f>
        <v/>
      </c>
      <c r="CH86" s="68">
        <f>IF($U86=0,0,IF($F86=4,0,IF($F86=3,0,IF(OR(41&gt;$R86,CG86&lt;=$I86),CG86,CG86-MIN(INT(ROUND(IF($F86=1,$C86*$J86,IF(GF86&gt;0,GF86*$K86,CG86*$J86))*IF(41=$R86,$S86,12)/12,6)+$B$4),CG86-$I86)))))</f>
        <v/>
      </c>
      <c r="CI86" s="68">
        <f>IF($U86=0,0,IF($F86=4,0,IF($F86=3,0,IF(OR(42&gt;$R86,CH86&lt;=$I86),CH86,CH86-MIN(INT(ROUND(IF($F86=1,$C86*$J86,IF(GG86&gt;0,GG86*$K86,CH86*$J86))*IF(42=$R86,$S86,12)/12,6)+$B$4),CH86-$I86)))))</f>
        <v/>
      </c>
      <c r="CJ86" s="68">
        <f>IF($U86=0,0,IF($F86=4,0,IF($F86=3,0,IF(OR(43&gt;$R86,CI86&lt;=$I86),CI86,CI86-MIN(INT(ROUND(IF($F86=1,$C86*$J86,IF(GH86&gt;0,GH86*$K86,CI86*$J86))*IF(43=$R86,$S86,12)/12,6)+$B$4),CI86-$I86)))))</f>
        <v/>
      </c>
      <c r="CK86" s="68">
        <f>IF($U86=0,0,IF($F86=4,0,IF($F86=3,0,IF(OR(44&gt;$R86,CJ86&lt;=$I86),CJ86,CJ86-MIN(INT(ROUND(IF($F86=1,$C86*$J86,IF(GI86&gt;0,GI86*$K86,CJ86*$J86))*IF(44=$R86,$S86,12)/12,6)+$B$4),CJ86-$I86)))))</f>
        <v/>
      </c>
      <c r="CL86" s="68">
        <f>IF($U86=0,0,IF($F86=4,0,IF($F86=3,0,IF(OR(45&gt;$R86,CK86&lt;=$I86),CK86,CK86-MIN(INT(ROUND(IF($F86=1,$C86*$J86,IF(GJ86&gt;0,GJ86*$K86,CK86*$J86))*IF(45=$R86,$S86,12)/12,6)+$B$4),CK86-$I86)))))</f>
        <v/>
      </c>
      <c r="CM86" s="68">
        <f>IF($U86=0,0,IF($F86=4,0,IF($F86=3,0,IF(OR(46&gt;$R86,CL86&lt;=$I86),CL86,CL86-MIN(INT(ROUND(IF($F86=1,$C86*$J86,IF(GK86&gt;0,GK86*$K86,CL86*$J86))*IF(46=$R86,$S86,12)/12,6)+$B$4),CL86-$I86)))))</f>
        <v/>
      </c>
      <c r="CN86" s="68">
        <f>IF($U86=0,0,IF($F86=4,0,IF($F86=3,0,IF(OR(47&gt;$R86,CM86&lt;=$I86),CM86,CM86-MIN(INT(ROUND(IF($F86=1,$C86*$J86,IF(GL86&gt;0,GL86*$K86,CM86*$J86))*IF(47=$R86,$S86,12)/12,6)+$B$4),CM86-$I86)))))</f>
        <v/>
      </c>
      <c r="CO86" s="68">
        <f>IF($U86=0,0,IF($F86=4,0,IF($F86=3,0,IF(OR(48&gt;$R86,CN86&lt;=$I86),CN86,CN86-MIN(INT(ROUND(IF($F86=1,$C86*$J86,IF(GM86&gt;0,GM86*$K86,CN86*$J86))*IF(48=$R86,$S86,12)/12,6)+$B$4),CN86-$I86)))))</f>
        <v/>
      </c>
      <c r="CP86" s="68">
        <f>IF($U86=0,0,IF($F86=4,0,IF($F86=3,0,IF(OR(49&gt;$R86,CO86&lt;=$I86),CO86,CO86-MIN(INT(ROUND(IF($F86=1,$C86*$J86,IF(GN86&gt;0,GN86*$K86,CO86*$J86))*IF(49=$R86,$S86,12)/12,6)+$B$4),CO86-$I86)))))</f>
        <v/>
      </c>
      <c r="CQ86" s="68">
        <f>IF($U86=0,0,IF($F86=4,0,IF($F86=3,0,IF(OR(50&gt;$R86,CP86&lt;=$I86),CP86,CP86-MIN(INT(ROUND(IF($F86=1,$C86*$J86,IF(GO86&gt;0,GO86*$K86,CP86*$J86))*IF(50=$R86,$S86,12)/12,6)+$B$4),CP86-$I86)))))</f>
        <v/>
      </c>
      <c r="CR86" s="68">
        <f>IF($U86=0,0,IF($F86=4,0,IF($F86=3,0,IF(OR(51&gt;$R86,CQ86&lt;=$I86),CQ86,CQ86-MIN(INT(ROUND(IF($F86=1,$C86*$J86,IF(GP86&gt;0,GP86*$K86,CQ86*$J86))*IF(51=$R86,$S86,12)/12,6)+$B$4),CQ86-$I86)))))</f>
        <v/>
      </c>
      <c r="CS86" s="68">
        <f>IF($U86=0,0,IF($F86=4,0,IF($F86=3,0,IF(OR(52&gt;$R86,CR86&lt;=$I86),CR86,CR86-MIN(INT(ROUND(IF($F86=1,$C86*$J86,IF(GQ86&gt;0,GQ86*$K86,CR86*$J86))*IF(52=$R86,$S86,12)/12,6)+$B$4),CR86-$I86)))))</f>
        <v/>
      </c>
      <c r="CT86" s="68">
        <f>IF($U86=0,0,IF($F86=4,0,IF($F86=3,0,IF(OR(53&gt;$R86,CS86&lt;=$I86),CS86,CS86-MIN(INT(ROUND(IF($F86=1,$C86*$J86,IF(GR86&gt;0,GR86*$K86,CS86*$J86))*IF(53=$R86,$S86,12)/12,6)+$B$4),CS86-$I86)))))</f>
        <v/>
      </c>
      <c r="CU86" s="68">
        <f>IF($U86=0,0,IF($F86=4,0,IF($F86=3,0,IF(OR(54&gt;$R86,CT86&lt;=$I86),CT86,CT86-MIN(INT(ROUND(IF($F86=1,$C86*$J86,IF(GS86&gt;0,GS86*$K86,CT86*$J86))*IF(54=$R86,$S86,12)/12,6)+$B$4),CT86-$I86)))))</f>
        <v/>
      </c>
      <c r="CV86" s="68">
        <f>IF($U86=0,0,IF($F86=4,0,IF($F86=3,0,IF(OR(55&gt;$R86,CU86&lt;=$I86),CU86,CU86-MIN(INT(ROUND(IF($F86=1,$C86*$J86,IF(GT86&gt;0,GT86*$K86,CU86*$J86))*IF(55=$R86,$S86,12)/12,6)+$B$4),CU86-$I86)))))</f>
        <v/>
      </c>
      <c r="CW86" s="68">
        <f>IF($U86=0,0,IF($F86=4,0,IF($F86=3,0,IF(OR(56&gt;$R86,CV86&lt;=$I86),CV86,CV86-MIN(INT(ROUND(IF($F86=1,$C86*$J86,IF(GU86&gt;0,GU86*$K86,CV86*$J86))*IF(56=$R86,$S86,12)/12,6)+$B$4),CV86-$I86)))))</f>
        <v/>
      </c>
      <c r="CX86" s="68">
        <f>IF($U86=0,0,IF($F86=4,0,IF($F86=3,0,IF(OR(57&gt;$R86,CW86&lt;=$I86),CW86,CW86-MIN(INT(ROUND(IF($F86=1,$C86*$J86,IF(GV86&gt;0,GV86*$K86,CW86*$J86))*IF(57=$R86,$S86,12)/12,6)+$B$4),CW86-$I86)))))</f>
        <v/>
      </c>
      <c r="CY86" s="68">
        <f>IF($U86=0,0,IF($F86=4,0,IF($F86=3,0,IF(OR(58&gt;$R86,CX86&lt;=$I86),CX86,CX86-MIN(INT(ROUND(IF($F86=1,$C86*$J86,IF(GW86&gt;0,GW86*$K86,CX86*$J86))*IF(58=$R86,$S86,12)/12,6)+$B$4),CX86-$I86)))))</f>
        <v/>
      </c>
      <c r="CZ86" s="68">
        <f>IF($U86=0,0,IF($F86=4,0,IF($F86=3,0,IF(OR(59&gt;$R86,CY86&lt;=$I86),CY86,CY86-MIN(INT(ROUND(IF($F86=1,$C86*$J86,IF(GX86&gt;0,GX86*$K86,CY86*$J86))*IF(59=$R86,$S86,12)/12,6)+$B$4),CY86-$I86)))))</f>
        <v/>
      </c>
      <c r="DA86" s="68">
        <f>IF($U86=0,0,IF($F86=4,0,IF($F86=3,0,IF(OR(60&gt;$R86,CZ86&lt;=$I86),CZ86,CZ86-MIN(INT(ROUND(IF($F86=1,$C86*$J86,IF(GY86&gt;0,GY86*$K86,CZ86*$J86))*IF(60=$R86,$S86,12)/12,6)+$B$4),CZ86-$I86)))))</f>
        <v/>
      </c>
      <c r="DB86" s="68">
        <f>IF($U86=0,0,IF($F86=4,0,IF($F86=3,0,IF(OR(61&gt;$R86,DA86&lt;=$I86),DA86,DA86-MIN(INT(ROUND(IF($F86=1,$C86*$J86,IF(GZ86&gt;0,GZ86*$K86,DA86*$J86))*IF(61=$R86,$S86,12)/12,6)+$B$4),DA86-$I86)))))</f>
        <v/>
      </c>
      <c r="DC86" s="68">
        <f>IF($U86=0,0,IF($F86=4,0,IF($F86=3,0,IF(OR(62&gt;$R86,DB86&lt;=$I86),DB86,DB86-MIN(INT(ROUND(IF($F86=1,$C86*$J86,IF(HA86&gt;0,HA86*$K86,DB86*$J86))*IF(62=$R86,$S86,12)/12,6)+$B$4),DB86-$I86)))))</f>
        <v/>
      </c>
      <c r="DD86" s="68">
        <f>IF($U86=0,0,IF($F86=4,0,IF($F86=3,0,IF(OR(63&gt;$R86,DC86&lt;=$I86),DC86,DC86-MIN(INT(ROUND(IF($F86=1,$C86*$J86,IF(HB86&gt;0,HB86*$K86,DC86*$J86))*IF(63=$R86,$S86,12)/12,6)+$B$4),DC86-$I86)))))</f>
        <v/>
      </c>
      <c r="DE86" s="68">
        <f>IF($U86=0,0,IF($F86=4,0,IF($F86=3,0,IF(OR(64&gt;$R86,DD86&lt;=$I86),DD86,DD86-MIN(INT(ROUND(IF($F86=1,$C86*$J86,IF(HC86&gt;0,HC86*$K86,DD86*$J86))*IF(64=$R86,$S86,12)/12,6)+$B$4),DD86-$I86)))))</f>
        <v/>
      </c>
      <c r="DF86" s="68">
        <f>IF($U86=0,0,IF($F86=4,0,IF($F86=3,0,IF(OR(65&gt;$R86,DE86&lt;=$I86),DE86,DE86-MIN(INT(ROUND(IF($F86=1,$C86*$J86,IF(HD86&gt;0,HD86*$K86,DE86*$J86))*IF(65=$R86,$S86,12)/12,6)+$B$4),DE86-$I86)))))</f>
        <v/>
      </c>
      <c r="DG86" s="68">
        <f>IF($U86=0,0,IF($F86=4,0,IF($F86=3,0,IF(OR(66&gt;$R86,DF86&lt;=$I86),DF86,DF86-MIN(INT(ROUND(IF($F86=1,$C86*$J86,IF(HE86&gt;0,HE86*$K86,DF86*$J86))*IF(66=$R86,$S86,12)/12,6)+$B$4),DF86-$I86)))))</f>
        <v/>
      </c>
      <c r="DH86" s="68">
        <f>IF($U86=0,0,IF($F86=4,0,IF($F86=3,0,IF(OR(67&gt;$R86,DG86&lt;=$I86),DG86,DG86-MIN(INT(ROUND(IF($F86=1,$C86*$J86,IF(HF86&gt;0,HF86*$K86,DG86*$J86))*IF(67=$R86,$S86,12)/12,6)+$B$4),DG86-$I86)))))</f>
        <v/>
      </c>
      <c r="DI86" s="68">
        <f>IF($U86=0,0,IF($F86=4,0,IF($F86=3,0,IF(OR(68&gt;$R86,DH86&lt;=$I86),DH86,DH86-MIN(INT(ROUND(IF($F86=1,$C86*$J86,IF(HG86&gt;0,HG86*$K86,DH86*$J86))*IF(68=$R86,$S86,12)/12,6)+$B$4),DH86-$I86)))))</f>
        <v/>
      </c>
      <c r="DJ86" s="68">
        <f>IF($U86=0,0,IF($F86=4,0,IF($F86=3,0,IF(OR(69&gt;$R86,DI86&lt;=$I86),DI86,DI86-MIN(INT(ROUND(IF($F86=1,$C86*$J86,IF(HH86&gt;0,HH86*$K86,DI86*$J86))*IF(69=$R86,$S86,12)/12,6)+$B$4),DI86-$I86)))))</f>
        <v/>
      </c>
      <c r="DK86" s="68">
        <f>IF($U86=0,0,IF($F86=4,0,IF($F86=3,0,IF(OR(70&gt;$R86,DJ86&lt;=$I86),DJ86,DJ86-MIN(INT(ROUND(IF($F86=1,$C86*$J86,IF(HI86&gt;0,HI86*$K86,DJ86*$J86))*IF(70=$R86,$S86,12)/12,6)+$B$4),DJ86-$I86)))))</f>
        <v/>
      </c>
      <c r="DL86" s="68">
        <f>IF($U86=0,0,IF($F86=4,0,IF($F86=3,0,IF(OR(71&gt;$R86,DK86&lt;=$I86),DK86,DK86-MIN(INT(ROUND(IF($F86=1,$C86*$J86,IF(HJ86&gt;0,HJ86*$K86,DK86*$J86))*IF(71=$R86,$S86,12)/12,6)+$B$4),DK86-$I86)))))</f>
        <v/>
      </c>
      <c r="DM86" s="68">
        <f>IF($U86=0,0,IF($F86=4,0,IF($F86=3,0,IF(OR(72&gt;$R86,DL86&lt;=$I86),DL86,DL86-MIN(INT(ROUND(IF($F86=1,$C86*$J86,IF(HK86&gt;0,HK86*$K86,DL86*$J86))*IF(72=$R86,$S86,12)/12,6)+$B$4),DL86-$I86)))))</f>
        <v/>
      </c>
      <c r="DN86" s="68">
        <f>IF($U86=0,0,IF($F86=4,0,IF($F86=3,0,IF(OR(73&gt;$R86,DM86&lt;=$I86),DM86,DM86-MIN(INT(ROUND(IF($F86=1,$C86*$J86,IF(HL86&gt;0,HL86*$K86,DM86*$J86))*IF(73=$R86,$S86,12)/12,6)+$B$4),DM86-$I86)))))</f>
        <v/>
      </c>
      <c r="DO86" s="68">
        <f>IF($U86=0,0,IF($F86=4,0,IF($F86=3,0,IF(OR(74&gt;$R86,DN86&lt;=$I86),DN86,DN86-MIN(INT(ROUND(IF($F86=1,$C86*$J86,IF(HM86&gt;0,HM86*$K86,DN86*$J86))*IF(74=$R86,$S86,12)/12,6)+$B$4),DN86-$I86)))))</f>
        <v/>
      </c>
      <c r="DP86" s="68">
        <f>IF($U86=0,0,IF($F86=4,0,IF($F86=3,0,IF(OR(75&gt;$R86,DO86&lt;=$I86),DO86,DO86-MIN(INT(ROUND(IF($F86=1,$C86*$J86,IF(HN86&gt;0,HN86*$K86,DO86*$J86))*IF(75=$R86,$S86,12)/12,6)+$B$4),DO86-$I86)))))</f>
        <v/>
      </c>
      <c r="DQ86" s="68">
        <f>IF($U86=0,0,IF($F86=4,0,IF($F86=3,0,IF(OR(76&gt;$R86,DP86&lt;=$I86),DP86,DP86-MIN(INT(ROUND(IF($F86=1,$C86*$J86,IF(HO86&gt;0,HO86*$K86,DP86*$J86))*IF(76=$R86,$S86,12)/12,6)+$B$4),DP86-$I86)))))</f>
        <v/>
      </c>
      <c r="DR86" s="68">
        <f>IF($U86=0,0,IF($F86=4,0,IF($F86=3,0,IF(OR(77&gt;$R86,DQ86&lt;=$I86),DQ86,DQ86-MIN(INT(ROUND(IF($F86=1,$C86*$J86,IF(HP86&gt;0,HP86*$K86,DQ86*$J86))*IF(77=$R86,$S86,12)/12,6)+$B$4),DQ86-$I86)))))</f>
        <v/>
      </c>
      <c r="DS86" s="68">
        <f>IF($U86=0,0,IF($F86=4,0,IF($F86=3,0,IF(OR(78&gt;$R86,DR86&lt;=$I86),DR86,DR86-MIN(INT(ROUND(IF($F86=1,$C86*$J86,IF(HQ86&gt;0,HQ86*$K86,DR86*$J86))*IF(78=$R86,$S86,12)/12,6)+$B$4),DR86-$I86)))))</f>
        <v/>
      </c>
      <c r="DT86" s="68">
        <f>IF($U86=0,0,IF($F86=4,0,IF($F86=3,0,IF(OR(79&gt;$R86,DS86&lt;=$I86),DS86,DS86-MIN(INT(ROUND(IF($F86=1,$C86*$J86,IF(HR86&gt;0,HR86*$K86,DS86*$J86))*IF(79=$R86,$S86,12)/12,6)+$B$4),DS86-$I86)))))</f>
        <v/>
      </c>
      <c r="DU86" s="68">
        <f>IF($U86=0,0,IF($F86=4,0,IF($F86=3,0,IF(OR(80&gt;$R86,DT86&lt;=$I86),DT86,DT86-MIN(INT(ROUND(IF($F86=1,$C86*$J86,IF(HS86&gt;0,HS86*$K86,DT86*$J86))*IF(80=$R86,$S86,12)/12,6)+$B$4),DT86-$I86)))))</f>
        <v/>
      </c>
      <c r="DV86" s="68">
        <f>IF($U86=0,0,IF($F86=4,0,IF($F86=3,0,IF(OR(81&gt;$R86,DU86&lt;=$I86),DU86,DU86-MIN(INT(ROUND(IF($F86=1,$C86*$J86,IF(HT86&gt;0,HT86*$K86,DU86*$J86))*IF(81=$R86,$S86,12)/12,6)+$B$4),DU86-$I86)))))</f>
        <v/>
      </c>
      <c r="DW86" s="68">
        <f>IF($U86=0,0,IF($F86=4,0,IF($F86=3,0,IF(OR(82&gt;$R86,DV86&lt;=$I86),DV86,DV86-MIN(INT(ROUND(IF($F86=1,$C86*$J86,IF(HU86&gt;0,HU86*$K86,DV86*$J86))*IF(82=$R86,$S86,12)/12,6)+$B$4),DV86-$I86)))))</f>
        <v/>
      </c>
      <c r="DX86" s="68">
        <f>IF($U86=0,0,IF($F86=4,0,IF($F86=3,0,IF(OR(83&gt;$R86,DW86&lt;=$I86),DW86,DW86-MIN(INT(ROUND(IF($F86=1,$C86*$J86,IF(HV86&gt;0,HV86*$K86,DW86*$J86))*IF(83=$R86,$S86,12)/12,6)+$B$4),DW86-$I86)))))</f>
        <v/>
      </c>
      <c r="DY86" s="68">
        <f>IF($U86=0,0,IF($F86=4,0,IF($F86=3,0,IF(OR(84&gt;$R86,DX86&lt;=$I86),DX86,DX86-MIN(INT(ROUND(IF($F86=1,$C86*$J86,IF(HW86&gt;0,HW86*$K86,DX86*$J86))*IF(84=$R86,$S86,12)/12,6)+$B$4),DX86-$I86)))))</f>
        <v/>
      </c>
      <c r="DZ86" s="68">
        <f>IF($U86=0,0,IF($F86=4,0,IF($F86=3,0,IF(OR(85&gt;$R86,DY86&lt;=$I86),DY86,DY86-MIN(INT(ROUND(IF($F86=1,$C86*$J86,IF(HX86&gt;0,HX86*$K86,DY86*$J86))*IF(85=$R86,$S86,12)/12,6)+$B$4),DY86-$I86)))))</f>
        <v/>
      </c>
      <c r="EA86" s="68">
        <f>IF($U86=0,0,IF($F86=4,0,IF($F86=3,0,IF(OR(86&gt;$R86,DZ86&lt;=$I86),DZ86,DZ86-MIN(INT(ROUND(IF($F86=1,$C86*$J86,IF(HY86&gt;0,HY86*$K86,DZ86*$J86))*IF(86=$R86,$S86,12)/12,6)+$B$4),DZ86-$I86)))))</f>
        <v/>
      </c>
      <c r="EB86" s="68">
        <f>IF($U86=0,0,IF($F86=4,0,IF($F86=3,0,IF(OR(87&gt;$R86,EA86&lt;=$I86),EA86,EA86-MIN(INT(ROUND(IF($F86=1,$C86*$J86,IF(HZ86&gt;0,HZ86*$K86,EA86*$J86))*IF(87=$R86,$S86,12)/12,6)+$B$4),EA86-$I86)))))</f>
        <v/>
      </c>
      <c r="EC86" s="68">
        <f>IF($U86=0,0,IF($F86=4,0,IF($F86=3,0,IF(OR(88&gt;$R86,EB86&lt;=$I86),EB86,EB86-MIN(INT(ROUND(IF($F86=1,$C86*$J86,IF(IA86&gt;0,IA86*$K86,EB86*$J86))*IF(88=$R86,$S86,12)/12,6)+$B$4),EB86-$I86)))))</f>
        <v/>
      </c>
      <c r="ED86" s="68">
        <f>IF($U86=0,0,IF($F86=4,0,IF($F86=3,0,IF(OR(89&gt;$R86,EC86&lt;=$I86),EC86,EC86-MIN(INT(ROUND(IF($F86=1,$C86*$J86,IF(IB86&gt;0,IB86*$K86,EC86*$J86))*IF(89=$R86,$S86,12)/12,6)+$B$4),EC86-$I86)))))</f>
        <v/>
      </c>
      <c r="EE86" s="68">
        <f>IF($U86=0,0,IF($F86=4,0,IF($F86=3,0,IF(OR(90&gt;$R86,ED86&lt;=$I86),ED86,ED86-MIN(INT(ROUND(IF($F86=1,$C86*$J86,IF(IC86&gt;0,IC86*$K86,ED86*$J86))*IF(90=$R86,$S86,12)/12,6)+$B$4),ED86-$I86)))))</f>
        <v/>
      </c>
      <c r="EF86" s="68">
        <f>IF($U86=0,0,IF($F86=4,0,IF($F86=3,0,IF(OR(91&gt;$R86,EE86&lt;=$I86),EE86,EE86-MIN(INT(ROUND(IF($F86=1,$C86*$J86,IF(ID86&gt;0,ID86*$K86,EE86*$J86))*IF(91=$R86,$S86,12)/12,6)+$B$4),EE86-$I86)))))</f>
        <v/>
      </c>
      <c r="EG86" s="68">
        <f>IF($U86=0,0,IF($F86=4,0,IF($F86=3,0,IF(OR(92&gt;$R86,EF86&lt;=$I86),EF86,EF86-MIN(INT(ROUND(IF($F86=1,$C86*$J86,IF(IE86&gt;0,IE86*$K86,EF86*$J86))*IF(92=$R86,$S86,12)/12,6)+$B$4),EF86-$I86)))))</f>
        <v/>
      </c>
      <c r="EH86" s="68">
        <f>IF($U86=0,0,IF($F86=4,0,IF($F86=3,0,IF(OR(93&gt;$R86,EG86&lt;=$I86),EG86,EG86-MIN(INT(ROUND(IF($F86=1,$C86*$J86,IF(IF86&gt;0,IF86*$K86,EG86*$J86))*IF(93=$R86,$S86,12)/12,6)+$B$4),EG86-$I86)))))</f>
        <v/>
      </c>
      <c r="EI86" s="68">
        <f>IF($U86=0,0,IF($F86=4,0,IF($F86=3,0,IF(OR(94&gt;$R86,EH86&lt;=$I86),EH86,EH86-MIN(INT(ROUND(IF($F86=1,$C86*$J86,IF(IG86&gt;0,IG86*$K86,EH86*$J86))*IF(94=$R86,$S86,12)/12,6)+$B$4),EH86-$I86)))))</f>
        <v/>
      </c>
      <c r="EJ86" s="68">
        <f>IF($U86=0,0,IF($F86=4,0,IF($F86=3,0,IF(OR(95&gt;$R86,EI86&lt;=$I86),EI86,EI86-MIN(INT(ROUND(IF($F86=1,$C86*$J86,IF(IH86&gt;0,IH86*$K86,EI86*$J86))*IF(95=$R86,$S86,12)/12,6)+$B$4),EI86-$I86)))))</f>
        <v/>
      </c>
      <c r="EK86" s="68">
        <f>IF($U86=0,0,IF($F86=4,0,IF($F86=3,0,IF(OR(96&gt;$R86,EJ86&lt;=$I86),EJ86,EJ86-MIN(INT(ROUND(IF($F86=1,$C86*$J86,IF(II86&gt;0,II86*$K86,EJ86*$J86))*IF(96=$R86,$S86,12)/12,6)+$B$4),EJ86-$I86)))))</f>
        <v/>
      </c>
      <c r="EL86" s="68">
        <f>IF($U86=0,0,IF($F86=4,0,IF($F86=3,0,IF(OR(97&gt;$R86,EK86&lt;=$I86),EK86,EK86-MIN(INT(ROUND(IF($F86=1,$C86*$J86,IF(IJ86&gt;0,IJ86*$K86,EK86*$J86))*IF(97=$R86,$S86,12)/12,6)+$B$4),EK86-$I86)))))</f>
        <v/>
      </c>
      <c r="EM86" s="68">
        <f>IF($U86=0,0,IF($F86=4,0,IF($F86=3,0,IF(OR(98&gt;$R86,EL86&lt;=$I86),EL86,EL86-MIN(INT(ROUND(IF($F86=1,$C86*$J86,IF(IK86&gt;0,IK86*$K86,EL86*$J86))*IF(98=$R86,$S86,12)/12,6)+$B$4),EL86-$I86)))))</f>
        <v/>
      </c>
      <c r="EN86" s="68">
        <f>IF($U86=0,0,IF($F86=4,0,IF($F86=3,0,IF(OR(99&gt;$R86,EM86&lt;=$I86),EM86,EM86-MIN(INT(ROUND(IF($F86=1,$C86*$J86,IF(IL86&gt;0,IL86*$K86,EM86*$J86))*IF(99=$R86,$S86,12)/12,6)+$B$4),EM86-$I86)))))</f>
        <v/>
      </c>
      <c r="EO86" s="68">
        <f>IF($U86=0,0,IF($F86=4,0,IF($F86=3,0,IF(OR(100&gt;$R86,EN86&lt;=$I86),EN86,EN86-MIN(INT(ROUND(IF($F86=1,$C86*$J86,IF(IM86&gt;0,IM86*$K86,EN86*$J86))*IF(100=$R86,$S86,12)/12,6)+$B$4),EN86-$I86)))))</f>
        <v/>
      </c>
      <c r="EP86" s="68">
        <f>IF($U86=0,0,IF($F86=4,0,IF($F86=3,0,IF(OR(101&gt;$R86,EO86&lt;=$I86),EO86,EO86-MIN(INT(ROUND(IF($F86=1,$C86*$J86,IF(IN86&gt;0,IN86*$K86,EO86*$J86))*IF(101=$R86,$S86,12)/12,6)+$B$4),EO86-$I86)))))</f>
        <v/>
      </c>
      <c r="EQ86" s="68" t="n"/>
      <c r="ER86" s="68">
        <f>IF(OR($U86=0,$F86&lt;&gt;2),0,IF(ROUND(AS86*$J86,6)&lt;ROUND($M86,6),AS86,0))</f>
        <v/>
      </c>
      <c r="ES86" s="68">
        <f>IF(OR($U86=0,$F86&lt;&gt;2),0,IF(ER86&gt;0,ER86,IF(ROUND(AT86*$J86,6)&lt;ROUND($M86,6),AT86,0)))</f>
        <v/>
      </c>
      <c r="ET86" s="68">
        <f>IF(OR($U86=0,$F86&lt;&gt;2),0,IF(ES86&gt;0,ES86,IF(ROUND(AU86*$J86,6)&lt;ROUND($M86,6),AU86,0)))</f>
        <v/>
      </c>
      <c r="EU86" s="68">
        <f>IF(OR($U86=0,$F86&lt;&gt;2),0,IF(ET86&gt;0,ET86,IF(ROUND(AV86*$J86,6)&lt;ROUND($M86,6),AV86,0)))</f>
        <v/>
      </c>
      <c r="EV86" s="68">
        <f>IF(OR($U86=0,$F86&lt;&gt;2),0,IF(EU86&gt;0,EU86,IF(ROUND(AW86*$J86,6)&lt;ROUND($M86,6),AW86,0)))</f>
        <v/>
      </c>
      <c r="EW86" s="68">
        <f>IF(OR($U86=0,$F86&lt;&gt;2),0,IF(EV86&gt;0,EV86,IF(ROUND(AX86*$J86,6)&lt;ROUND($M86,6),AX86,0)))</f>
        <v/>
      </c>
      <c r="EX86" s="68">
        <f>IF(OR($U86=0,$F86&lt;&gt;2),0,IF(EW86&gt;0,EW86,IF(ROUND(AY86*$J86,6)&lt;ROUND($M86,6),AY86,0)))</f>
        <v/>
      </c>
      <c r="EY86" s="68">
        <f>IF(OR($U86=0,$F86&lt;&gt;2),0,IF(EX86&gt;0,EX86,IF(ROUND(AZ86*$J86,6)&lt;ROUND($M86,6),AZ86,0)))</f>
        <v/>
      </c>
      <c r="EZ86" s="68">
        <f>IF(OR($U86=0,$F86&lt;&gt;2),0,IF(EY86&gt;0,EY86,IF(ROUND(BA86*$J86,6)&lt;ROUND($M86,6),BA86,0)))</f>
        <v/>
      </c>
      <c r="FA86" s="68">
        <f>IF(OR($U86=0,$F86&lt;&gt;2),0,IF(EZ86&gt;0,EZ86,IF(ROUND(BB86*$J86,6)&lt;ROUND($M86,6),BB86,0)))</f>
        <v/>
      </c>
      <c r="FB86" s="68">
        <f>IF(OR($U86=0,$F86&lt;&gt;2),0,IF(FA86&gt;0,FA86,IF(ROUND(BC86*$J86,6)&lt;ROUND($M86,6),BC86,0)))</f>
        <v/>
      </c>
      <c r="FC86" s="68">
        <f>IF(OR($U86=0,$F86&lt;&gt;2),0,IF(FB86&gt;0,FB86,IF(ROUND(BD86*$J86,6)&lt;ROUND($M86,6),BD86,0)))</f>
        <v/>
      </c>
      <c r="FD86" s="68">
        <f>IF(OR($U86=0,$F86&lt;&gt;2),0,IF(FC86&gt;0,FC86,IF(ROUND(BE86*$J86,6)&lt;ROUND($M86,6),BE86,0)))</f>
        <v/>
      </c>
      <c r="FE86" s="68">
        <f>IF(OR($U86=0,$F86&lt;&gt;2),0,IF(FD86&gt;0,FD86,IF(ROUND(BF86*$J86,6)&lt;ROUND($M86,6),BF86,0)))</f>
        <v/>
      </c>
      <c r="FF86" s="68">
        <f>IF(OR($U86=0,$F86&lt;&gt;2),0,IF(FE86&gt;0,FE86,IF(ROUND(BG86*$J86,6)&lt;ROUND($M86,6),BG86,0)))</f>
        <v/>
      </c>
      <c r="FG86" s="68">
        <f>IF(OR($U86=0,$F86&lt;&gt;2),0,IF(FF86&gt;0,FF86,IF(ROUND(BH86*$J86,6)&lt;ROUND($M86,6),BH86,0)))</f>
        <v/>
      </c>
      <c r="FH86" s="68">
        <f>IF(OR($U86=0,$F86&lt;&gt;2),0,IF(FG86&gt;0,FG86,IF(ROUND(BI86*$J86,6)&lt;ROUND($M86,6),BI86,0)))</f>
        <v/>
      </c>
      <c r="FI86" s="68">
        <f>IF(OR($U86=0,$F86&lt;&gt;2),0,IF(FH86&gt;0,FH86,IF(ROUND(BJ86*$J86,6)&lt;ROUND($M86,6),BJ86,0)))</f>
        <v/>
      </c>
      <c r="FJ86" s="68">
        <f>IF(OR($U86=0,$F86&lt;&gt;2),0,IF(FI86&gt;0,FI86,IF(ROUND(BK86*$J86,6)&lt;ROUND($M86,6),BK86,0)))</f>
        <v/>
      </c>
      <c r="FK86" s="68">
        <f>IF(OR($U86=0,$F86&lt;&gt;2),0,IF(FJ86&gt;0,FJ86,IF(ROUND(BL86*$J86,6)&lt;ROUND($M86,6),BL86,0)))</f>
        <v/>
      </c>
      <c r="FL86" s="68">
        <f>IF(OR($U86=0,$F86&lt;&gt;2),0,IF(FK86&gt;0,FK86,IF(ROUND(BM86*$J86,6)&lt;ROUND($M86,6),BM86,0)))</f>
        <v/>
      </c>
      <c r="FM86" s="68">
        <f>IF(OR($U86=0,$F86&lt;&gt;2),0,IF(FL86&gt;0,FL86,IF(ROUND(BN86*$J86,6)&lt;ROUND($M86,6),BN86,0)))</f>
        <v/>
      </c>
      <c r="FN86" s="68">
        <f>IF(OR($U86=0,$F86&lt;&gt;2),0,IF(FM86&gt;0,FM86,IF(ROUND(BO86*$J86,6)&lt;ROUND($M86,6),BO86,0)))</f>
        <v/>
      </c>
      <c r="FO86" s="68">
        <f>IF(OR($U86=0,$F86&lt;&gt;2),0,IF(FN86&gt;0,FN86,IF(ROUND(BP86*$J86,6)&lt;ROUND($M86,6),BP86,0)))</f>
        <v/>
      </c>
      <c r="FP86" s="68">
        <f>IF(OR($U86=0,$F86&lt;&gt;2),0,IF(FO86&gt;0,FO86,IF(ROUND(BQ86*$J86,6)&lt;ROUND($M86,6),BQ86,0)))</f>
        <v/>
      </c>
      <c r="FQ86" s="68">
        <f>IF(OR($U86=0,$F86&lt;&gt;2),0,IF(FP86&gt;0,FP86,IF(ROUND(BR86*$J86,6)&lt;ROUND($M86,6),BR86,0)))</f>
        <v/>
      </c>
      <c r="FR86" s="68">
        <f>IF(OR($U86=0,$F86&lt;&gt;2),0,IF(FQ86&gt;0,FQ86,IF(ROUND(BS86*$J86,6)&lt;ROUND($M86,6),BS86,0)))</f>
        <v/>
      </c>
      <c r="FS86" s="68">
        <f>IF(OR($U86=0,$F86&lt;&gt;2),0,IF(FR86&gt;0,FR86,IF(ROUND(BT86*$J86,6)&lt;ROUND($M86,6),BT86,0)))</f>
        <v/>
      </c>
      <c r="FT86" s="68">
        <f>IF(OR($U86=0,$F86&lt;&gt;2),0,IF(FS86&gt;0,FS86,IF(ROUND(BU86*$J86,6)&lt;ROUND($M86,6),BU86,0)))</f>
        <v/>
      </c>
      <c r="FU86" s="68">
        <f>IF(OR($U86=0,$F86&lt;&gt;2),0,IF(FT86&gt;0,FT86,IF(ROUND(BV86*$J86,6)&lt;ROUND($M86,6),BV86,0)))</f>
        <v/>
      </c>
      <c r="FV86" s="68">
        <f>IF(OR($U86=0,$F86&lt;&gt;2),0,IF(FU86&gt;0,FU86,IF(ROUND(BW86*$J86,6)&lt;ROUND($M86,6),BW86,0)))</f>
        <v/>
      </c>
      <c r="FW86" s="68">
        <f>IF(OR($U86=0,$F86&lt;&gt;2),0,IF(FV86&gt;0,FV86,IF(ROUND(BX86*$J86,6)&lt;ROUND($M86,6),BX86,0)))</f>
        <v/>
      </c>
      <c r="FX86" s="68">
        <f>IF(OR($U86=0,$F86&lt;&gt;2),0,IF(FW86&gt;0,FW86,IF(ROUND(BY86*$J86,6)&lt;ROUND($M86,6),BY86,0)))</f>
        <v/>
      </c>
      <c r="FY86" s="68">
        <f>IF(OR($U86=0,$F86&lt;&gt;2),0,IF(FX86&gt;0,FX86,IF(ROUND(BZ86*$J86,6)&lt;ROUND($M86,6),BZ86,0)))</f>
        <v/>
      </c>
      <c r="FZ86" s="68">
        <f>IF(OR($U86=0,$F86&lt;&gt;2),0,IF(FY86&gt;0,FY86,IF(ROUND(CA86*$J86,6)&lt;ROUND($M86,6),CA86,0)))</f>
        <v/>
      </c>
      <c r="GA86" s="68">
        <f>IF(OR($U86=0,$F86&lt;&gt;2),0,IF(FZ86&gt;0,FZ86,IF(ROUND(CB86*$J86,6)&lt;ROUND($M86,6),CB86,0)))</f>
        <v/>
      </c>
      <c r="GB86" s="68">
        <f>IF(OR($U86=0,$F86&lt;&gt;2),0,IF(GA86&gt;0,GA86,IF(ROUND(CC86*$J86,6)&lt;ROUND($M86,6),CC86,0)))</f>
        <v/>
      </c>
      <c r="GC86" s="68">
        <f>IF(OR($U86=0,$F86&lt;&gt;2),0,IF(GB86&gt;0,GB86,IF(ROUND(CD86*$J86,6)&lt;ROUND($M86,6),CD86,0)))</f>
        <v/>
      </c>
      <c r="GD86" s="68">
        <f>IF(OR($U86=0,$F86&lt;&gt;2),0,IF(GC86&gt;0,GC86,IF(ROUND(CE86*$J86,6)&lt;ROUND($M86,6),CE86,0)))</f>
        <v/>
      </c>
      <c r="GE86" s="68">
        <f>IF(OR($U86=0,$F86&lt;&gt;2),0,IF(GD86&gt;0,GD86,IF(ROUND(CF86*$J86,6)&lt;ROUND($M86,6),CF86,0)))</f>
        <v/>
      </c>
      <c r="GF86" s="68">
        <f>IF(OR($U86=0,$F86&lt;&gt;2),0,IF(GE86&gt;0,GE86,IF(ROUND(CG86*$J86,6)&lt;ROUND($M86,6),CG86,0)))</f>
        <v/>
      </c>
      <c r="GG86" s="68">
        <f>IF(OR($U86=0,$F86&lt;&gt;2),0,IF(GF86&gt;0,GF86,IF(ROUND(CH86*$J86,6)&lt;ROUND($M86,6),CH86,0)))</f>
        <v/>
      </c>
      <c r="GH86" s="68">
        <f>IF(OR($U86=0,$F86&lt;&gt;2),0,IF(GG86&gt;0,GG86,IF(ROUND(CI86*$J86,6)&lt;ROUND($M86,6),CI86,0)))</f>
        <v/>
      </c>
      <c r="GI86" s="68">
        <f>IF(OR($U86=0,$F86&lt;&gt;2),0,IF(GH86&gt;0,GH86,IF(ROUND(CJ86*$J86,6)&lt;ROUND($M86,6),CJ86,0)))</f>
        <v/>
      </c>
      <c r="GJ86" s="68">
        <f>IF(OR($U86=0,$F86&lt;&gt;2),0,IF(GI86&gt;0,GI86,IF(ROUND(CK86*$J86,6)&lt;ROUND($M86,6),CK86,0)))</f>
        <v/>
      </c>
      <c r="GK86" s="68">
        <f>IF(OR($U86=0,$F86&lt;&gt;2),0,IF(GJ86&gt;0,GJ86,IF(ROUND(CL86*$J86,6)&lt;ROUND($M86,6),CL86,0)))</f>
        <v/>
      </c>
      <c r="GL86" s="68">
        <f>IF(OR($U86=0,$F86&lt;&gt;2),0,IF(GK86&gt;0,GK86,IF(ROUND(CM86*$J86,6)&lt;ROUND($M86,6),CM86,0)))</f>
        <v/>
      </c>
      <c r="GM86" s="68">
        <f>IF(OR($U86=0,$F86&lt;&gt;2),0,IF(GL86&gt;0,GL86,IF(ROUND(CN86*$J86,6)&lt;ROUND($M86,6),CN86,0)))</f>
        <v/>
      </c>
      <c r="GN86" s="68">
        <f>IF(OR($U86=0,$F86&lt;&gt;2),0,IF(GM86&gt;0,GM86,IF(ROUND(CO86*$J86,6)&lt;ROUND($M86,6),CO86,0)))</f>
        <v/>
      </c>
      <c r="GO86" s="68">
        <f>IF(OR($U86=0,$F86&lt;&gt;2),0,IF(GN86&gt;0,GN86,IF(ROUND(CP86*$J86,6)&lt;ROUND($M86,6),CP86,0)))</f>
        <v/>
      </c>
      <c r="GP86" s="68">
        <f>IF(OR($U86=0,$F86&lt;&gt;2),0,IF(GO86&gt;0,GO86,IF(ROUND(CQ86*$J86,6)&lt;ROUND($M86,6),CQ86,0)))</f>
        <v/>
      </c>
      <c r="GQ86" s="68">
        <f>IF(OR($U86=0,$F86&lt;&gt;2),0,IF(GP86&gt;0,GP86,IF(ROUND(CR86*$J86,6)&lt;ROUND($M86,6),CR86,0)))</f>
        <v/>
      </c>
      <c r="GR86" s="68">
        <f>IF(OR($U86=0,$F86&lt;&gt;2),0,IF(GQ86&gt;0,GQ86,IF(ROUND(CS86*$J86,6)&lt;ROUND($M86,6),CS86,0)))</f>
        <v/>
      </c>
      <c r="GS86" s="68">
        <f>IF(OR($U86=0,$F86&lt;&gt;2),0,IF(GR86&gt;0,GR86,IF(ROUND(CT86*$J86,6)&lt;ROUND($M86,6),CT86,0)))</f>
        <v/>
      </c>
      <c r="GT86" s="68">
        <f>IF(OR($U86=0,$F86&lt;&gt;2),0,IF(GS86&gt;0,GS86,IF(ROUND(CU86*$J86,6)&lt;ROUND($M86,6),CU86,0)))</f>
        <v/>
      </c>
      <c r="GU86" s="68">
        <f>IF(OR($U86=0,$F86&lt;&gt;2),0,IF(GT86&gt;0,GT86,IF(ROUND(CV86*$J86,6)&lt;ROUND($M86,6),CV86,0)))</f>
        <v/>
      </c>
      <c r="GV86" s="68">
        <f>IF(OR($U86=0,$F86&lt;&gt;2),0,IF(GU86&gt;0,GU86,IF(ROUND(CW86*$J86,6)&lt;ROUND($M86,6),CW86,0)))</f>
        <v/>
      </c>
      <c r="GW86" s="68">
        <f>IF(OR($U86=0,$F86&lt;&gt;2),0,IF(GV86&gt;0,GV86,IF(ROUND(CX86*$J86,6)&lt;ROUND($M86,6),CX86,0)))</f>
        <v/>
      </c>
      <c r="GX86" s="68">
        <f>IF(OR($U86=0,$F86&lt;&gt;2),0,IF(GW86&gt;0,GW86,IF(ROUND(CY86*$J86,6)&lt;ROUND($M86,6),CY86,0)))</f>
        <v/>
      </c>
      <c r="GY86" s="68">
        <f>IF(OR($U86=0,$F86&lt;&gt;2),0,IF(GX86&gt;0,GX86,IF(ROUND(CZ86*$J86,6)&lt;ROUND($M86,6),CZ86,0)))</f>
        <v/>
      </c>
      <c r="GZ86" s="68">
        <f>IF(OR($U86=0,$F86&lt;&gt;2),0,IF(GY86&gt;0,GY86,IF(ROUND(DA86*$J86,6)&lt;ROUND($M86,6),DA86,0)))</f>
        <v/>
      </c>
      <c r="HA86" s="68">
        <f>IF(OR($U86=0,$F86&lt;&gt;2),0,IF(GZ86&gt;0,GZ86,IF(ROUND(DB86*$J86,6)&lt;ROUND($M86,6),DB86,0)))</f>
        <v/>
      </c>
      <c r="HB86" s="68">
        <f>IF(OR($U86=0,$F86&lt;&gt;2),0,IF(HA86&gt;0,HA86,IF(ROUND(DC86*$J86,6)&lt;ROUND($M86,6),DC86,0)))</f>
        <v/>
      </c>
      <c r="HC86" s="68">
        <f>IF(OR($U86=0,$F86&lt;&gt;2),0,IF(HB86&gt;0,HB86,IF(ROUND(DD86*$J86,6)&lt;ROUND($M86,6),DD86,0)))</f>
        <v/>
      </c>
      <c r="HD86" s="68">
        <f>IF(OR($U86=0,$F86&lt;&gt;2),0,IF(HC86&gt;0,HC86,IF(ROUND(DE86*$J86,6)&lt;ROUND($M86,6),DE86,0)))</f>
        <v/>
      </c>
      <c r="HE86" s="68">
        <f>IF(OR($U86=0,$F86&lt;&gt;2),0,IF(HD86&gt;0,HD86,IF(ROUND(DF86*$J86,6)&lt;ROUND($M86,6),DF86,0)))</f>
        <v/>
      </c>
      <c r="HF86" s="68">
        <f>IF(OR($U86=0,$F86&lt;&gt;2),0,IF(HE86&gt;0,HE86,IF(ROUND(DG86*$J86,6)&lt;ROUND($M86,6),DG86,0)))</f>
        <v/>
      </c>
      <c r="HG86" s="68">
        <f>IF(OR($U86=0,$F86&lt;&gt;2),0,IF(HF86&gt;0,HF86,IF(ROUND(DH86*$J86,6)&lt;ROUND($M86,6),DH86,0)))</f>
        <v/>
      </c>
      <c r="HH86" s="68">
        <f>IF(OR($U86=0,$F86&lt;&gt;2),0,IF(HG86&gt;0,HG86,IF(ROUND(DI86*$J86,6)&lt;ROUND($M86,6),DI86,0)))</f>
        <v/>
      </c>
      <c r="HI86" s="68">
        <f>IF(OR($U86=0,$F86&lt;&gt;2),0,IF(HH86&gt;0,HH86,IF(ROUND(DJ86*$J86,6)&lt;ROUND($M86,6),DJ86,0)))</f>
        <v/>
      </c>
      <c r="HJ86" s="68">
        <f>IF(OR($U86=0,$F86&lt;&gt;2),0,IF(HI86&gt;0,HI86,IF(ROUND(DK86*$J86,6)&lt;ROUND($M86,6),DK86,0)))</f>
        <v/>
      </c>
      <c r="HK86" s="68">
        <f>IF(OR($U86=0,$F86&lt;&gt;2),0,IF(HJ86&gt;0,HJ86,IF(ROUND(DL86*$J86,6)&lt;ROUND($M86,6),DL86,0)))</f>
        <v/>
      </c>
      <c r="HL86" s="68">
        <f>IF(OR($U86=0,$F86&lt;&gt;2),0,IF(HK86&gt;0,HK86,IF(ROUND(DM86*$J86,6)&lt;ROUND($M86,6),DM86,0)))</f>
        <v/>
      </c>
      <c r="HM86" s="68">
        <f>IF(OR($U86=0,$F86&lt;&gt;2),0,IF(HL86&gt;0,HL86,IF(ROUND(DN86*$J86,6)&lt;ROUND($M86,6),DN86,0)))</f>
        <v/>
      </c>
      <c r="HN86" s="68">
        <f>IF(OR($U86=0,$F86&lt;&gt;2),0,IF(HM86&gt;0,HM86,IF(ROUND(DO86*$J86,6)&lt;ROUND($M86,6),DO86,0)))</f>
        <v/>
      </c>
      <c r="HO86" s="68">
        <f>IF(OR($U86=0,$F86&lt;&gt;2),0,IF(HN86&gt;0,HN86,IF(ROUND(DP86*$J86,6)&lt;ROUND($M86,6),DP86,0)))</f>
        <v/>
      </c>
      <c r="HP86" s="68">
        <f>IF(OR($U86=0,$F86&lt;&gt;2),0,IF(HO86&gt;0,HO86,IF(ROUND(DQ86*$J86,6)&lt;ROUND($M86,6),DQ86,0)))</f>
        <v/>
      </c>
      <c r="HQ86" s="68">
        <f>IF(OR($U86=0,$F86&lt;&gt;2),0,IF(HP86&gt;0,HP86,IF(ROUND(DR86*$J86,6)&lt;ROUND($M86,6),DR86,0)))</f>
        <v/>
      </c>
      <c r="HR86" s="68">
        <f>IF(OR($U86=0,$F86&lt;&gt;2),0,IF(HQ86&gt;0,HQ86,IF(ROUND(DS86*$J86,6)&lt;ROUND($M86,6),DS86,0)))</f>
        <v/>
      </c>
      <c r="HS86" s="68">
        <f>IF(OR($U86=0,$F86&lt;&gt;2),0,IF(HR86&gt;0,HR86,IF(ROUND(DT86*$J86,6)&lt;ROUND($M86,6),DT86,0)))</f>
        <v/>
      </c>
      <c r="HT86" s="68">
        <f>IF(OR($U86=0,$F86&lt;&gt;2),0,IF(HS86&gt;0,HS86,IF(ROUND(DU86*$J86,6)&lt;ROUND($M86,6),DU86,0)))</f>
        <v/>
      </c>
      <c r="HU86" s="68">
        <f>IF(OR($U86=0,$F86&lt;&gt;2),0,IF(HT86&gt;0,HT86,IF(ROUND(DV86*$J86,6)&lt;ROUND($M86,6),DV86,0)))</f>
        <v/>
      </c>
      <c r="HV86" s="68">
        <f>IF(OR($U86=0,$F86&lt;&gt;2),0,IF(HU86&gt;0,HU86,IF(ROUND(DW86*$J86,6)&lt;ROUND($M86,6),DW86,0)))</f>
        <v/>
      </c>
      <c r="HW86" s="68">
        <f>IF(OR($U86=0,$F86&lt;&gt;2),0,IF(HV86&gt;0,HV86,IF(ROUND(DX86*$J86,6)&lt;ROUND($M86,6),DX86,0)))</f>
        <v/>
      </c>
      <c r="HX86" s="68">
        <f>IF(OR($U86=0,$F86&lt;&gt;2),0,IF(HW86&gt;0,HW86,IF(ROUND(DY86*$J86,6)&lt;ROUND($M86,6),DY86,0)))</f>
        <v/>
      </c>
      <c r="HY86" s="68">
        <f>IF(OR($U86=0,$F86&lt;&gt;2),0,IF(HX86&gt;0,HX86,IF(ROUND(DZ86*$J86,6)&lt;ROUND($M86,6),DZ86,0)))</f>
        <v/>
      </c>
      <c r="HZ86" s="68">
        <f>IF(OR($U86=0,$F86&lt;&gt;2),0,IF(HY86&gt;0,HY86,IF(ROUND(EA86*$J86,6)&lt;ROUND($M86,6),EA86,0)))</f>
        <v/>
      </c>
      <c r="IA86" s="68">
        <f>IF(OR($U86=0,$F86&lt;&gt;2),0,IF(HZ86&gt;0,HZ86,IF(ROUND(EB86*$J86,6)&lt;ROUND($M86,6),EB86,0)))</f>
        <v/>
      </c>
      <c r="IB86" s="68">
        <f>IF(OR($U86=0,$F86&lt;&gt;2),0,IF(IA86&gt;0,IA86,IF(ROUND(EC86*$J86,6)&lt;ROUND($M86,6),EC86,0)))</f>
        <v/>
      </c>
      <c r="IC86" s="68">
        <f>IF(OR($U86=0,$F86&lt;&gt;2),0,IF(IB86&gt;0,IB86,IF(ROUND(ED86*$J86,6)&lt;ROUND($M86,6),ED86,0)))</f>
        <v/>
      </c>
      <c r="ID86" s="68">
        <f>IF(OR($U86=0,$F86&lt;&gt;2),0,IF(IC86&gt;0,IC86,IF(ROUND(EE86*$J86,6)&lt;ROUND($M86,6),EE86,0)))</f>
        <v/>
      </c>
      <c r="IE86" s="68">
        <f>IF(OR($U86=0,$F86&lt;&gt;2),0,IF(ID86&gt;0,ID86,IF(ROUND(EF86*$J86,6)&lt;ROUND($M86,6),EF86,0)))</f>
        <v/>
      </c>
      <c r="IF86" s="68">
        <f>IF(OR($U86=0,$F86&lt;&gt;2),0,IF(IE86&gt;0,IE86,IF(ROUND(EG86*$J86,6)&lt;ROUND($M86,6),EG86,0)))</f>
        <v/>
      </c>
      <c r="IG86" s="68">
        <f>IF(OR($U86=0,$F86&lt;&gt;2),0,IF(IF86&gt;0,IF86,IF(ROUND(EH86*$J86,6)&lt;ROUND($M86,6),EH86,0)))</f>
        <v/>
      </c>
      <c r="IH86" s="68">
        <f>IF(OR($U86=0,$F86&lt;&gt;2),0,IF(IG86&gt;0,IG86,IF(ROUND(EI86*$J86,6)&lt;ROUND($M86,6),EI86,0)))</f>
        <v/>
      </c>
      <c r="II86" s="68">
        <f>IF(OR($U86=0,$F86&lt;&gt;2),0,IF(IH86&gt;0,IH86,IF(ROUND(EJ86*$J86,6)&lt;ROUND($M86,6),EJ86,0)))</f>
        <v/>
      </c>
      <c r="IJ86" s="68">
        <f>IF(OR($U86=0,$F86&lt;&gt;2),0,IF(II86&gt;0,II86,IF(ROUND(EK86*$J86,6)&lt;ROUND($M86,6),EK86,0)))</f>
        <v/>
      </c>
      <c r="IK86" s="68">
        <f>IF(OR($U86=0,$F86&lt;&gt;2),0,IF(IJ86&gt;0,IJ86,IF(ROUND(EL86*$J86,6)&lt;ROUND($M86,6),EL86,0)))</f>
        <v/>
      </c>
      <c r="IL86" s="68">
        <f>IF(OR($U86=0,$F86&lt;&gt;2),0,IF(IK86&gt;0,IK86,IF(ROUND(EM86*$J86,6)&lt;ROUND($M86,6),EM86,0)))</f>
        <v/>
      </c>
      <c r="IM86" s="68">
        <f>IF(OR($U86=0,$F86&lt;&gt;2),0,IF(IL86&gt;0,IL86,IF(ROUND(EN86*$J86,6)&lt;ROUND($M86,6),EN86,0)))</f>
        <v/>
      </c>
      <c r="IN86" s="68">
        <f>IF(OR($U86=0,$F86&lt;&gt;2),0,IF(IM86&gt;0,IM86,IF(ROUND(EO86*$J86,6)&lt;ROUND($M86,6),EO86,0)))</f>
        <v/>
      </c>
    </row>
    <row r="87">
      <c r="A87" s="68" t="n">
        <v>82</v>
      </c>
      <c r="B87" s="68">
        <f>IF(OR(TRIM('固定資産台帳'!$B87)&lt;&gt;"",'固定資産台帳'!$E87&lt;&gt;"",'固定資産台帳'!$G87&lt;&gt;"",'固定資産台帳'!$H87&lt;&gt;""),1,0)</f>
        <v/>
      </c>
      <c r="C87" s="68">
        <f>IF(ISNUMBER('固定資産台帳'!$G87),MAX(ROUND('固定資産台帳'!$G87,0),0),0)</f>
        <v/>
      </c>
      <c r="D87" s="84">
        <f>IF(ISNUMBER('固定資産台帳'!$E87),INT('固定資産台帳'!$E87),0)</f>
        <v/>
      </c>
      <c r="E87" s="84">
        <f>IF(ISNUMBER('固定資産台帳'!$F87),INT('固定資産台帳'!$F87),$D87)</f>
        <v/>
      </c>
      <c r="F87" s="68">
        <f>IF('固定資産台帳'!$H87="定額法",1,IF(OR('固定資産台帳'!$H87="定率法",'固定資産台帳'!$H87="定率法（200%）",'固定資産台帳'!$H87="定率法（250%）"),2,IF('固定資産台帳'!$H87="一括償却（3年）",3,IF('固定資産台帳'!$H87="少額特例",4,0))))</f>
        <v/>
      </c>
      <c r="G87" s="68">
        <f>IF('固定資産台帳'!$H87="定率法（250%）",250,IF('固定資産台帳'!$H87="定率法（200%）",200,IF($D87&gt;=DATE(2012,4,1),200,250)))</f>
        <v/>
      </c>
      <c r="H87" s="68">
        <f>IF(ISNUMBER('固定資産台帳'!$I87),IF(AND('固定資産台帳'!$I87&gt;=2,'固定資産台帳'!$I87&lt;=100,'固定資産台帳'!$I87=INT('固定資産台帳'!$I87)),'固定資産台帳'!$I87,0),0)</f>
        <v/>
      </c>
      <c r="I87" s="68">
        <f>IF('固定資産台帳'!$C87="無形固定資産",0,1)</f>
        <v/>
      </c>
      <c r="J87" s="68">
        <f>IF(OR($H87=0,$F87=0,$F87&gt;2),0,IF($F87=1,INDEX('償却率表'!$B$6:$B$104,$H87-1),IF($G87=200,INDEX('償却率表'!$C$6:$C$104,$H87-1),INDEX('償却率表'!$F$6:$F$104,$H87-1))))</f>
        <v/>
      </c>
      <c r="K87" s="68">
        <f>IF(AND($F87=2,$H87&gt;0),IF($G87=200,INDEX('償却率表'!$D$6:$D$104,$H87-1),INDEX('償却率表'!$G$6:$G$104,$H87-1)),0)</f>
        <v/>
      </c>
      <c r="L87" s="68">
        <f>IF(AND($F87=2,$H87&gt;0),IF($G87=200,INDEX('償却率表'!$E$6:$E$104,$H87-1),INDEX('償却率表'!$H$6:$H$104,$H87-1)),0)</f>
        <v/>
      </c>
      <c r="M87" s="68">
        <f>$C87*$L87</f>
        <v/>
      </c>
      <c r="N87" s="68">
        <f>IF($B$1=1,1,IF('固定資産台帳'!$J87="",1,IF(ISNUMBER('固定資産台帳'!$J87),IF(AND('固定資産台帳'!$J87&gt;0,'固定資産台帳'!$J87&lt;=1),'固定資産台帳'!$J87,0),0)))</f>
        <v/>
      </c>
      <c r="O87" s="68">
        <f>IF($E87=0,0,YEAR($E87)-IF(MONTH($E87)&lt;$B$2,1,0))</f>
        <v/>
      </c>
      <c r="P87" s="68">
        <f>IF($E87=0,0,12-MOD(MONTH($E87)-$B$2,12))</f>
        <v/>
      </c>
      <c r="Q87" s="84">
        <f>IF(ISNUMBER('固定資産台帳'!$K87),INT('固定資産台帳'!$K87),0)</f>
        <v/>
      </c>
      <c r="R87" s="68">
        <f>IF(OR($Q87=0,$E87=0),999,YEAR($Q87)-IF(MONTH($Q87)&lt;$B$2,1,0)-$O87)</f>
        <v/>
      </c>
      <c r="S87" s="68">
        <f>IF($R87=999,0,MOD(MONTH($Q87)-$B$2,12)+1-IF($R87=0,12-$P87,0))</f>
        <v/>
      </c>
      <c r="T87" s="68">
        <f>IF($B87=0,0,IF($C87&lt;=0,1,IF($D87=0,2,IF($F87=0,3,IF(AND($F87&lt;=2,$H87=0),4,IF(AND($F87&lt;=2,$D87&lt;DATE(2007,4,1)),5,IF($E87&lt;$D87,6,IF(AND($Q87&gt;0,$Q87&lt;$E87),7,IF($N87=0,8,IF($B$3=0,9,0))))))))))</f>
        <v/>
      </c>
      <c r="U87" s="68">
        <f>IF(AND($B87=1,$T87=0),1,0)</f>
        <v/>
      </c>
      <c r="V87" s="68">
        <f>$B$3-$O87</f>
        <v/>
      </c>
      <c r="W87" s="68">
        <f>IF(AND($U87=1,$V87&gt;=0),1,0)</f>
        <v/>
      </c>
      <c r="X87" s="68">
        <f>IF($W87=0,0,IF($V87=0,$C87,INDEX($AS87:$EP87,MIN($V87,102))))</f>
        <v/>
      </c>
      <c r="Y87" s="68">
        <f>IF($W87=0,0,INDEX($AS87:$EP87,MIN($V87,101)+1))</f>
        <v/>
      </c>
      <c r="Z87" s="68">
        <f>$X87-$Y87</f>
        <v/>
      </c>
      <c r="AA87" s="68">
        <f>IF(AND($W87=1,$F87=2,$V87&gt;=1),INDEX($ER87:$IN87,MIN($V87,101)),0)</f>
        <v/>
      </c>
      <c r="AB87" s="68">
        <f>IF(OR($W87=0,$F87&gt;2,$Z87=0),0,IF($V87=0,IF($R87=0,$S87,$P87),IF($V87=$R87,$S87,12)))</f>
        <v/>
      </c>
      <c r="AC87" s="68">
        <f>IF($W87=0,0,INT(ROUND($Z87*$N87,6)+$B$4))</f>
        <v/>
      </c>
      <c r="AD87" s="68">
        <f>IF(AND($W87=1,$F87&lt;=2,$V87=$R87),1,0)</f>
        <v/>
      </c>
      <c r="AE87" s="68">
        <f>IF(AND($W87=1,$F87&lt;=2,$V87&gt;$R87),1,0)</f>
        <v/>
      </c>
      <c r="AF87" s="68">
        <f>IF(AND($W87=1,$AE87=0,OR($Z87&gt;0,$AD87=1)),1,0)</f>
        <v/>
      </c>
      <c r="AG87" s="68">
        <f>IF($AF87=1,SUM($AF$6:$AF87),0)</f>
        <v/>
      </c>
      <c r="AH87" s="68">
        <f>IF($T87=0,"",CHOOSE($T87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87" s="68">
        <f>IF(AND($F87=2,OR('固定資産台帳'!$C87="建物",'固定資産台帳'!$C87="無形固定資産",AND(OR('固定資産台帳'!$C87="建物附属設備",'固定資産台帳'!$C87="構築物"),$D87&gt;=DATE(2016,4,1)))),"この資産は定額法だけです（定率法は使えません）。","")&amp;IF(AND($F87=3,$C87&gt;=200000),"一括償却は20万円未満の資産だけです。","")&amp;IF(AND($F87=3,$B$1=0,$C87&lt;100000),"10万円未満は一括償却にせず、全額をその年の経費にします。","")&amp;IF(AND($F87=4,$C87&lt;100000),"10万円未満は少額特例ではなく、全額をその年の経費にします。","")&amp;IF(AND($F87=4,$D87&lt;DATE(2026,4,1),$C87&gt;=300000),"2026年3月31日までの取得で少額特例が使えるのは30万円未満です。","")&amp;IF(AND($F87=4,$D87&gt;=DATE(2026,4,1),$C87&gt;=400000),"少額特例は40万円未満の資産だけです。","")&amp;IF(AND($F87=4,OR($D87&lt;DATE(2006,4,1),$D87&gt;DATE(2029,3,31))),"少額特例は2006年4月1日〜2029年3月31日に取得した資産だけです。","")&amp;IF(AND($F87=2,$G87=250,$D87&gt;DATE(2012,12,31)),"250%定率法は2012年12月31日までの取得だけです。","")</f>
        <v/>
      </c>
      <c r="AJ87" s="68">
        <f>IF(AND($F87=2,'固定資産台帳'!$H87="定率法（200%）",$D87&lt;DATE(2012,4,1)),"2012年3月31日までの取得に200%を使うのは、経過措置の届出をした場合です。","")&amp;IF(AND($F87=2,'固定資産台帳'!$H87="定率法（250%）",$D87&gt;=DATE(2012,4,1),$D87&lt;=DATE(2012,12,31)),"2012年4〜12月の取得に250%を使うのは、経過措置を選んだ場合です。","")</f>
        <v/>
      </c>
      <c r="AK87" s="68">
        <f>IF($U87=0,"",IF($V87&lt;0,"表示している年より後に使い始める資産です。",IF($AE87=1,"売却・除却済みです。",IF($AD87=1,"この年に売却・除却。期末の帳簿価額 "&amp;TEXT($Y87,"#,##0")&amp;"円を帳簿から外します。",IF($F87=4,IF($V87=0,"少額特例：この年に全額を経費にします。","少額特例で経費にした資産です。"),IF($F87=3,IF($V87&gt;2,"一括償却は終わっています。","一括償却 "&amp;($V87+1)&amp;"年目（3年のうち）。"),IF($Z87=0,"償却済み（帳簿価額 "&amp;TEXT($Y87,"#,##0")&amp;"円）。",IF($AA87&gt;0,"改定償却率で計算（改定取得価額 "&amp;TEXT($AA87,"#,##0")&amp;"円）。",IF($V87=0,"この年に使い始め（"&amp;$AB87&amp;"か月分）。","")))))))))</f>
        <v/>
      </c>
      <c r="AL87" s="68">
        <f>IF(AND($U87=1,$F87=4,$V87=0),$C87,0)</f>
        <v/>
      </c>
      <c r="AM87" s="68">
        <f>IF($F87=2,INT(ROUND($M87,6)+$B$4),0)</f>
        <v/>
      </c>
      <c r="AN87" s="68">
        <f>IF($W87=0,0,IF($F87=2,IF($AA87&gt;0,$AA87,$X87),$C87))</f>
        <v/>
      </c>
      <c r="AO87" s="68">
        <f>IF($W87=0,"",IF($F87=3,"1/3",IF($F87=4,"―",IF($AA87&gt;0,$K87,$J87))))</f>
        <v/>
      </c>
      <c r="AP87" s="68" t="n"/>
      <c r="AQ87" s="68" t="n"/>
      <c r="AR87" s="68" t="n"/>
      <c r="AS87" s="68">
        <f>IF($U87=0,0,IF($F87=4,0,IF($F87=3,MAX($C87-INT(ROUND($C87/3,6)+$B$4),0),$C87-MIN(INT(ROUND($C87*$J87*IF($R87=0,$S87,$P87)/12,6)+$B$4),MAX($C87-$I87,0)))))</f>
        <v/>
      </c>
      <c r="AT87" s="68">
        <f>IF($U87=0,0,IF($F87=4,0,IF($F87=3,AS87-MIN(INT(ROUND($C87/3,6)+$B$4),AS87),IF(OR(1&gt;$R87,AS87&lt;=$I87),AS87,AS87-MIN(INT(ROUND(IF($F87=1,$C87*$J87,IF(ER87&gt;0,ER87*$K87,AS87*$J87))*IF(1=$R87,$S87,12)/12,6)+$B$4),AS87-$I87)))))</f>
        <v/>
      </c>
      <c r="AU87" s="68">
        <f>IF($U87=0,0,IF($F87=4,0,IF($F87=3,0,IF(OR(2&gt;$R87,AT87&lt;=$I87),AT87,AT87-MIN(INT(ROUND(IF($F87=1,$C87*$J87,IF(ES87&gt;0,ES87*$K87,AT87*$J87))*IF(2=$R87,$S87,12)/12,6)+$B$4),AT87-$I87)))))</f>
        <v/>
      </c>
      <c r="AV87" s="68">
        <f>IF($U87=0,0,IF($F87=4,0,IF($F87=3,0,IF(OR(3&gt;$R87,AU87&lt;=$I87),AU87,AU87-MIN(INT(ROUND(IF($F87=1,$C87*$J87,IF(ET87&gt;0,ET87*$K87,AU87*$J87))*IF(3=$R87,$S87,12)/12,6)+$B$4),AU87-$I87)))))</f>
        <v/>
      </c>
      <c r="AW87" s="68">
        <f>IF($U87=0,0,IF($F87=4,0,IF($F87=3,0,IF(OR(4&gt;$R87,AV87&lt;=$I87),AV87,AV87-MIN(INT(ROUND(IF($F87=1,$C87*$J87,IF(EU87&gt;0,EU87*$K87,AV87*$J87))*IF(4=$R87,$S87,12)/12,6)+$B$4),AV87-$I87)))))</f>
        <v/>
      </c>
      <c r="AX87" s="68">
        <f>IF($U87=0,0,IF($F87=4,0,IF($F87=3,0,IF(OR(5&gt;$R87,AW87&lt;=$I87),AW87,AW87-MIN(INT(ROUND(IF($F87=1,$C87*$J87,IF(EV87&gt;0,EV87*$K87,AW87*$J87))*IF(5=$R87,$S87,12)/12,6)+$B$4),AW87-$I87)))))</f>
        <v/>
      </c>
      <c r="AY87" s="68">
        <f>IF($U87=0,0,IF($F87=4,0,IF($F87=3,0,IF(OR(6&gt;$R87,AX87&lt;=$I87),AX87,AX87-MIN(INT(ROUND(IF($F87=1,$C87*$J87,IF(EW87&gt;0,EW87*$K87,AX87*$J87))*IF(6=$R87,$S87,12)/12,6)+$B$4),AX87-$I87)))))</f>
        <v/>
      </c>
      <c r="AZ87" s="68">
        <f>IF($U87=0,0,IF($F87=4,0,IF($F87=3,0,IF(OR(7&gt;$R87,AY87&lt;=$I87),AY87,AY87-MIN(INT(ROUND(IF($F87=1,$C87*$J87,IF(EX87&gt;0,EX87*$K87,AY87*$J87))*IF(7=$R87,$S87,12)/12,6)+$B$4),AY87-$I87)))))</f>
        <v/>
      </c>
      <c r="BA87" s="68">
        <f>IF($U87=0,0,IF($F87=4,0,IF($F87=3,0,IF(OR(8&gt;$R87,AZ87&lt;=$I87),AZ87,AZ87-MIN(INT(ROUND(IF($F87=1,$C87*$J87,IF(EY87&gt;0,EY87*$K87,AZ87*$J87))*IF(8=$R87,$S87,12)/12,6)+$B$4),AZ87-$I87)))))</f>
        <v/>
      </c>
      <c r="BB87" s="68">
        <f>IF($U87=0,0,IF($F87=4,0,IF($F87=3,0,IF(OR(9&gt;$R87,BA87&lt;=$I87),BA87,BA87-MIN(INT(ROUND(IF($F87=1,$C87*$J87,IF(EZ87&gt;0,EZ87*$K87,BA87*$J87))*IF(9=$R87,$S87,12)/12,6)+$B$4),BA87-$I87)))))</f>
        <v/>
      </c>
      <c r="BC87" s="68">
        <f>IF($U87=0,0,IF($F87=4,0,IF($F87=3,0,IF(OR(10&gt;$R87,BB87&lt;=$I87),BB87,BB87-MIN(INT(ROUND(IF($F87=1,$C87*$J87,IF(FA87&gt;0,FA87*$K87,BB87*$J87))*IF(10=$R87,$S87,12)/12,6)+$B$4),BB87-$I87)))))</f>
        <v/>
      </c>
      <c r="BD87" s="68">
        <f>IF($U87=0,0,IF($F87=4,0,IF($F87=3,0,IF(OR(11&gt;$R87,BC87&lt;=$I87),BC87,BC87-MIN(INT(ROUND(IF($F87=1,$C87*$J87,IF(FB87&gt;0,FB87*$K87,BC87*$J87))*IF(11=$R87,$S87,12)/12,6)+$B$4),BC87-$I87)))))</f>
        <v/>
      </c>
      <c r="BE87" s="68">
        <f>IF($U87=0,0,IF($F87=4,0,IF($F87=3,0,IF(OR(12&gt;$R87,BD87&lt;=$I87),BD87,BD87-MIN(INT(ROUND(IF($F87=1,$C87*$J87,IF(FC87&gt;0,FC87*$K87,BD87*$J87))*IF(12=$R87,$S87,12)/12,6)+$B$4),BD87-$I87)))))</f>
        <v/>
      </c>
      <c r="BF87" s="68">
        <f>IF($U87=0,0,IF($F87=4,0,IF($F87=3,0,IF(OR(13&gt;$R87,BE87&lt;=$I87),BE87,BE87-MIN(INT(ROUND(IF($F87=1,$C87*$J87,IF(FD87&gt;0,FD87*$K87,BE87*$J87))*IF(13=$R87,$S87,12)/12,6)+$B$4),BE87-$I87)))))</f>
        <v/>
      </c>
      <c r="BG87" s="68">
        <f>IF($U87=0,0,IF($F87=4,0,IF($F87=3,0,IF(OR(14&gt;$R87,BF87&lt;=$I87),BF87,BF87-MIN(INT(ROUND(IF($F87=1,$C87*$J87,IF(FE87&gt;0,FE87*$K87,BF87*$J87))*IF(14=$R87,$S87,12)/12,6)+$B$4),BF87-$I87)))))</f>
        <v/>
      </c>
      <c r="BH87" s="68">
        <f>IF($U87=0,0,IF($F87=4,0,IF($F87=3,0,IF(OR(15&gt;$R87,BG87&lt;=$I87),BG87,BG87-MIN(INT(ROUND(IF($F87=1,$C87*$J87,IF(FF87&gt;0,FF87*$K87,BG87*$J87))*IF(15=$R87,$S87,12)/12,6)+$B$4),BG87-$I87)))))</f>
        <v/>
      </c>
      <c r="BI87" s="68">
        <f>IF($U87=0,0,IF($F87=4,0,IF($F87=3,0,IF(OR(16&gt;$R87,BH87&lt;=$I87),BH87,BH87-MIN(INT(ROUND(IF($F87=1,$C87*$J87,IF(FG87&gt;0,FG87*$K87,BH87*$J87))*IF(16=$R87,$S87,12)/12,6)+$B$4),BH87-$I87)))))</f>
        <v/>
      </c>
      <c r="BJ87" s="68">
        <f>IF($U87=0,0,IF($F87=4,0,IF($F87=3,0,IF(OR(17&gt;$R87,BI87&lt;=$I87),BI87,BI87-MIN(INT(ROUND(IF($F87=1,$C87*$J87,IF(FH87&gt;0,FH87*$K87,BI87*$J87))*IF(17=$R87,$S87,12)/12,6)+$B$4),BI87-$I87)))))</f>
        <v/>
      </c>
      <c r="BK87" s="68">
        <f>IF($U87=0,0,IF($F87=4,0,IF($F87=3,0,IF(OR(18&gt;$R87,BJ87&lt;=$I87),BJ87,BJ87-MIN(INT(ROUND(IF($F87=1,$C87*$J87,IF(FI87&gt;0,FI87*$K87,BJ87*$J87))*IF(18=$R87,$S87,12)/12,6)+$B$4),BJ87-$I87)))))</f>
        <v/>
      </c>
      <c r="BL87" s="68">
        <f>IF($U87=0,0,IF($F87=4,0,IF($F87=3,0,IF(OR(19&gt;$R87,BK87&lt;=$I87),BK87,BK87-MIN(INT(ROUND(IF($F87=1,$C87*$J87,IF(FJ87&gt;0,FJ87*$K87,BK87*$J87))*IF(19=$R87,$S87,12)/12,6)+$B$4),BK87-$I87)))))</f>
        <v/>
      </c>
      <c r="BM87" s="68">
        <f>IF($U87=0,0,IF($F87=4,0,IF($F87=3,0,IF(OR(20&gt;$R87,BL87&lt;=$I87),BL87,BL87-MIN(INT(ROUND(IF($F87=1,$C87*$J87,IF(FK87&gt;0,FK87*$K87,BL87*$J87))*IF(20=$R87,$S87,12)/12,6)+$B$4),BL87-$I87)))))</f>
        <v/>
      </c>
      <c r="BN87" s="68">
        <f>IF($U87=0,0,IF($F87=4,0,IF($F87=3,0,IF(OR(21&gt;$R87,BM87&lt;=$I87),BM87,BM87-MIN(INT(ROUND(IF($F87=1,$C87*$J87,IF(FL87&gt;0,FL87*$K87,BM87*$J87))*IF(21=$R87,$S87,12)/12,6)+$B$4),BM87-$I87)))))</f>
        <v/>
      </c>
      <c r="BO87" s="68">
        <f>IF($U87=0,0,IF($F87=4,0,IF($F87=3,0,IF(OR(22&gt;$R87,BN87&lt;=$I87),BN87,BN87-MIN(INT(ROUND(IF($F87=1,$C87*$J87,IF(FM87&gt;0,FM87*$K87,BN87*$J87))*IF(22=$R87,$S87,12)/12,6)+$B$4),BN87-$I87)))))</f>
        <v/>
      </c>
      <c r="BP87" s="68">
        <f>IF($U87=0,0,IF($F87=4,0,IF($F87=3,0,IF(OR(23&gt;$R87,BO87&lt;=$I87),BO87,BO87-MIN(INT(ROUND(IF($F87=1,$C87*$J87,IF(FN87&gt;0,FN87*$K87,BO87*$J87))*IF(23=$R87,$S87,12)/12,6)+$B$4),BO87-$I87)))))</f>
        <v/>
      </c>
      <c r="BQ87" s="68">
        <f>IF($U87=0,0,IF($F87=4,0,IF($F87=3,0,IF(OR(24&gt;$R87,BP87&lt;=$I87),BP87,BP87-MIN(INT(ROUND(IF($F87=1,$C87*$J87,IF(FO87&gt;0,FO87*$K87,BP87*$J87))*IF(24=$R87,$S87,12)/12,6)+$B$4),BP87-$I87)))))</f>
        <v/>
      </c>
      <c r="BR87" s="68">
        <f>IF($U87=0,0,IF($F87=4,0,IF($F87=3,0,IF(OR(25&gt;$R87,BQ87&lt;=$I87),BQ87,BQ87-MIN(INT(ROUND(IF($F87=1,$C87*$J87,IF(FP87&gt;0,FP87*$K87,BQ87*$J87))*IF(25=$R87,$S87,12)/12,6)+$B$4),BQ87-$I87)))))</f>
        <v/>
      </c>
      <c r="BS87" s="68">
        <f>IF($U87=0,0,IF($F87=4,0,IF($F87=3,0,IF(OR(26&gt;$R87,BR87&lt;=$I87),BR87,BR87-MIN(INT(ROUND(IF($F87=1,$C87*$J87,IF(FQ87&gt;0,FQ87*$K87,BR87*$J87))*IF(26=$R87,$S87,12)/12,6)+$B$4),BR87-$I87)))))</f>
        <v/>
      </c>
      <c r="BT87" s="68">
        <f>IF($U87=0,0,IF($F87=4,0,IF($F87=3,0,IF(OR(27&gt;$R87,BS87&lt;=$I87),BS87,BS87-MIN(INT(ROUND(IF($F87=1,$C87*$J87,IF(FR87&gt;0,FR87*$K87,BS87*$J87))*IF(27=$R87,$S87,12)/12,6)+$B$4),BS87-$I87)))))</f>
        <v/>
      </c>
      <c r="BU87" s="68">
        <f>IF($U87=0,0,IF($F87=4,0,IF($F87=3,0,IF(OR(28&gt;$R87,BT87&lt;=$I87),BT87,BT87-MIN(INT(ROUND(IF($F87=1,$C87*$J87,IF(FS87&gt;0,FS87*$K87,BT87*$J87))*IF(28=$R87,$S87,12)/12,6)+$B$4),BT87-$I87)))))</f>
        <v/>
      </c>
      <c r="BV87" s="68">
        <f>IF($U87=0,0,IF($F87=4,0,IF($F87=3,0,IF(OR(29&gt;$R87,BU87&lt;=$I87),BU87,BU87-MIN(INT(ROUND(IF($F87=1,$C87*$J87,IF(FT87&gt;0,FT87*$K87,BU87*$J87))*IF(29=$R87,$S87,12)/12,6)+$B$4),BU87-$I87)))))</f>
        <v/>
      </c>
      <c r="BW87" s="68">
        <f>IF($U87=0,0,IF($F87=4,0,IF($F87=3,0,IF(OR(30&gt;$R87,BV87&lt;=$I87),BV87,BV87-MIN(INT(ROUND(IF($F87=1,$C87*$J87,IF(FU87&gt;0,FU87*$K87,BV87*$J87))*IF(30=$R87,$S87,12)/12,6)+$B$4),BV87-$I87)))))</f>
        <v/>
      </c>
      <c r="BX87" s="68">
        <f>IF($U87=0,0,IF($F87=4,0,IF($F87=3,0,IF(OR(31&gt;$R87,BW87&lt;=$I87),BW87,BW87-MIN(INT(ROUND(IF($F87=1,$C87*$J87,IF(FV87&gt;0,FV87*$K87,BW87*$J87))*IF(31=$R87,$S87,12)/12,6)+$B$4),BW87-$I87)))))</f>
        <v/>
      </c>
      <c r="BY87" s="68">
        <f>IF($U87=0,0,IF($F87=4,0,IF($F87=3,0,IF(OR(32&gt;$R87,BX87&lt;=$I87),BX87,BX87-MIN(INT(ROUND(IF($F87=1,$C87*$J87,IF(FW87&gt;0,FW87*$K87,BX87*$J87))*IF(32=$R87,$S87,12)/12,6)+$B$4),BX87-$I87)))))</f>
        <v/>
      </c>
      <c r="BZ87" s="68">
        <f>IF($U87=0,0,IF($F87=4,0,IF($F87=3,0,IF(OR(33&gt;$R87,BY87&lt;=$I87),BY87,BY87-MIN(INT(ROUND(IF($F87=1,$C87*$J87,IF(FX87&gt;0,FX87*$K87,BY87*$J87))*IF(33=$R87,$S87,12)/12,6)+$B$4),BY87-$I87)))))</f>
        <v/>
      </c>
      <c r="CA87" s="68">
        <f>IF($U87=0,0,IF($F87=4,0,IF($F87=3,0,IF(OR(34&gt;$R87,BZ87&lt;=$I87),BZ87,BZ87-MIN(INT(ROUND(IF($F87=1,$C87*$J87,IF(FY87&gt;0,FY87*$K87,BZ87*$J87))*IF(34=$R87,$S87,12)/12,6)+$B$4),BZ87-$I87)))))</f>
        <v/>
      </c>
      <c r="CB87" s="68">
        <f>IF($U87=0,0,IF($F87=4,0,IF($F87=3,0,IF(OR(35&gt;$R87,CA87&lt;=$I87),CA87,CA87-MIN(INT(ROUND(IF($F87=1,$C87*$J87,IF(FZ87&gt;0,FZ87*$K87,CA87*$J87))*IF(35=$R87,$S87,12)/12,6)+$B$4),CA87-$I87)))))</f>
        <v/>
      </c>
      <c r="CC87" s="68">
        <f>IF($U87=0,0,IF($F87=4,0,IF($F87=3,0,IF(OR(36&gt;$R87,CB87&lt;=$I87),CB87,CB87-MIN(INT(ROUND(IF($F87=1,$C87*$J87,IF(GA87&gt;0,GA87*$K87,CB87*$J87))*IF(36=$R87,$S87,12)/12,6)+$B$4),CB87-$I87)))))</f>
        <v/>
      </c>
      <c r="CD87" s="68">
        <f>IF($U87=0,0,IF($F87=4,0,IF($F87=3,0,IF(OR(37&gt;$R87,CC87&lt;=$I87),CC87,CC87-MIN(INT(ROUND(IF($F87=1,$C87*$J87,IF(GB87&gt;0,GB87*$K87,CC87*$J87))*IF(37=$R87,$S87,12)/12,6)+$B$4),CC87-$I87)))))</f>
        <v/>
      </c>
      <c r="CE87" s="68">
        <f>IF($U87=0,0,IF($F87=4,0,IF($F87=3,0,IF(OR(38&gt;$R87,CD87&lt;=$I87),CD87,CD87-MIN(INT(ROUND(IF($F87=1,$C87*$J87,IF(GC87&gt;0,GC87*$K87,CD87*$J87))*IF(38=$R87,$S87,12)/12,6)+$B$4),CD87-$I87)))))</f>
        <v/>
      </c>
      <c r="CF87" s="68">
        <f>IF($U87=0,0,IF($F87=4,0,IF($F87=3,0,IF(OR(39&gt;$R87,CE87&lt;=$I87),CE87,CE87-MIN(INT(ROUND(IF($F87=1,$C87*$J87,IF(GD87&gt;0,GD87*$K87,CE87*$J87))*IF(39=$R87,$S87,12)/12,6)+$B$4),CE87-$I87)))))</f>
        <v/>
      </c>
      <c r="CG87" s="68">
        <f>IF($U87=0,0,IF($F87=4,0,IF($F87=3,0,IF(OR(40&gt;$R87,CF87&lt;=$I87),CF87,CF87-MIN(INT(ROUND(IF($F87=1,$C87*$J87,IF(GE87&gt;0,GE87*$K87,CF87*$J87))*IF(40=$R87,$S87,12)/12,6)+$B$4),CF87-$I87)))))</f>
        <v/>
      </c>
      <c r="CH87" s="68">
        <f>IF($U87=0,0,IF($F87=4,0,IF($F87=3,0,IF(OR(41&gt;$R87,CG87&lt;=$I87),CG87,CG87-MIN(INT(ROUND(IF($F87=1,$C87*$J87,IF(GF87&gt;0,GF87*$K87,CG87*$J87))*IF(41=$R87,$S87,12)/12,6)+$B$4),CG87-$I87)))))</f>
        <v/>
      </c>
      <c r="CI87" s="68">
        <f>IF($U87=0,0,IF($F87=4,0,IF($F87=3,0,IF(OR(42&gt;$R87,CH87&lt;=$I87),CH87,CH87-MIN(INT(ROUND(IF($F87=1,$C87*$J87,IF(GG87&gt;0,GG87*$K87,CH87*$J87))*IF(42=$R87,$S87,12)/12,6)+$B$4),CH87-$I87)))))</f>
        <v/>
      </c>
      <c r="CJ87" s="68">
        <f>IF($U87=0,0,IF($F87=4,0,IF($F87=3,0,IF(OR(43&gt;$R87,CI87&lt;=$I87),CI87,CI87-MIN(INT(ROUND(IF($F87=1,$C87*$J87,IF(GH87&gt;0,GH87*$K87,CI87*$J87))*IF(43=$R87,$S87,12)/12,6)+$B$4),CI87-$I87)))))</f>
        <v/>
      </c>
      <c r="CK87" s="68">
        <f>IF($U87=0,0,IF($F87=4,0,IF($F87=3,0,IF(OR(44&gt;$R87,CJ87&lt;=$I87),CJ87,CJ87-MIN(INT(ROUND(IF($F87=1,$C87*$J87,IF(GI87&gt;0,GI87*$K87,CJ87*$J87))*IF(44=$R87,$S87,12)/12,6)+$B$4),CJ87-$I87)))))</f>
        <v/>
      </c>
      <c r="CL87" s="68">
        <f>IF($U87=0,0,IF($F87=4,0,IF($F87=3,0,IF(OR(45&gt;$R87,CK87&lt;=$I87),CK87,CK87-MIN(INT(ROUND(IF($F87=1,$C87*$J87,IF(GJ87&gt;0,GJ87*$K87,CK87*$J87))*IF(45=$R87,$S87,12)/12,6)+$B$4),CK87-$I87)))))</f>
        <v/>
      </c>
      <c r="CM87" s="68">
        <f>IF($U87=0,0,IF($F87=4,0,IF($F87=3,0,IF(OR(46&gt;$R87,CL87&lt;=$I87),CL87,CL87-MIN(INT(ROUND(IF($F87=1,$C87*$J87,IF(GK87&gt;0,GK87*$K87,CL87*$J87))*IF(46=$R87,$S87,12)/12,6)+$B$4),CL87-$I87)))))</f>
        <v/>
      </c>
      <c r="CN87" s="68">
        <f>IF($U87=0,0,IF($F87=4,0,IF($F87=3,0,IF(OR(47&gt;$R87,CM87&lt;=$I87),CM87,CM87-MIN(INT(ROUND(IF($F87=1,$C87*$J87,IF(GL87&gt;0,GL87*$K87,CM87*$J87))*IF(47=$R87,$S87,12)/12,6)+$B$4),CM87-$I87)))))</f>
        <v/>
      </c>
      <c r="CO87" s="68">
        <f>IF($U87=0,0,IF($F87=4,0,IF($F87=3,0,IF(OR(48&gt;$R87,CN87&lt;=$I87),CN87,CN87-MIN(INT(ROUND(IF($F87=1,$C87*$J87,IF(GM87&gt;0,GM87*$K87,CN87*$J87))*IF(48=$R87,$S87,12)/12,6)+$B$4),CN87-$I87)))))</f>
        <v/>
      </c>
      <c r="CP87" s="68">
        <f>IF($U87=0,0,IF($F87=4,0,IF($F87=3,0,IF(OR(49&gt;$R87,CO87&lt;=$I87),CO87,CO87-MIN(INT(ROUND(IF($F87=1,$C87*$J87,IF(GN87&gt;0,GN87*$K87,CO87*$J87))*IF(49=$R87,$S87,12)/12,6)+$B$4),CO87-$I87)))))</f>
        <v/>
      </c>
      <c r="CQ87" s="68">
        <f>IF($U87=0,0,IF($F87=4,0,IF($F87=3,0,IF(OR(50&gt;$R87,CP87&lt;=$I87),CP87,CP87-MIN(INT(ROUND(IF($F87=1,$C87*$J87,IF(GO87&gt;0,GO87*$K87,CP87*$J87))*IF(50=$R87,$S87,12)/12,6)+$B$4),CP87-$I87)))))</f>
        <v/>
      </c>
      <c r="CR87" s="68">
        <f>IF($U87=0,0,IF($F87=4,0,IF($F87=3,0,IF(OR(51&gt;$R87,CQ87&lt;=$I87),CQ87,CQ87-MIN(INT(ROUND(IF($F87=1,$C87*$J87,IF(GP87&gt;0,GP87*$K87,CQ87*$J87))*IF(51=$R87,$S87,12)/12,6)+$B$4),CQ87-$I87)))))</f>
        <v/>
      </c>
      <c r="CS87" s="68">
        <f>IF($U87=0,0,IF($F87=4,0,IF($F87=3,0,IF(OR(52&gt;$R87,CR87&lt;=$I87),CR87,CR87-MIN(INT(ROUND(IF($F87=1,$C87*$J87,IF(GQ87&gt;0,GQ87*$K87,CR87*$J87))*IF(52=$R87,$S87,12)/12,6)+$B$4),CR87-$I87)))))</f>
        <v/>
      </c>
      <c r="CT87" s="68">
        <f>IF($U87=0,0,IF($F87=4,0,IF($F87=3,0,IF(OR(53&gt;$R87,CS87&lt;=$I87),CS87,CS87-MIN(INT(ROUND(IF($F87=1,$C87*$J87,IF(GR87&gt;0,GR87*$K87,CS87*$J87))*IF(53=$R87,$S87,12)/12,6)+$B$4),CS87-$I87)))))</f>
        <v/>
      </c>
      <c r="CU87" s="68">
        <f>IF($U87=0,0,IF($F87=4,0,IF($F87=3,0,IF(OR(54&gt;$R87,CT87&lt;=$I87),CT87,CT87-MIN(INT(ROUND(IF($F87=1,$C87*$J87,IF(GS87&gt;0,GS87*$K87,CT87*$J87))*IF(54=$R87,$S87,12)/12,6)+$B$4),CT87-$I87)))))</f>
        <v/>
      </c>
      <c r="CV87" s="68">
        <f>IF($U87=0,0,IF($F87=4,0,IF($F87=3,0,IF(OR(55&gt;$R87,CU87&lt;=$I87),CU87,CU87-MIN(INT(ROUND(IF($F87=1,$C87*$J87,IF(GT87&gt;0,GT87*$K87,CU87*$J87))*IF(55=$R87,$S87,12)/12,6)+$B$4),CU87-$I87)))))</f>
        <v/>
      </c>
      <c r="CW87" s="68">
        <f>IF($U87=0,0,IF($F87=4,0,IF($F87=3,0,IF(OR(56&gt;$R87,CV87&lt;=$I87),CV87,CV87-MIN(INT(ROUND(IF($F87=1,$C87*$J87,IF(GU87&gt;0,GU87*$K87,CV87*$J87))*IF(56=$R87,$S87,12)/12,6)+$B$4),CV87-$I87)))))</f>
        <v/>
      </c>
      <c r="CX87" s="68">
        <f>IF($U87=0,0,IF($F87=4,0,IF($F87=3,0,IF(OR(57&gt;$R87,CW87&lt;=$I87),CW87,CW87-MIN(INT(ROUND(IF($F87=1,$C87*$J87,IF(GV87&gt;0,GV87*$K87,CW87*$J87))*IF(57=$R87,$S87,12)/12,6)+$B$4),CW87-$I87)))))</f>
        <v/>
      </c>
      <c r="CY87" s="68">
        <f>IF($U87=0,0,IF($F87=4,0,IF($F87=3,0,IF(OR(58&gt;$R87,CX87&lt;=$I87),CX87,CX87-MIN(INT(ROUND(IF($F87=1,$C87*$J87,IF(GW87&gt;0,GW87*$K87,CX87*$J87))*IF(58=$R87,$S87,12)/12,6)+$B$4),CX87-$I87)))))</f>
        <v/>
      </c>
      <c r="CZ87" s="68">
        <f>IF($U87=0,0,IF($F87=4,0,IF($F87=3,0,IF(OR(59&gt;$R87,CY87&lt;=$I87),CY87,CY87-MIN(INT(ROUND(IF($F87=1,$C87*$J87,IF(GX87&gt;0,GX87*$K87,CY87*$J87))*IF(59=$R87,$S87,12)/12,6)+$B$4),CY87-$I87)))))</f>
        <v/>
      </c>
      <c r="DA87" s="68">
        <f>IF($U87=0,0,IF($F87=4,0,IF($F87=3,0,IF(OR(60&gt;$R87,CZ87&lt;=$I87),CZ87,CZ87-MIN(INT(ROUND(IF($F87=1,$C87*$J87,IF(GY87&gt;0,GY87*$K87,CZ87*$J87))*IF(60=$R87,$S87,12)/12,6)+$B$4),CZ87-$I87)))))</f>
        <v/>
      </c>
      <c r="DB87" s="68">
        <f>IF($U87=0,0,IF($F87=4,0,IF($F87=3,0,IF(OR(61&gt;$R87,DA87&lt;=$I87),DA87,DA87-MIN(INT(ROUND(IF($F87=1,$C87*$J87,IF(GZ87&gt;0,GZ87*$K87,DA87*$J87))*IF(61=$R87,$S87,12)/12,6)+$B$4),DA87-$I87)))))</f>
        <v/>
      </c>
      <c r="DC87" s="68">
        <f>IF($U87=0,0,IF($F87=4,0,IF($F87=3,0,IF(OR(62&gt;$R87,DB87&lt;=$I87),DB87,DB87-MIN(INT(ROUND(IF($F87=1,$C87*$J87,IF(HA87&gt;0,HA87*$K87,DB87*$J87))*IF(62=$R87,$S87,12)/12,6)+$B$4),DB87-$I87)))))</f>
        <v/>
      </c>
      <c r="DD87" s="68">
        <f>IF($U87=0,0,IF($F87=4,0,IF($F87=3,0,IF(OR(63&gt;$R87,DC87&lt;=$I87),DC87,DC87-MIN(INT(ROUND(IF($F87=1,$C87*$J87,IF(HB87&gt;0,HB87*$K87,DC87*$J87))*IF(63=$R87,$S87,12)/12,6)+$B$4),DC87-$I87)))))</f>
        <v/>
      </c>
      <c r="DE87" s="68">
        <f>IF($U87=0,0,IF($F87=4,0,IF($F87=3,0,IF(OR(64&gt;$R87,DD87&lt;=$I87),DD87,DD87-MIN(INT(ROUND(IF($F87=1,$C87*$J87,IF(HC87&gt;0,HC87*$K87,DD87*$J87))*IF(64=$R87,$S87,12)/12,6)+$B$4),DD87-$I87)))))</f>
        <v/>
      </c>
      <c r="DF87" s="68">
        <f>IF($U87=0,0,IF($F87=4,0,IF($F87=3,0,IF(OR(65&gt;$R87,DE87&lt;=$I87),DE87,DE87-MIN(INT(ROUND(IF($F87=1,$C87*$J87,IF(HD87&gt;0,HD87*$K87,DE87*$J87))*IF(65=$R87,$S87,12)/12,6)+$B$4),DE87-$I87)))))</f>
        <v/>
      </c>
      <c r="DG87" s="68">
        <f>IF($U87=0,0,IF($F87=4,0,IF($F87=3,0,IF(OR(66&gt;$R87,DF87&lt;=$I87),DF87,DF87-MIN(INT(ROUND(IF($F87=1,$C87*$J87,IF(HE87&gt;0,HE87*$K87,DF87*$J87))*IF(66=$R87,$S87,12)/12,6)+$B$4),DF87-$I87)))))</f>
        <v/>
      </c>
      <c r="DH87" s="68">
        <f>IF($U87=0,0,IF($F87=4,0,IF($F87=3,0,IF(OR(67&gt;$R87,DG87&lt;=$I87),DG87,DG87-MIN(INT(ROUND(IF($F87=1,$C87*$J87,IF(HF87&gt;0,HF87*$K87,DG87*$J87))*IF(67=$R87,$S87,12)/12,6)+$B$4),DG87-$I87)))))</f>
        <v/>
      </c>
      <c r="DI87" s="68">
        <f>IF($U87=0,0,IF($F87=4,0,IF($F87=3,0,IF(OR(68&gt;$R87,DH87&lt;=$I87),DH87,DH87-MIN(INT(ROUND(IF($F87=1,$C87*$J87,IF(HG87&gt;0,HG87*$K87,DH87*$J87))*IF(68=$R87,$S87,12)/12,6)+$B$4),DH87-$I87)))))</f>
        <v/>
      </c>
      <c r="DJ87" s="68">
        <f>IF($U87=0,0,IF($F87=4,0,IF($F87=3,0,IF(OR(69&gt;$R87,DI87&lt;=$I87),DI87,DI87-MIN(INT(ROUND(IF($F87=1,$C87*$J87,IF(HH87&gt;0,HH87*$K87,DI87*$J87))*IF(69=$R87,$S87,12)/12,6)+$B$4),DI87-$I87)))))</f>
        <v/>
      </c>
      <c r="DK87" s="68">
        <f>IF($U87=0,0,IF($F87=4,0,IF($F87=3,0,IF(OR(70&gt;$R87,DJ87&lt;=$I87),DJ87,DJ87-MIN(INT(ROUND(IF($F87=1,$C87*$J87,IF(HI87&gt;0,HI87*$K87,DJ87*$J87))*IF(70=$R87,$S87,12)/12,6)+$B$4),DJ87-$I87)))))</f>
        <v/>
      </c>
      <c r="DL87" s="68">
        <f>IF($U87=0,0,IF($F87=4,0,IF($F87=3,0,IF(OR(71&gt;$R87,DK87&lt;=$I87),DK87,DK87-MIN(INT(ROUND(IF($F87=1,$C87*$J87,IF(HJ87&gt;0,HJ87*$K87,DK87*$J87))*IF(71=$R87,$S87,12)/12,6)+$B$4),DK87-$I87)))))</f>
        <v/>
      </c>
      <c r="DM87" s="68">
        <f>IF($U87=0,0,IF($F87=4,0,IF($F87=3,0,IF(OR(72&gt;$R87,DL87&lt;=$I87),DL87,DL87-MIN(INT(ROUND(IF($F87=1,$C87*$J87,IF(HK87&gt;0,HK87*$K87,DL87*$J87))*IF(72=$R87,$S87,12)/12,6)+$B$4),DL87-$I87)))))</f>
        <v/>
      </c>
      <c r="DN87" s="68">
        <f>IF($U87=0,0,IF($F87=4,0,IF($F87=3,0,IF(OR(73&gt;$R87,DM87&lt;=$I87),DM87,DM87-MIN(INT(ROUND(IF($F87=1,$C87*$J87,IF(HL87&gt;0,HL87*$K87,DM87*$J87))*IF(73=$R87,$S87,12)/12,6)+$B$4),DM87-$I87)))))</f>
        <v/>
      </c>
      <c r="DO87" s="68">
        <f>IF($U87=0,0,IF($F87=4,0,IF($F87=3,0,IF(OR(74&gt;$R87,DN87&lt;=$I87),DN87,DN87-MIN(INT(ROUND(IF($F87=1,$C87*$J87,IF(HM87&gt;0,HM87*$K87,DN87*$J87))*IF(74=$R87,$S87,12)/12,6)+$B$4),DN87-$I87)))))</f>
        <v/>
      </c>
      <c r="DP87" s="68">
        <f>IF($U87=0,0,IF($F87=4,0,IF($F87=3,0,IF(OR(75&gt;$R87,DO87&lt;=$I87),DO87,DO87-MIN(INT(ROUND(IF($F87=1,$C87*$J87,IF(HN87&gt;0,HN87*$K87,DO87*$J87))*IF(75=$R87,$S87,12)/12,6)+$B$4),DO87-$I87)))))</f>
        <v/>
      </c>
      <c r="DQ87" s="68">
        <f>IF($U87=0,0,IF($F87=4,0,IF($F87=3,0,IF(OR(76&gt;$R87,DP87&lt;=$I87),DP87,DP87-MIN(INT(ROUND(IF($F87=1,$C87*$J87,IF(HO87&gt;0,HO87*$K87,DP87*$J87))*IF(76=$R87,$S87,12)/12,6)+$B$4),DP87-$I87)))))</f>
        <v/>
      </c>
      <c r="DR87" s="68">
        <f>IF($U87=0,0,IF($F87=4,0,IF($F87=3,0,IF(OR(77&gt;$R87,DQ87&lt;=$I87),DQ87,DQ87-MIN(INT(ROUND(IF($F87=1,$C87*$J87,IF(HP87&gt;0,HP87*$K87,DQ87*$J87))*IF(77=$R87,$S87,12)/12,6)+$B$4),DQ87-$I87)))))</f>
        <v/>
      </c>
      <c r="DS87" s="68">
        <f>IF($U87=0,0,IF($F87=4,0,IF($F87=3,0,IF(OR(78&gt;$R87,DR87&lt;=$I87),DR87,DR87-MIN(INT(ROUND(IF($F87=1,$C87*$J87,IF(HQ87&gt;0,HQ87*$K87,DR87*$J87))*IF(78=$R87,$S87,12)/12,6)+$B$4),DR87-$I87)))))</f>
        <v/>
      </c>
      <c r="DT87" s="68">
        <f>IF($U87=0,0,IF($F87=4,0,IF($F87=3,0,IF(OR(79&gt;$R87,DS87&lt;=$I87),DS87,DS87-MIN(INT(ROUND(IF($F87=1,$C87*$J87,IF(HR87&gt;0,HR87*$K87,DS87*$J87))*IF(79=$R87,$S87,12)/12,6)+$B$4),DS87-$I87)))))</f>
        <v/>
      </c>
      <c r="DU87" s="68">
        <f>IF($U87=0,0,IF($F87=4,0,IF($F87=3,0,IF(OR(80&gt;$R87,DT87&lt;=$I87),DT87,DT87-MIN(INT(ROUND(IF($F87=1,$C87*$J87,IF(HS87&gt;0,HS87*$K87,DT87*$J87))*IF(80=$R87,$S87,12)/12,6)+$B$4),DT87-$I87)))))</f>
        <v/>
      </c>
      <c r="DV87" s="68">
        <f>IF($U87=0,0,IF($F87=4,0,IF($F87=3,0,IF(OR(81&gt;$R87,DU87&lt;=$I87),DU87,DU87-MIN(INT(ROUND(IF($F87=1,$C87*$J87,IF(HT87&gt;0,HT87*$K87,DU87*$J87))*IF(81=$R87,$S87,12)/12,6)+$B$4),DU87-$I87)))))</f>
        <v/>
      </c>
      <c r="DW87" s="68">
        <f>IF($U87=0,0,IF($F87=4,0,IF($F87=3,0,IF(OR(82&gt;$R87,DV87&lt;=$I87),DV87,DV87-MIN(INT(ROUND(IF($F87=1,$C87*$J87,IF(HU87&gt;0,HU87*$K87,DV87*$J87))*IF(82=$R87,$S87,12)/12,6)+$B$4),DV87-$I87)))))</f>
        <v/>
      </c>
      <c r="DX87" s="68">
        <f>IF($U87=0,0,IF($F87=4,0,IF($F87=3,0,IF(OR(83&gt;$R87,DW87&lt;=$I87),DW87,DW87-MIN(INT(ROUND(IF($F87=1,$C87*$J87,IF(HV87&gt;0,HV87*$K87,DW87*$J87))*IF(83=$R87,$S87,12)/12,6)+$B$4),DW87-$I87)))))</f>
        <v/>
      </c>
      <c r="DY87" s="68">
        <f>IF($U87=0,0,IF($F87=4,0,IF($F87=3,0,IF(OR(84&gt;$R87,DX87&lt;=$I87),DX87,DX87-MIN(INT(ROUND(IF($F87=1,$C87*$J87,IF(HW87&gt;0,HW87*$K87,DX87*$J87))*IF(84=$R87,$S87,12)/12,6)+$B$4),DX87-$I87)))))</f>
        <v/>
      </c>
      <c r="DZ87" s="68">
        <f>IF($U87=0,0,IF($F87=4,0,IF($F87=3,0,IF(OR(85&gt;$R87,DY87&lt;=$I87),DY87,DY87-MIN(INT(ROUND(IF($F87=1,$C87*$J87,IF(HX87&gt;0,HX87*$K87,DY87*$J87))*IF(85=$R87,$S87,12)/12,6)+$B$4),DY87-$I87)))))</f>
        <v/>
      </c>
      <c r="EA87" s="68">
        <f>IF($U87=0,0,IF($F87=4,0,IF($F87=3,0,IF(OR(86&gt;$R87,DZ87&lt;=$I87),DZ87,DZ87-MIN(INT(ROUND(IF($F87=1,$C87*$J87,IF(HY87&gt;0,HY87*$K87,DZ87*$J87))*IF(86=$R87,$S87,12)/12,6)+$B$4),DZ87-$I87)))))</f>
        <v/>
      </c>
      <c r="EB87" s="68">
        <f>IF($U87=0,0,IF($F87=4,0,IF($F87=3,0,IF(OR(87&gt;$R87,EA87&lt;=$I87),EA87,EA87-MIN(INT(ROUND(IF($F87=1,$C87*$J87,IF(HZ87&gt;0,HZ87*$K87,EA87*$J87))*IF(87=$R87,$S87,12)/12,6)+$B$4),EA87-$I87)))))</f>
        <v/>
      </c>
      <c r="EC87" s="68">
        <f>IF($U87=0,0,IF($F87=4,0,IF($F87=3,0,IF(OR(88&gt;$R87,EB87&lt;=$I87),EB87,EB87-MIN(INT(ROUND(IF($F87=1,$C87*$J87,IF(IA87&gt;0,IA87*$K87,EB87*$J87))*IF(88=$R87,$S87,12)/12,6)+$B$4),EB87-$I87)))))</f>
        <v/>
      </c>
      <c r="ED87" s="68">
        <f>IF($U87=0,0,IF($F87=4,0,IF($F87=3,0,IF(OR(89&gt;$R87,EC87&lt;=$I87),EC87,EC87-MIN(INT(ROUND(IF($F87=1,$C87*$J87,IF(IB87&gt;0,IB87*$K87,EC87*$J87))*IF(89=$R87,$S87,12)/12,6)+$B$4),EC87-$I87)))))</f>
        <v/>
      </c>
      <c r="EE87" s="68">
        <f>IF($U87=0,0,IF($F87=4,0,IF($F87=3,0,IF(OR(90&gt;$R87,ED87&lt;=$I87),ED87,ED87-MIN(INT(ROUND(IF($F87=1,$C87*$J87,IF(IC87&gt;0,IC87*$K87,ED87*$J87))*IF(90=$R87,$S87,12)/12,6)+$B$4),ED87-$I87)))))</f>
        <v/>
      </c>
      <c r="EF87" s="68">
        <f>IF($U87=0,0,IF($F87=4,0,IF($F87=3,0,IF(OR(91&gt;$R87,EE87&lt;=$I87),EE87,EE87-MIN(INT(ROUND(IF($F87=1,$C87*$J87,IF(ID87&gt;0,ID87*$K87,EE87*$J87))*IF(91=$R87,$S87,12)/12,6)+$B$4),EE87-$I87)))))</f>
        <v/>
      </c>
      <c r="EG87" s="68">
        <f>IF($U87=0,0,IF($F87=4,0,IF($F87=3,0,IF(OR(92&gt;$R87,EF87&lt;=$I87),EF87,EF87-MIN(INT(ROUND(IF($F87=1,$C87*$J87,IF(IE87&gt;0,IE87*$K87,EF87*$J87))*IF(92=$R87,$S87,12)/12,6)+$B$4),EF87-$I87)))))</f>
        <v/>
      </c>
      <c r="EH87" s="68">
        <f>IF($U87=0,0,IF($F87=4,0,IF($F87=3,0,IF(OR(93&gt;$R87,EG87&lt;=$I87),EG87,EG87-MIN(INT(ROUND(IF($F87=1,$C87*$J87,IF(IF87&gt;0,IF87*$K87,EG87*$J87))*IF(93=$R87,$S87,12)/12,6)+$B$4),EG87-$I87)))))</f>
        <v/>
      </c>
      <c r="EI87" s="68">
        <f>IF($U87=0,0,IF($F87=4,0,IF($F87=3,0,IF(OR(94&gt;$R87,EH87&lt;=$I87),EH87,EH87-MIN(INT(ROUND(IF($F87=1,$C87*$J87,IF(IG87&gt;0,IG87*$K87,EH87*$J87))*IF(94=$R87,$S87,12)/12,6)+$B$4),EH87-$I87)))))</f>
        <v/>
      </c>
      <c r="EJ87" s="68">
        <f>IF($U87=0,0,IF($F87=4,0,IF($F87=3,0,IF(OR(95&gt;$R87,EI87&lt;=$I87),EI87,EI87-MIN(INT(ROUND(IF($F87=1,$C87*$J87,IF(IH87&gt;0,IH87*$K87,EI87*$J87))*IF(95=$R87,$S87,12)/12,6)+$B$4),EI87-$I87)))))</f>
        <v/>
      </c>
      <c r="EK87" s="68">
        <f>IF($U87=0,0,IF($F87=4,0,IF($F87=3,0,IF(OR(96&gt;$R87,EJ87&lt;=$I87),EJ87,EJ87-MIN(INT(ROUND(IF($F87=1,$C87*$J87,IF(II87&gt;0,II87*$K87,EJ87*$J87))*IF(96=$R87,$S87,12)/12,6)+$B$4),EJ87-$I87)))))</f>
        <v/>
      </c>
      <c r="EL87" s="68">
        <f>IF($U87=0,0,IF($F87=4,0,IF($F87=3,0,IF(OR(97&gt;$R87,EK87&lt;=$I87),EK87,EK87-MIN(INT(ROUND(IF($F87=1,$C87*$J87,IF(IJ87&gt;0,IJ87*$K87,EK87*$J87))*IF(97=$R87,$S87,12)/12,6)+$B$4),EK87-$I87)))))</f>
        <v/>
      </c>
      <c r="EM87" s="68">
        <f>IF($U87=0,0,IF($F87=4,0,IF($F87=3,0,IF(OR(98&gt;$R87,EL87&lt;=$I87),EL87,EL87-MIN(INT(ROUND(IF($F87=1,$C87*$J87,IF(IK87&gt;0,IK87*$K87,EL87*$J87))*IF(98=$R87,$S87,12)/12,6)+$B$4),EL87-$I87)))))</f>
        <v/>
      </c>
      <c r="EN87" s="68">
        <f>IF($U87=0,0,IF($F87=4,0,IF($F87=3,0,IF(OR(99&gt;$R87,EM87&lt;=$I87),EM87,EM87-MIN(INT(ROUND(IF($F87=1,$C87*$J87,IF(IL87&gt;0,IL87*$K87,EM87*$J87))*IF(99=$R87,$S87,12)/12,6)+$B$4),EM87-$I87)))))</f>
        <v/>
      </c>
      <c r="EO87" s="68">
        <f>IF($U87=0,0,IF($F87=4,0,IF($F87=3,0,IF(OR(100&gt;$R87,EN87&lt;=$I87),EN87,EN87-MIN(INT(ROUND(IF($F87=1,$C87*$J87,IF(IM87&gt;0,IM87*$K87,EN87*$J87))*IF(100=$R87,$S87,12)/12,6)+$B$4),EN87-$I87)))))</f>
        <v/>
      </c>
      <c r="EP87" s="68">
        <f>IF($U87=0,0,IF($F87=4,0,IF($F87=3,0,IF(OR(101&gt;$R87,EO87&lt;=$I87),EO87,EO87-MIN(INT(ROUND(IF($F87=1,$C87*$J87,IF(IN87&gt;0,IN87*$K87,EO87*$J87))*IF(101=$R87,$S87,12)/12,6)+$B$4),EO87-$I87)))))</f>
        <v/>
      </c>
      <c r="EQ87" s="68" t="n"/>
      <c r="ER87" s="68">
        <f>IF(OR($U87=0,$F87&lt;&gt;2),0,IF(ROUND(AS87*$J87,6)&lt;ROUND($M87,6),AS87,0))</f>
        <v/>
      </c>
      <c r="ES87" s="68">
        <f>IF(OR($U87=0,$F87&lt;&gt;2),0,IF(ER87&gt;0,ER87,IF(ROUND(AT87*$J87,6)&lt;ROUND($M87,6),AT87,0)))</f>
        <v/>
      </c>
      <c r="ET87" s="68">
        <f>IF(OR($U87=0,$F87&lt;&gt;2),0,IF(ES87&gt;0,ES87,IF(ROUND(AU87*$J87,6)&lt;ROUND($M87,6),AU87,0)))</f>
        <v/>
      </c>
      <c r="EU87" s="68">
        <f>IF(OR($U87=0,$F87&lt;&gt;2),0,IF(ET87&gt;0,ET87,IF(ROUND(AV87*$J87,6)&lt;ROUND($M87,6),AV87,0)))</f>
        <v/>
      </c>
      <c r="EV87" s="68">
        <f>IF(OR($U87=0,$F87&lt;&gt;2),0,IF(EU87&gt;0,EU87,IF(ROUND(AW87*$J87,6)&lt;ROUND($M87,6),AW87,0)))</f>
        <v/>
      </c>
      <c r="EW87" s="68">
        <f>IF(OR($U87=0,$F87&lt;&gt;2),0,IF(EV87&gt;0,EV87,IF(ROUND(AX87*$J87,6)&lt;ROUND($M87,6),AX87,0)))</f>
        <v/>
      </c>
      <c r="EX87" s="68">
        <f>IF(OR($U87=0,$F87&lt;&gt;2),0,IF(EW87&gt;0,EW87,IF(ROUND(AY87*$J87,6)&lt;ROUND($M87,6),AY87,0)))</f>
        <v/>
      </c>
      <c r="EY87" s="68">
        <f>IF(OR($U87=0,$F87&lt;&gt;2),0,IF(EX87&gt;0,EX87,IF(ROUND(AZ87*$J87,6)&lt;ROUND($M87,6),AZ87,0)))</f>
        <v/>
      </c>
      <c r="EZ87" s="68">
        <f>IF(OR($U87=0,$F87&lt;&gt;2),0,IF(EY87&gt;0,EY87,IF(ROUND(BA87*$J87,6)&lt;ROUND($M87,6),BA87,0)))</f>
        <v/>
      </c>
      <c r="FA87" s="68">
        <f>IF(OR($U87=0,$F87&lt;&gt;2),0,IF(EZ87&gt;0,EZ87,IF(ROUND(BB87*$J87,6)&lt;ROUND($M87,6),BB87,0)))</f>
        <v/>
      </c>
      <c r="FB87" s="68">
        <f>IF(OR($U87=0,$F87&lt;&gt;2),0,IF(FA87&gt;0,FA87,IF(ROUND(BC87*$J87,6)&lt;ROUND($M87,6),BC87,0)))</f>
        <v/>
      </c>
      <c r="FC87" s="68">
        <f>IF(OR($U87=0,$F87&lt;&gt;2),0,IF(FB87&gt;0,FB87,IF(ROUND(BD87*$J87,6)&lt;ROUND($M87,6),BD87,0)))</f>
        <v/>
      </c>
      <c r="FD87" s="68">
        <f>IF(OR($U87=0,$F87&lt;&gt;2),0,IF(FC87&gt;0,FC87,IF(ROUND(BE87*$J87,6)&lt;ROUND($M87,6),BE87,0)))</f>
        <v/>
      </c>
      <c r="FE87" s="68">
        <f>IF(OR($U87=0,$F87&lt;&gt;2),0,IF(FD87&gt;0,FD87,IF(ROUND(BF87*$J87,6)&lt;ROUND($M87,6),BF87,0)))</f>
        <v/>
      </c>
      <c r="FF87" s="68">
        <f>IF(OR($U87=0,$F87&lt;&gt;2),0,IF(FE87&gt;0,FE87,IF(ROUND(BG87*$J87,6)&lt;ROUND($M87,6),BG87,0)))</f>
        <v/>
      </c>
      <c r="FG87" s="68">
        <f>IF(OR($U87=0,$F87&lt;&gt;2),0,IF(FF87&gt;0,FF87,IF(ROUND(BH87*$J87,6)&lt;ROUND($M87,6),BH87,0)))</f>
        <v/>
      </c>
      <c r="FH87" s="68">
        <f>IF(OR($U87=0,$F87&lt;&gt;2),0,IF(FG87&gt;0,FG87,IF(ROUND(BI87*$J87,6)&lt;ROUND($M87,6),BI87,0)))</f>
        <v/>
      </c>
      <c r="FI87" s="68">
        <f>IF(OR($U87=0,$F87&lt;&gt;2),0,IF(FH87&gt;0,FH87,IF(ROUND(BJ87*$J87,6)&lt;ROUND($M87,6),BJ87,0)))</f>
        <v/>
      </c>
      <c r="FJ87" s="68">
        <f>IF(OR($U87=0,$F87&lt;&gt;2),0,IF(FI87&gt;0,FI87,IF(ROUND(BK87*$J87,6)&lt;ROUND($M87,6),BK87,0)))</f>
        <v/>
      </c>
      <c r="FK87" s="68">
        <f>IF(OR($U87=0,$F87&lt;&gt;2),0,IF(FJ87&gt;0,FJ87,IF(ROUND(BL87*$J87,6)&lt;ROUND($M87,6),BL87,0)))</f>
        <v/>
      </c>
      <c r="FL87" s="68">
        <f>IF(OR($U87=0,$F87&lt;&gt;2),0,IF(FK87&gt;0,FK87,IF(ROUND(BM87*$J87,6)&lt;ROUND($M87,6),BM87,0)))</f>
        <v/>
      </c>
      <c r="FM87" s="68">
        <f>IF(OR($U87=0,$F87&lt;&gt;2),0,IF(FL87&gt;0,FL87,IF(ROUND(BN87*$J87,6)&lt;ROUND($M87,6),BN87,0)))</f>
        <v/>
      </c>
      <c r="FN87" s="68">
        <f>IF(OR($U87=0,$F87&lt;&gt;2),0,IF(FM87&gt;0,FM87,IF(ROUND(BO87*$J87,6)&lt;ROUND($M87,6),BO87,0)))</f>
        <v/>
      </c>
      <c r="FO87" s="68">
        <f>IF(OR($U87=0,$F87&lt;&gt;2),0,IF(FN87&gt;0,FN87,IF(ROUND(BP87*$J87,6)&lt;ROUND($M87,6),BP87,0)))</f>
        <v/>
      </c>
      <c r="FP87" s="68">
        <f>IF(OR($U87=0,$F87&lt;&gt;2),0,IF(FO87&gt;0,FO87,IF(ROUND(BQ87*$J87,6)&lt;ROUND($M87,6),BQ87,0)))</f>
        <v/>
      </c>
      <c r="FQ87" s="68">
        <f>IF(OR($U87=0,$F87&lt;&gt;2),0,IF(FP87&gt;0,FP87,IF(ROUND(BR87*$J87,6)&lt;ROUND($M87,6),BR87,0)))</f>
        <v/>
      </c>
      <c r="FR87" s="68">
        <f>IF(OR($U87=0,$F87&lt;&gt;2),0,IF(FQ87&gt;0,FQ87,IF(ROUND(BS87*$J87,6)&lt;ROUND($M87,6),BS87,0)))</f>
        <v/>
      </c>
      <c r="FS87" s="68">
        <f>IF(OR($U87=0,$F87&lt;&gt;2),0,IF(FR87&gt;0,FR87,IF(ROUND(BT87*$J87,6)&lt;ROUND($M87,6),BT87,0)))</f>
        <v/>
      </c>
      <c r="FT87" s="68">
        <f>IF(OR($U87=0,$F87&lt;&gt;2),0,IF(FS87&gt;0,FS87,IF(ROUND(BU87*$J87,6)&lt;ROUND($M87,6),BU87,0)))</f>
        <v/>
      </c>
      <c r="FU87" s="68">
        <f>IF(OR($U87=0,$F87&lt;&gt;2),0,IF(FT87&gt;0,FT87,IF(ROUND(BV87*$J87,6)&lt;ROUND($M87,6),BV87,0)))</f>
        <v/>
      </c>
      <c r="FV87" s="68">
        <f>IF(OR($U87=0,$F87&lt;&gt;2),0,IF(FU87&gt;0,FU87,IF(ROUND(BW87*$J87,6)&lt;ROUND($M87,6),BW87,0)))</f>
        <v/>
      </c>
      <c r="FW87" s="68">
        <f>IF(OR($U87=0,$F87&lt;&gt;2),0,IF(FV87&gt;0,FV87,IF(ROUND(BX87*$J87,6)&lt;ROUND($M87,6),BX87,0)))</f>
        <v/>
      </c>
      <c r="FX87" s="68">
        <f>IF(OR($U87=0,$F87&lt;&gt;2),0,IF(FW87&gt;0,FW87,IF(ROUND(BY87*$J87,6)&lt;ROUND($M87,6),BY87,0)))</f>
        <v/>
      </c>
      <c r="FY87" s="68">
        <f>IF(OR($U87=0,$F87&lt;&gt;2),0,IF(FX87&gt;0,FX87,IF(ROUND(BZ87*$J87,6)&lt;ROUND($M87,6),BZ87,0)))</f>
        <v/>
      </c>
      <c r="FZ87" s="68">
        <f>IF(OR($U87=0,$F87&lt;&gt;2),0,IF(FY87&gt;0,FY87,IF(ROUND(CA87*$J87,6)&lt;ROUND($M87,6),CA87,0)))</f>
        <v/>
      </c>
      <c r="GA87" s="68">
        <f>IF(OR($U87=0,$F87&lt;&gt;2),0,IF(FZ87&gt;0,FZ87,IF(ROUND(CB87*$J87,6)&lt;ROUND($M87,6),CB87,0)))</f>
        <v/>
      </c>
      <c r="GB87" s="68">
        <f>IF(OR($U87=0,$F87&lt;&gt;2),0,IF(GA87&gt;0,GA87,IF(ROUND(CC87*$J87,6)&lt;ROUND($M87,6),CC87,0)))</f>
        <v/>
      </c>
      <c r="GC87" s="68">
        <f>IF(OR($U87=0,$F87&lt;&gt;2),0,IF(GB87&gt;0,GB87,IF(ROUND(CD87*$J87,6)&lt;ROUND($M87,6),CD87,0)))</f>
        <v/>
      </c>
      <c r="GD87" s="68">
        <f>IF(OR($U87=0,$F87&lt;&gt;2),0,IF(GC87&gt;0,GC87,IF(ROUND(CE87*$J87,6)&lt;ROUND($M87,6),CE87,0)))</f>
        <v/>
      </c>
      <c r="GE87" s="68">
        <f>IF(OR($U87=0,$F87&lt;&gt;2),0,IF(GD87&gt;0,GD87,IF(ROUND(CF87*$J87,6)&lt;ROUND($M87,6),CF87,0)))</f>
        <v/>
      </c>
      <c r="GF87" s="68">
        <f>IF(OR($U87=0,$F87&lt;&gt;2),0,IF(GE87&gt;0,GE87,IF(ROUND(CG87*$J87,6)&lt;ROUND($M87,6),CG87,0)))</f>
        <v/>
      </c>
      <c r="GG87" s="68">
        <f>IF(OR($U87=0,$F87&lt;&gt;2),0,IF(GF87&gt;0,GF87,IF(ROUND(CH87*$J87,6)&lt;ROUND($M87,6),CH87,0)))</f>
        <v/>
      </c>
      <c r="GH87" s="68">
        <f>IF(OR($U87=0,$F87&lt;&gt;2),0,IF(GG87&gt;0,GG87,IF(ROUND(CI87*$J87,6)&lt;ROUND($M87,6),CI87,0)))</f>
        <v/>
      </c>
      <c r="GI87" s="68">
        <f>IF(OR($U87=0,$F87&lt;&gt;2),0,IF(GH87&gt;0,GH87,IF(ROUND(CJ87*$J87,6)&lt;ROUND($M87,6),CJ87,0)))</f>
        <v/>
      </c>
      <c r="GJ87" s="68">
        <f>IF(OR($U87=0,$F87&lt;&gt;2),0,IF(GI87&gt;0,GI87,IF(ROUND(CK87*$J87,6)&lt;ROUND($M87,6),CK87,0)))</f>
        <v/>
      </c>
      <c r="GK87" s="68">
        <f>IF(OR($U87=0,$F87&lt;&gt;2),0,IF(GJ87&gt;0,GJ87,IF(ROUND(CL87*$J87,6)&lt;ROUND($M87,6),CL87,0)))</f>
        <v/>
      </c>
      <c r="GL87" s="68">
        <f>IF(OR($U87=0,$F87&lt;&gt;2),0,IF(GK87&gt;0,GK87,IF(ROUND(CM87*$J87,6)&lt;ROUND($M87,6),CM87,0)))</f>
        <v/>
      </c>
      <c r="GM87" s="68">
        <f>IF(OR($U87=0,$F87&lt;&gt;2),0,IF(GL87&gt;0,GL87,IF(ROUND(CN87*$J87,6)&lt;ROUND($M87,6),CN87,0)))</f>
        <v/>
      </c>
      <c r="GN87" s="68">
        <f>IF(OR($U87=0,$F87&lt;&gt;2),0,IF(GM87&gt;0,GM87,IF(ROUND(CO87*$J87,6)&lt;ROUND($M87,6),CO87,0)))</f>
        <v/>
      </c>
      <c r="GO87" s="68">
        <f>IF(OR($U87=0,$F87&lt;&gt;2),0,IF(GN87&gt;0,GN87,IF(ROUND(CP87*$J87,6)&lt;ROUND($M87,6),CP87,0)))</f>
        <v/>
      </c>
      <c r="GP87" s="68">
        <f>IF(OR($U87=0,$F87&lt;&gt;2),0,IF(GO87&gt;0,GO87,IF(ROUND(CQ87*$J87,6)&lt;ROUND($M87,6),CQ87,0)))</f>
        <v/>
      </c>
      <c r="GQ87" s="68">
        <f>IF(OR($U87=0,$F87&lt;&gt;2),0,IF(GP87&gt;0,GP87,IF(ROUND(CR87*$J87,6)&lt;ROUND($M87,6),CR87,0)))</f>
        <v/>
      </c>
      <c r="GR87" s="68">
        <f>IF(OR($U87=0,$F87&lt;&gt;2),0,IF(GQ87&gt;0,GQ87,IF(ROUND(CS87*$J87,6)&lt;ROUND($M87,6),CS87,0)))</f>
        <v/>
      </c>
      <c r="GS87" s="68">
        <f>IF(OR($U87=0,$F87&lt;&gt;2),0,IF(GR87&gt;0,GR87,IF(ROUND(CT87*$J87,6)&lt;ROUND($M87,6),CT87,0)))</f>
        <v/>
      </c>
      <c r="GT87" s="68">
        <f>IF(OR($U87=0,$F87&lt;&gt;2),0,IF(GS87&gt;0,GS87,IF(ROUND(CU87*$J87,6)&lt;ROUND($M87,6),CU87,0)))</f>
        <v/>
      </c>
      <c r="GU87" s="68">
        <f>IF(OR($U87=0,$F87&lt;&gt;2),0,IF(GT87&gt;0,GT87,IF(ROUND(CV87*$J87,6)&lt;ROUND($M87,6),CV87,0)))</f>
        <v/>
      </c>
      <c r="GV87" s="68">
        <f>IF(OR($U87=0,$F87&lt;&gt;2),0,IF(GU87&gt;0,GU87,IF(ROUND(CW87*$J87,6)&lt;ROUND($M87,6),CW87,0)))</f>
        <v/>
      </c>
      <c r="GW87" s="68">
        <f>IF(OR($U87=0,$F87&lt;&gt;2),0,IF(GV87&gt;0,GV87,IF(ROUND(CX87*$J87,6)&lt;ROUND($M87,6),CX87,0)))</f>
        <v/>
      </c>
      <c r="GX87" s="68">
        <f>IF(OR($U87=0,$F87&lt;&gt;2),0,IF(GW87&gt;0,GW87,IF(ROUND(CY87*$J87,6)&lt;ROUND($M87,6),CY87,0)))</f>
        <v/>
      </c>
      <c r="GY87" s="68">
        <f>IF(OR($U87=0,$F87&lt;&gt;2),0,IF(GX87&gt;0,GX87,IF(ROUND(CZ87*$J87,6)&lt;ROUND($M87,6),CZ87,0)))</f>
        <v/>
      </c>
      <c r="GZ87" s="68">
        <f>IF(OR($U87=0,$F87&lt;&gt;2),0,IF(GY87&gt;0,GY87,IF(ROUND(DA87*$J87,6)&lt;ROUND($M87,6),DA87,0)))</f>
        <v/>
      </c>
      <c r="HA87" s="68">
        <f>IF(OR($U87=0,$F87&lt;&gt;2),0,IF(GZ87&gt;0,GZ87,IF(ROUND(DB87*$J87,6)&lt;ROUND($M87,6),DB87,0)))</f>
        <v/>
      </c>
      <c r="HB87" s="68">
        <f>IF(OR($U87=0,$F87&lt;&gt;2),0,IF(HA87&gt;0,HA87,IF(ROUND(DC87*$J87,6)&lt;ROUND($M87,6),DC87,0)))</f>
        <v/>
      </c>
      <c r="HC87" s="68">
        <f>IF(OR($U87=0,$F87&lt;&gt;2),0,IF(HB87&gt;0,HB87,IF(ROUND(DD87*$J87,6)&lt;ROUND($M87,6),DD87,0)))</f>
        <v/>
      </c>
      <c r="HD87" s="68">
        <f>IF(OR($U87=0,$F87&lt;&gt;2),0,IF(HC87&gt;0,HC87,IF(ROUND(DE87*$J87,6)&lt;ROUND($M87,6),DE87,0)))</f>
        <v/>
      </c>
      <c r="HE87" s="68">
        <f>IF(OR($U87=0,$F87&lt;&gt;2),0,IF(HD87&gt;0,HD87,IF(ROUND(DF87*$J87,6)&lt;ROUND($M87,6),DF87,0)))</f>
        <v/>
      </c>
      <c r="HF87" s="68">
        <f>IF(OR($U87=0,$F87&lt;&gt;2),0,IF(HE87&gt;0,HE87,IF(ROUND(DG87*$J87,6)&lt;ROUND($M87,6),DG87,0)))</f>
        <v/>
      </c>
      <c r="HG87" s="68">
        <f>IF(OR($U87=0,$F87&lt;&gt;2),0,IF(HF87&gt;0,HF87,IF(ROUND(DH87*$J87,6)&lt;ROUND($M87,6),DH87,0)))</f>
        <v/>
      </c>
      <c r="HH87" s="68">
        <f>IF(OR($U87=0,$F87&lt;&gt;2),0,IF(HG87&gt;0,HG87,IF(ROUND(DI87*$J87,6)&lt;ROUND($M87,6),DI87,0)))</f>
        <v/>
      </c>
      <c r="HI87" s="68">
        <f>IF(OR($U87=0,$F87&lt;&gt;2),0,IF(HH87&gt;0,HH87,IF(ROUND(DJ87*$J87,6)&lt;ROUND($M87,6),DJ87,0)))</f>
        <v/>
      </c>
      <c r="HJ87" s="68">
        <f>IF(OR($U87=0,$F87&lt;&gt;2),0,IF(HI87&gt;0,HI87,IF(ROUND(DK87*$J87,6)&lt;ROUND($M87,6),DK87,0)))</f>
        <v/>
      </c>
      <c r="HK87" s="68">
        <f>IF(OR($U87=0,$F87&lt;&gt;2),0,IF(HJ87&gt;0,HJ87,IF(ROUND(DL87*$J87,6)&lt;ROUND($M87,6),DL87,0)))</f>
        <v/>
      </c>
      <c r="HL87" s="68">
        <f>IF(OR($U87=0,$F87&lt;&gt;2),0,IF(HK87&gt;0,HK87,IF(ROUND(DM87*$J87,6)&lt;ROUND($M87,6),DM87,0)))</f>
        <v/>
      </c>
      <c r="HM87" s="68">
        <f>IF(OR($U87=0,$F87&lt;&gt;2),0,IF(HL87&gt;0,HL87,IF(ROUND(DN87*$J87,6)&lt;ROUND($M87,6),DN87,0)))</f>
        <v/>
      </c>
      <c r="HN87" s="68">
        <f>IF(OR($U87=0,$F87&lt;&gt;2),0,IF(HM87&gt;0,HM87,IF(ROUND(DO87*$J87,6)&lt;ROUND($M87,6),DO87,0)))</f>
        <v/>
      </c>
      <c r="HO87" s="68">
        <f>IF(OR($U87=0,$F87&lt;&gt;2),0,IF(HN87&gt;0,HN87,IF(ROUND(DP87*$J87,6)&lt;ROUND($M87,6),DP87,0)))</f>
        <v/>
      </c>
      <c r="HP87" s="68">
        <f>IF(OR($U87=0,$F87&lt;&gt;2),0,IF(HO87&gt;0,HO87,IF(ROUND(DQ87*$J87,6)&lt;ROUND($M87,6),DQ87,0)))</f>
        <v/>
      </c>
      <c r="HQ87" s="68">
        <f>IF(OR($U87=0,$F87&lt;&gt;2),0,IF(HP87&gt;0,HP87,IF(ROUND(DR87*$J87,6)&lt;ROUND($M87,6),DR87,0)))</f>
        <v/>
      </c>
      <c r="HR87" s="68">
        <f>IF(OR($U87=0,$F87&lt;&gt;2),0,IF(HQ87&gt;0,HQ87,IF(ROUND(DS87*$J87,6)&lt;ROUND($M87,6),DS87,0)))</f>
        <v/>
      </c>
      <c r="HS87" s="68">
        <f>IF(OR($U87=0,$F87&lt;&gt;2),0,IF(HR87&gt;0,HR87,IF(ROUND(DT87*$J87,6)&lt;ROUND($M87,6),DT87,0)))</f>
        <v/>
      </c>
      <c r="HT87" s="68">
        <f>IF(OR($U87=0,$F87&lt;&gt;2),0,IF(HS87&gt;0,HS87,IF(ROUND(DU87*$J87,6)&lt;ROUND($M87,6),DU87,0)))</f>
        <v/>
      </c>
      <c r="HU87" s="68">
        <f>IF(OR($U87=0,$F87&lt;&gt;2),0,IF(HT87&gt;0,HT87,IF(ROUND(DV87*$J87,6)&lt;ROUND($M87,6),DV87,0)))</f>
        <v/>
      </c>
      <c r="HV87" s="68">
        <f>IF(OR($U87=0,$F87&lt;&gt;2),0,IF(HU87&gt;0,HU87,IF(ROUND(DW87*$J87,6)&lt;ROUND($M87,6),DW87,0)))</f>
        <v/>
      </c>
      <c r="HW87" s="68">
        <f>IF(OR($U87=0,$F87&lt;&gt;2),0,IF(HV87&gt;0,HV87,IF(ROUND(DX87*$J87,6)&lt;ROUND($M87,6),DX87,0)))</f>
        <v/>
      </c>
      <c r="HX87" s="68">
        <f>IF(OR($U87=0,$F87&lt;&gt;2),0,IF(HW87&gt;0,HW87,IF(ROUND(DY87*$J87,6)&lt;ROUND($M87,6),DY87,0)))</f>
        <v/>
      </c>
      <c r="HY87" s="68">
        <f>IF(OR($U87=0,$F87&lt;&gt;2),0,IF(HX87&gt;0,HX87,IF(ROUND(DZ87*$J87,6)&lt;ROUND($M87,6),DZ87,0)))</f>
        <v/>
      </c>
      <c r="HZ87" s="68">
        <f>IF(OR($U87=0,$F87&lt;&gt;2),0,IF(HY87&gt;0,HY87,IF(ROUND(EA87*$J87,6)&lt;ROUND($M87,6),EA87,0)))</f>
        <v/>
      </c>
      <c r="IA87" s="68">
        <f>IF(OR($U87=0,$F87&lt;&gt;2),0,IF(HZ87&gt;0,HZ87,IF(ROUND(EB87*$J87,6)&lt;ROUND($M87,6),EB87,0)))</f>
        <v/>
      </c>
      <c r="IB87" s="68">
        <f>IF(OR($U87=0,$F87&lt;&gt;2),0,IF(IA87&gt;0,IA87,IF(ROUND(EC87*$J87,6)&lt;ROUND($M87,6),EC87,0)))</f>
        <v/>
      </c>
      <c r="IC87" s="68">
        <f>IF(OR($U87=0,$F87&lt;&gt;2),0,IF(IB87&gt;0,IB87,IF(ROUND(ED87*$J87,6)&lt;ROUND($M87,6),ED87,0)))</f>
        <v/>
      </c>
      <c r="ID87" s="68">
        <f>IF(OR($U87=0,$F87&lt;&gt;2),0,IF(IC87&gt;0,IC87,IF(ROUND(EE87*$J87,6)&lt;ROUND($M87,6),EE87,0)))</f>
        <v/>
      </c>
      <c r="IE87" s="68">
        <f>IF(OR($U87=0,$F87&lt;&gt;2),0,IF(ID87&gt;0,ID87,IF(ROUND(EF87*$J87,6)&lt;ROUND($M87,6),EF87,0)))</f>
        <v/>
      </c>
      <c r="IF87" s="68">
        <f>IF(OR($U87=0,$F87&lt;&gt;2),0,IF(IE87&gt;0,IE87,IF(ROUND(EG87*$J87,6)&lt;ROUND($M87,6),EG87,0)))</f>
        <v/>
      </c>
      <c r="IG87" s="68">
        <f>IF(OR($U87=0,$F87&lt;&gt;2),0,IF(IF87&gt;0,IF87,IF(ROUND(EH87*$J87,6)&lt;ROUND($M87,6),EH87,0)))</f>
        <v/>
      </c>
      <c r="IH87" s="68">
        <f>IF(OR($U87=0,$F87&lt;&gt;2),0,IF(IG87&gt;0,IG87,IF(ROUND(EI87*$J87,6)&lt;ROUND($M87,6),EI87,0)))</f>
        <v/>
      </c>
      <c r="II87" s="68">
        <f>IF(OR($U87=0,$F87&lt;&gt;2),0,IF(IH87&gt;0,IH87,IF(ROUND(EJ87*$J87,6)&lt;ROUND($M87,6),EJ87,0)))</f>
        <v/>
      </c>
      <c r="IJ87" s="68">
        <f>IF(OR($U87=0,$F87&lt;&gt;2),0,IF(II87&gt;0,II87,IF(ROUND(EK87*$J87,6)&lt;ROUND($M87,6),EK87,0)))</f>
        <v/>
      </c>
      <c r="IK87" s="68">
        <f>IF(OR($U87=0,$F87&lt;&gt;2),0,IF(IJ87&gt;0,IJ87,IF(ROUND(EL87*$J87,6)&lt;ROUND($M87,6),EL87,0)))</f>
        <v/>
      </c>
      <c r="IL87" s="68">
        <f>IF(OR($U87=0,$F87&lt;&gt;2),0,IF(IK87&gt;0,IK87,IF(ROUND(EM87*$J87,6)&lt;ROUND($M87,6),EM87,0)))</f>
        <v/>
      </c>
      <c r="IM87" s="68">
        <f>IF(OR($U87=0,$F87&lt;&gt;2),0,IF(IL87&gt;0,IL87,IF(ROUND(EN87*$J87,6)&lt;ROUND($M87,6),EN87,0)))</f>
        <v/>
      </c>
      <c r="IN87" s="68">
        <f>IF(OR($U87=0,$F87&lt;&gt;2),0,IF(IM87&gt;0,IM87,IF(ROUND(EO87*$J87,6)&lt;ROUND($M87,6),EO87,0)))</f>
        <v/>
      </c>
    </row>
    <row r="88">
      <c r="A88" s="68" t="n">
        <v>83</v>
      </c>
      <c r="B88" s="68">
        <f>IF(OR(TRIM('固定資産台帳'!$B88)&lt;&gt;"",'固定資産台帳'!$E88&lt;&gt;"",'固定資産台帳'!$G88&lt;&gt;"",'固定資産台帳'!$H88&lt;&gt;""),1,0)</f>
        <v/>
      </c>
      <c r="C88" s="68">
        <f>IF(ISNUMBER('固定資産台帳'!$G88),MAX(ROUND('固定資産台帳'!$G88,0),0),0)</f>
        <v/>
      </c>
      <c r="D88" s="84">
        <f>IF(ISNUMBER('固定資産台帳'!$E88),INT('固定資産台帳'!$E88),0)</f>
        <v/>
      </c>
      <c r="E88" s="84">
        <f>IF(ISNUMBER('固定資産台帳'!$F88),INT('固定資産台帳'!$F88),$D88)</f>
        <v/>
      </c>
      <c r="F88" s="68">
        <f>IF('固定資産台帳'!$H88="定額法",1,IF(OR('固定資産台帳'!$H88="定率法",'固定資産台帳'!$H88="定率法（200%）",'固定資産台帳'!$H88="定率法（250%）"),2,IF('固定資産台帳'!$H88="一括償却（3年）",3,IF('固定資産台帳'!$H88="少額特例",4,0))))</f>
        <v/>
      </c>
      <c r="G88" s="68">
        <f>IF('固定資産台帳'!$H88="定率法（250%）",250,IF('固定資産台帳'!$H88="定率法（200%）",200,IF($D88&gt;=DATE(2012,4,1),200,250)))</f>
        <v/>
      </c>
      <c r="H88" s="68">
        <f>IF(ISNUMBER('固定資産台帳'!$I88),IF(AND('固定資産台帳'!$I88&gt;=2,'固定資産台帳'!$I88&lt;=100,'固定資産台帳'!$I88=INT('固定資産台帳'!$I88)),'固定資産台帳'!$I88,0),0)</f>
        <v/>
      </c>
      <c r="I88" s="68">
        <f>IF('固定資産台帳'!$C88="無形固定資産",0,1)</f>
        <v/>
      </c>
      <c r="J88" s="68">
        <f>IF(OR($H88=0,$F88=0,$F88&gt;2),0,IF($F88=1,INDEX('償却率表'!$B$6:$B$104,$H88-1),IF($G88=200,INDEX('償却率表'!$C$6:$C$104,$H88-1),INDEX('償却率表'!$F$6:$F$104,$H88-1))))</f>
        <v/>
      </c>
      <c r="K88" s="68">
        <f>IF(AND($F88=2,$H88&gt;0),IF($G88=200,INDEX('償却率表'!$D$6:$D$104,$H88-1),INDEX('償却率表'!$G$6:$G$104,$H88-1)),0)</f>
        <v/>
      </c>
      <c r="L88" s="68">
        <f>IF(AND($F88=2,$H88&gt;0),IF($G88=200,INDEX('償却率表'!$E$6:$E$104,$H88-1),INDEX('償却率表'!$H$6:$H$104,$H88-1)),0)</f>
        <v/>
      </c>
      <c r="M88" s="68">
        <f>$C88*$L88</f>
        <v/>
      </c>
      <c r="N88" s="68">
        <f>IF($B$1=1,1,IF('固定資産台帳'!$J88="",1,IF(ISNUMBER('固定資産台帳'!$J88),IF(AND('固定資産台帳'!$J88&gt;0,'固定資産台帳'!$J88&lt;=1),'固定資産台帳'!$J88,0),0)))</f>
        <v/>
      </c>
      <c r="O88" s="68">
        <f>IF($E88=0,0,YEAR($E88)-IF(MONTH($E88)&lt;$B$2,1,0))</f>
        <v/>
      </c>
      <c r="P88" s="68">
        <f>IF($E88=0,0,12-MOD(MONTH($E88)-$B$2,12))</f>
        <v/>
      </c>
      <c r="Q88" s="84">
        <f>IF(ISNUMBER('固定資産台帳'!$K88),INT('固定資産台帳'!$K88),0)</f>
        <v/>
      </c>
      <c r="R88" s="68">
        <f>IF(OR($Q88=0,$E88=0),999,YEAR($Q88)-IF(MONTH($Q88)&lt;$B$2,1,0)-$O88)</f>
        <v/>
      </c>
      <c r="S88" s="68">
        <f>IF($R88=999,0,MOD(MONTH($Q88)-$B$2,12)+1-IF($R88=0,12-$P88,0))</f>
        <v/>
      </c>
      <c r="T88" s="68">
        <f>IF($B88=0,0,IF($C88&lt;=0,1,IF($D88=0,2,IF($F88=0,3,IF(AND($F88&lt;=2,$H88=0),4,IF(AND($F88&lt;=2,$D88&lt;DATE(2007,4,1)),5,IF($E88&lt;$D88,6,IF(AND($Q88&gt;0,$Q88&lt;$E88),7,IF($N88=0,8,IF($B$3=0,9,0))))))))))</f>
        <v/>
      </c>
      <c r="U88" s="68">
        <f>IF(AND($B88=1,$T88=0),1,0)</f>
        <v/>
      </c>
      <c r="V88" s="68">
        <f>$B$3-$O88</f>
        <v/>
      </c>
      <c r="W88" s="68">
        <f>IF(AND($U88=1,$V88&gt;=0),1,0)</f>
        <v/>
      </c>
      <c r="X88" s="68">
        <f>IF($W88=0,0,IF($V88=0,$C88,INDEX($AS88:$EP88,MIN($V88,102))))</f>
        <v/>
      </c>
      <c r="Y88" s="68">
        <f>IF($W88=0,0,INDEX($AS88:$EP88,MIN($V88,101)+1))</f>
        <v/>
      </c>
      <c r="Z88" s="68">
        <f>$X88-$Y88</f>
        <v/>
      </c>
      <c r="AA88" s="68">
        <f>IF(AND($W88=1,$F88=2,$V88&gt;=1),INDEX($ER88:$IN88,MIN($V88,101)),0)</f>
        <v/>
      </c>
      <c r="AB88" s="68">
        <f>IF(OR($W88=0,$F88&gt;2,$Z88=0),0,IF($V88=0,IF($R88=0,$S88,$P88),IF($V88=$R88,$S88,12)))</f>
        <v/>
      </c>
      <c r="AC88" s="68">
        <f>IF($W88=0,0,INT(ROUND($Z88*$N88,6)+$B$4))</f>
        <v/>
      </c>
      <c r="AD88" s="68">
        <f>IF(AND($W88=1,$F88&lt;=2,$V88=$R88),1,0)</f>
        <v/>
      </c>
      <c r="AE88" s="68">
        <f>IF(AND($W88=1,$F88&lt;=2,$V88&gt;$R88),1,0)</f>
        <v/>
      </c>
      <c r="AF88" s="68">
        <f>IF(AND($W88=1,$AE88=0,OR($Z88&gt;0,$AD88=1)),1,0)</f>
        <v/>
      </c>
      <c r="AG88" s="68">
        <f>IF($AF88=1,SUM($AF$6:$AF88),0)</f>
        <v/>
      </c>
      <c r="AH88" s="68">
        <f>IF($T88=0,"",CHOOSE($T88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88" s="68">
        <f>IF(AND($F88=2,OR('固定資産台帳'!$C88="建物",'固定資産台帳'!$C88="無形固定資産",AND(OR('固定資産台帳'!$C88="建物附属設備",'固定資産台帳'!$C88="構築物"),$D88&gt;=DATE(2016,4,1)))),"この資産は定額法だけです（定率法は使えません）。","")&amp;IF(AND($F88=3,$C88&gt;=200000),"一括償却は20万円未満の資産だけです。","")&amp;IF(AND($F88=3,$B$1=0,$C88&lt;100000),"10万円未満は一括償却にせず、全額をその年の経費にします。","")&amp;IF(AND($F88=4,$C88&lt;100000),"10万円未満は少額特例ではなく、全額をその年の経費にします。","")&amp;IF(AND($F88=4,$D88&lt;DATE(2026,4,1),$C88&gt;=300000),"2026年3月31日までの取得で少額特例が使えるのは30万円未満です。","")&amp;IF(AND($F88=4,$D88&gt;=DATE(2026,4,1),$C88&gt;=400000),"少額特例は40万円未満の資産だけです。","")&amp;IF(AND($F88=4,OR($D88&lt;DATE(2006,4,1),$D88&gt;DATE(2029,3,31))),"少額特例は2006年4月1日〜2029年3月31日に取得した資産だけです。","")&amp;IF(AND($F88=2,$G88=250,$D88&gt;DATE(2012,12,31)),"250%定率法は2012年12月31日までの取得だけです。","")</f>
        <v/>
      </c>
      <c r="AJ88" s="68">
        <f>IF(AND($F88=2,'固定資産台帳'!$H88="定率法（200%）",$D88&lt;DATE(2012,4,1)),"2012年3月31日までの取得に200%を使うのは、経過措置の届出をした場合です。","")&amp;IF(AND($F88=2,'固定資産台帳'!$H88="定率法（250%）",$D88&gt;=DATE(2012,4,1),$D88&lt;=DATE(2012,12,31)),"2012年4〜12月の取得に250%を使うのは、経過措置を選んだ場合です。","")</f>
        <v/>
      </c>
      <c r="AK88" s="68">
        <f>IF($U88=0,"",IF($V88&lt;0,"表示している年より後に使い始める資産です。",IF($AE88=1,"売却・除却済みです。",IF($AD88=1,"この年に売却・除却。期末の帳簿価額 "&amp;TEXT($Y88,"#,##0")&amp;"円を帳簿から外します。",IF($F88=4,IF($V88=0,"少額特例：この年に全額を経費にします。","少額特例で経費にした資産です。"),IF($F88=3,IF($V88&gt;2,"一括償却は終わっています。","一括償却 "&amp;($V88+1)&amp;"年目（3年のうち）。"),IF($Z88=0,"償却済み（帳簿価額 "&amp;TEXT($Y88,"#,##0")&amp;"円）。",IF($AA88&gt;0,"改定償却率で計算（改定取得価額 "&amp;TEXT($AA88,"#,##0")&amp;"円）。",IF($V88=0,"この年に使い始め（"&amp;$AB88&amp;"か月分）。","")))))))))</f>
        <v/>
      </c>
      <c r="AL88" s="68">
        <f>IF(AND($U88=1,$F88=4,$V88=0),$C88,0)</f>
        <v/>
      </c>
      <c r="AM88" s="68">
        <f>IF($F88=2,INT(ROUND($M88,6)+$B$4),0)</f>
        <v/>
      </c>
      <c r="AN88" s="68">
        <f>IF($W88=0,0,IF($F88=2,IF($AA88&gt;0,$AA88,$X88),$C88))</f>
        <v/>
      </c>
      <c r="AO88" s="68">
        <f>IF($W88=0,"",IF($F88=3,"1/3",IF($F88=4,"―",IF($AA88&gt;0,$K88,$J88))))</f>
        <v/>
      </c>
      <c r="AP88" s="68" t="n"/>
      <c r="AQ88" s="68" t="n"/>
      <c r="AR88" s="68" t="n"/>
      <c r="AS88" s="68">
        <f>IF($U88=0,0,IF($F88=4,0,IF($F88=3,MAX($C88-INT(ROUND($C88/3,6)+$B$4),0),$C88-MIN(INT(ROUND($C88*$J88*IF($R88=0,$S88,$P88)/12,6)+$B$4),MAX($C88-$I88,0)))))</f>
        <v/>
      </c>
      <c r="AT88" s="68">
        <f>IF($U88=0,0,IF($F88=4,0,IF($F88=3,AS88-MIN(INT(ROUND($C88/3,6)+$B$4),AS88),IF(OR(1&gt;$R88,AS88&lt;=$I88),AS88,AS88-MIN(INT(ROUND(IF($F88=1,$C88*$J88,IF(ER88&gt;0,ER88*$K88,AS88*$J88))*IF(1=$R88,$S88,12)/12,6)+$B$4),AS88-$I88)))))</f>
        <v/>
      </c>
      <c r="AU88" s="68">
        <f>IF($U88=0,0,IF($F88=4,0,IF($F88=3,0,IF(OR(2&gt;$R88,AT88&lt;=$I88),AT88,AT88-MIN(INT(ROUND(IF($F88=1,$C88*$J88,IF(ES88&gt;0,ES88*$K88,AT88*$J88))*IF(2=$R88,$S88,12)/12,6)+$B$4),AT88-$I88)))))</f>
        <v/>
      </c>
      <c r="AV88" s="68">
        <f>IF($U88=0,0,IF($F88=4,0,IF($F88=3,0,IF(OR(3&gt;$R88,AU88&lt;=$I88),AU88,AU88-MIN(INT(ROUND(IF($F88=1,$C88*$J88,IF(ET88&gt;0,ET88*$K88,AU88*$J88))*IF(3=$R88,$S88,12)/12,6)+$B$4),AU88-$I88)))))</f>
        <v/>
      </c>
      <c r="AW88" s="68">
        <f>IF($U88=0,0,IF($F88=4,0,IF($F88=3,0,IF(OR(4&gt;$R88,AV88&lt;=$I88),AV88,AV88-MIN(INT(ROUND(IF($F88=1,$C88*$J88,IF(EU88&gt;0,EU88*$K88,AV88*$J88))*IF(4=$R88,$S88,12)/12,6)+$B$4),AV88-$I88)))))</f>
        <v/>
      </c>
      <c r="AX88" s="68">
        <f>IF($U88=0,0,IF($F88=4,0,IF($F88=3,0,IF(OR(5&gt;$R88,AW88&lt;=$I88),AW88,AW88-MIN(INT(ROUND(IF($F88=1,$C88*$J88,IF(EV88&gt;0,EV88*$K88,AW88*$J88))*IF(5=$R88,$S88,12)/12,6)+$B$4),AW88-$I88)))))</f>
        <v/>
      </c>
      <c r="AY88" s="68">
        <f>IF($U88=0,0,IF($F88=4,0,IF($F88=3,0,IF(OR(6&gt;$R88,AX88&lt;=$I88),AX88,AX88-MIN(INT(ROUND(IF($F88=1,$C88*$J88,IF(EW88&gt;0,EW88*$K88,AX88*$J88))*IF(6=$R88,$S88,12)/12,6)+$B$4),AX88-$I88)))))</f>
        <v/>
      </c>
      <c r="AZ88" s="68">
        <f>IF($U88=0,0,IF($F88=4,0,IF($F88=3,0,IF(OR(7&gt;$R88,AY88&lt;=$I88),AY88,AY88-MIN(INT(ROUND(IF($F88=1,$C88*$J88,IF(EX88&gt;0,EX88*$K88,AY88*$J88))*IF(7=$R88,$S88,12)/12,6)+$B$4),AY88-$I88)))))</f>
        <v/>
      </c>
      <c r="BA88" s="68">
        <f>IF($U88=0,0,IF($F88=4,0,IF($F88=3,0,IF(OR(8&gt;$R88,AZ88&lt;=$I88),AZ88,AZ88-MIN(INT(ROUND(IF($F88=1,$C88*$J88,IF(EY88&gt;0,EY88*$K88,AZ88*$J88))*IF(8=$R88,$S88,12)/12,6)+$B$4),AZ88-$I88)))))</f>
        <v/>
      </c>
      <c r="BB88" s="68">
        <f>IF($U88=0,0,IF($F88=4,0,IF($F88=3,0,IF(OR(9&gt;$R88,BA88&lt;=$I88),BA88,BA88-MIN(INT(ROUND(IF($F88=1,$C88*$J88,IF(EZ88&gt;0,EZ88*$K88,BA88*$J88))*IF(9=$R88,$S88,12)/12,6)+$B$4),BA88-$I88)))))</f>
        <v/>
      </c>
      <c r="BC88" s="68">
        <f>IF($U88=0,0,IF($F88=4,0,IF($F88=3,0,IF(OR(10&gt;$R88,BB88&lt;=$I88),BB88,BB88-MIN(INT(ROUND(IF($F88=1,$C88*$J88,IF(FA88&gt;0,FA88*$K88,BB88*$J88))*IF(10=$R88,$S88,12)/12,6)+$B$4),BB88-$I88)))))</f>
        <v/>
      </c>
      <c r="BD88" s="68">
        <f>IF($U88=0,0,IF($F88=4,0,IF($F88=3,0,IF(OR(11&gt;$R88,BC88&lt;=$I88),BC88,BC88-MIN(INT(ROUND(IF($F88=1,$C88*$J88,IF(FB88&gt;0,FB88*$K88,BC88*$J88))*IF(11=$R88,$S88,12)/12,6)+$B$4),BC88-$I88)))))</f>
        <v/>
      </c>
      <c r="BE88" s="68">
        <f>IF($U88=0,0,IF($F88=4,0,IF($F88=3,0,IF(OR(12&gt;$R88,BD88&lt;=$I88),BD88,BD88-MIN(INT(ROUND(IF($F88=1,$C88*$J88,IF(FC88&gt;0,FC88*$K88,BD88*$J88))*IF(12=$R88,$S88,12)/12,6)+$B$4),BD88-$I88)))))</f>
        <v/>
      </c>
      <c r="BF88" s="68">
        <f>IF($U88=0,0,IF($F88=4,0,IF($F88=3,0,IF(OR(13&gt;$R88,BE88&lt;=$I88),BE88,BE88-MIN(INT(ROUND(IF($F88=1,$C88*$J88,IF(FD88&gt;0,FD88*$K88,BE88*$J88))*IF(13=$R88,$S88,12)/12,6)+$B$4),BE88-$I88)))))</f>
        <v/>
      </c>
      <c r="BG88" s="68">
        <f>IF($U88=0,0,IF($F88=4,0,IF($F88=3,0,IF(OR(14&gt;$R88,BF88&lt;=$I88),BF88,BF88-MIN(INT(ROUND(IF($F88=1,$C88*$J88,IF(FE88&gt;0,FE88*$K88,BF88*$J88))*IF(14=$R88,$S88,12)/12,6)+$B$4),BF88-$I88)))))</f>
        <v/>
      </c>
      <c r="BH88" s="68">
        <f>IF($U88=0,0,IF($F88=4,0,IF($F88=3,0,IF(OR(15&gt;$R88,BG88&lt;=$I88),BG88,BG88-MIN(INT(ROUND(IF($F88=1,$C88*$J88,IF(FF88&gt;0,FF88*$K88,BG88*$J88))*IF(15=$R88,$S88,12)/12,6)+$B$4),BG88-$I88)))))</f>
        <v/>
      </c>
      <c r="BI88" s="68">
        <f>IF($U88=0,0,IF($F88=4,0,IF($F88=3,0,IF(OR(16&gt;$R88,BH88&lt;=$I88),BH88,BH88-MIN(INT(ROUND(IF($F88=1,$C88*$J88,IF(FG88&gt;0,FG88*$K88,BH88*$J88))*IF(16=$R88,$S88,12)/12,6)+$B$4),BH88-$I88)))))</f>
        <v/>
      </c>
      <c r="BJ88" s="68">
        <f>IF($U88=0,0,IF($F88=4,0,IF($F88=3,0,IF(OR(17&gt;$R88,BI88&lt;=$I88),BI88,BI88-MIN(INT(ROUND(IF($F88=1,$C88*$J88,IF(FH88&gt;0,FH88*$K88,BI88*$J88))*IF(17=$R88,$S88,12)/12,6)+$B$4),BI88-$I88)))))</f>
        <v/>
      </c>
      <c r="BK88" s="68">
        <f>IF($U88=0,0,IF($F88=4,0,IF($F88=3,0,IF(OR(18&gt;$R88,BJ88&lt;=$I88),BJ88,BJ88-MIN(INT(ROUND(IF($F88=1,$C88*$J88,IF(FI88&gt;0,FI88*$K88,BJ88*$J88))*IF(18=$R88,$S88,12)/12,6)+$B$4),BJ88-$I88)))))</f>
        <v/>
      </c>
      <c r="BL88" s="68">
        <f>IF($U88=0,0,IF($F88=4,0,IF($F88=3,0,IF(OR(19&gt;$R88,BK88&lt;=$I88),BK88,BK88-MIN(INT(ROUND(IF($F88=1,$C88*$J88,IF(FJ88&gt;0,FJ88*$K88,BK88*$J88))*IF(19=$R88,$S88,12)/12,6)+$B$4),BK88-$I88)))))</f>
        <v/>
      </c>
      <c r="BM88" s="68">
        <f>IF($U88=0,0,IF($F88=4,0,IF($F88=3,0,IF(OR(20&gt;$R88,BL88&lt;=$I88),BL88,BL88-MIN(INT(ROUND(IF($F88=1,$C88*$J88,IF(FK88&gt;0,FK88*$K88,BL88*$J88))*IF(20=$R88,$S88,12)/12,6)+$B$4),BL88-$I88)))))</f>
        <v/>
      </c>
      <c r="BN88" s="68">
        <f>IF($U88=0,0,IF($F88=4,0,IF($F88=3,0,IF(OR(21&gt;$R88,BM88&lt;=$I88),BM88,BM88-MIN(INT(ROUND(IF($F88=1,$C88*$J88,IF(FL88&gt;0,FL88*$K88,BM88*$J88))*IF(21=$R88,$S88,12)/12,6)+$B$4),BM88-$I88)))))</f>
        <v/>
      </c>
      <c r="BO88" s="68">
        <f>IF($U88=0,0,IF($F88=4,0,IF($F88=3,0,IF(OR(22&gt;$R88,BN88&lt;=$I88),BN88,BN88-MIN(INT(ROUND(IF($F88=1,$C88*$J88,IF(FM88&gt;0,FM88*$K88,BN88*$J88))*IF(22=$R88,$S88,12)/12,6)+$B$4),BN88-$I88)))))</f>
        <v/>
      </c>
      <c r="BP88" s="68">
        <f>IF($U88=0,0,IF($F88=4,0,IF($F88=3,0,IF(OR(23&gt;$R88,BO88&lt;=$I88),BO88,BO88-MIN(INT(ROUND(IF($F88=1,$C88*$J88,IF(FN88&gt;0,FN88*$K88,BO88*$J88))*IF(23=$R88,$S88,12)/12,6)+$B$4),BO88-$I88)))))</f>
        <v/>
      </c>
      <c r="BQ88" s="68">
        <f>IF($U88=0,0,IF($F88=4,0,IF($F88=3,0,IF(OR(24&gt;$R88,BP88&lt;=$I88),BP88,BP88-MIN(INT(ROUND(IF($F88=1,$C88*$J88,IF(FO88&gt;0,FO88*$K88,BP88*$J88))*IF(24=$R88,$S88,12)/12,6)+$B$4),BP88-$I88)))))</f>
        <v/>
      </c>
      <c r="BR88" s="68">
        <f>IF($U88=0,0,IF($F88=4,0,IF($F88=3,0,IF(OR(25&gt;$R88,BQ88&lt;=$I88),BQ88,BQ88-MIN(INT(ROUND(IF($F88=1,$C88*$J88,IF(FP88&gt;0,FP88*$K88,BQ88*$J88))*IF(25=$R88,$S88,12)/12,6)+$B$4),BQ88-$I88)))))</f>
        <v/>
      </c>
      <c r="BS88" s="68">
        <f>IF($U88=0,0,IF($F88=4,0,IF($F88=3,0,IF(OR(26&gt;$R88,BR88&lt;=$I88),BR88,BR88-MIN(INT(ROUND(IF($F88=1,$C88*$J88,IF(FQ88&gt;0,FQ88*$K88,BR88*$J88))*IF(26=$R88,$S88,12)/12,6)+$B$4),BR88-$I88)))))</f>
        <v/>
      </c>
      <c r="BT88" s="68">
        <f>IF($U88=0,0,IF($F88=4,0,IF($F88=3,0,IF(OR(27&gt;$R88,BS88&lt;=$I88),BS88,BS88-MIN(INT(ROUND(IF($F88=1,$C88*$J88,IF(FR88&gt;0,FR88*$K88,BS88*$J88))*IF(27=$R88,$S88,12)/12,6)+$B$4),BS88-$I88)))))</f>
        <v/>
      </c>
      <c r="BU88" s="68">
        <f>IF($U88=0,0,IF($F88=4,0,IF($F88=3,0,IF(OR(28&gt;$R88,BT88&lt;=$I88),BT88,BT88-MIN(INT(ROUND(IF($F88=1,$C88*$J88,IF(FS88&gt;0,FS88*$K88,BT88*$J88))*IF(28=$R88,$S88,12)/12,6)+$B$4),BT88-$I88)))))</f>
        <v/>
      </c>
      <c r="BV88" s="68">
        <f>IF($U88=0,0,IF($F88=4,0,IF($F88=3,0,IF(OR(29&gt;$R88,BU88&lt;=$I88),BU88,BU88-MIN(INT(ROUND(IF($F88=1,$C88*$J88,IF(FT88&gt;0,FT88*$K88,BU88*$J88))*IF(29=$R88,$S88,12)/12,6)+$B$4),BU88-$I88)))))</f>
        <v/>
      </c>
      <c r="BW88" s="68">
        <f>IF($U88=0,0,IF($F88=4,0,IF($F88=3,0,IF(OR(30&gt;$R88,BV88&lt;=$I88),BV88,BV88-MIN(INT(ROUND(IF($F88=1,$C88*$J88,IF(FU88&gt;0,FU88*$K88,BV88*$J88))*IF(30=$R88,$S88,12)/12,6)+$B$4),BV88-$I88)))))</f>
        <v/>
      </c>
      <c r="BX88" s="68">
        <f>IF($U88=0,0,IF($F88=4,0,IF($F88=3,0,IF(OR(31&gt;$R88,BW88&lt;=$I88),BW88,BW88-MIN(INT(ROUND(IF($F88=1,$C88*$J88,IF(FV88&gt;0,FV88*$K88,BW88*$J88))*IF(31=$R88,$S88,12)/12,6)+$B$4),BW88-$I88)))))</f>
        <v/>
      </c>
      <c r="BY88" s="68">
        <f>IF($U88=0,0,IF($F88=4,0,IF($F88=3,0,IF(OR(32&gt;$R88,BX88&lt;=$I88),BX88,BX88-MIN(INT(ROUND(IF($F88=1,$C88*$J88,IF(FW88&gt;0,FW88*$K88,BX88*$J88))*IF(32=$R88,$S88,12)/12,6)+$B$4),BX88-$I88)))))</f>
        <v/>
      </c>
      <c r="BZ88" s="68">
        <f>IF($U88=0,0,IF($F88=4,0,IF($F88=3,0,IF(OR(33&gt;$R88,BY88&lt;=$I88),BY88,BY88-MIN(INT(ROUND(IF($F88=1,$C88*$J88,IF(FX88&gt;0,FX88*$K88,BY88*$J88))*IF(33=$R88,$S88,12)/12,6)+$B$4),BY88-$I88)))))</f>
        <v/>
      </c>
      <c r="CA88" s="68">
        <f>IF($U88=0,0,IF($F88=4,0,IF($F88=3,0,IF(OR(34&gt;$R88,BZ88&lt;=$I88),BZ88,BZ88-MIN(INT(ROUND(IF($F88=1,$C88*$J88,IF(FY88&gt;0,FY88*$K88,BZ88*$J88))*IF(34=$R88,$S88,12)/12,6)+$B$4),BZ88-$I88)))))</f>
        <v/>
      </c>
      <c r="CB88" s="68">
        <f>IF($U88=0,0,IF($F88=4,0,IF($F88=3,0,IF(OR(35&gt;$R88,CA88&lt;=$I88),CA88,CA88-MIN(INT(ROUND(IF($F88=1,$C88*$J88,IF(FZ88&gt;0,FZ88*$K88,CA88*$J88))*IF(35=$R88,$S88,12)/12,6)+$B$4),CA88-$I88)))))</f>
        <v/>
      </c>
      <c r="CC88" s="68">
        <f>IF($U88=0,0,IF($F88=4,0,IF($F88=3,0,IF(OR(36&gt;$R88,CB88&lt;=$I88),CB88,CB88-MIN(INT(ROUND(IF($F88=1,$C88*$J88,IF(GA88&gt;0,GA88*$K88,CB88*$J88))*IF(36=$R88,$S88,12)/12,6)+$B$4),CB88-$I88)))))</f>
        <v/>
      </c>
      <c r="CD88" s="68">
        <f>IF($U88=0,0,IF($F88=4,0,IF($F88=3,0,IF(OR(37&gt;$R88,CC88&lt;=$I88),CC88,CC88-MIN(INT(ROUND(IF($F88=1,$C88*$J88,IF(GB88&gt;0,GB88*$K88,CC88*$J88))*IF(37=$R88,$S88,12)/12,6)+$B$4),CC88-$I88)))))</f>
        <v/>
      </c>
      <c r="CE88" s="68">
        <f>IF($U88=0,0,IF($F88=4,0,IF($F88=3,0,IF(OR(38&gt;$R88,CD88&lt;=$I88),CD88,CD88-MIN(INT(ROUND(IF($F88=1,$C88*$J88,IF(GC88&gt;0,GC88*$K88,CD88*$J88))*IF(38=$R88,$S88,12)/12,6)+$B$4),CD88-$I88)))))</f>
        <v/>
      </c>
      <c r="CF88" s="68">
        <f>IF($U88=0,0,IF($F88=4,0,IF($F88=3,0,IF(OR(39&gt;$R88,CE88&lt;=$I88),CE88,CE88-MIN(INT(ROUND(IF($F88=1,$C88*$J88,IF(GD88&gt;0,GD88*$K88,CE88*$J88))*IF(39=$R88,$S88,12)/12,6)+$B$4),CE88-$I88)))))</f>
        <v/>
      </c>
      <c r="CG88" s="68">
        <f>IF($U88=0,0,IF($F88=4,0,IF($F88=3,0,IF(OR(40&gt;$R88,CF88&lt;=$I88),CF88,CF88-MIN(INT(ROUND(IF($F88=1,$C88*$J88,IF(GE88&gt;0,GE88*$K88,CF88*$J88))*IF(40=$R88,$S88,12)/12,6)+$B$4),CF88-$I88)))))</f>
        <v/>
      </c>
      <c r="CH88" s="68">
        <f>IF($U88=0,0,IF($F88=4,0,IF($F88=3,0,IF(OR(41&gt;$R88,CG88&lt;=$I88),CG88,CG88-MIN(INT(ROUND(IF($F88=1,$C88*$J88,IF(GF88&gt;0,GF88*$K88,CG88*$J88))*IF(41=$R88,$S88,12)/12,6)+$B$4),CG88-$I88)))))</f>
        <v/>
      </c>
      <c r="CI88" s="68">
        <f>IF($U88=0,0,IF($F88=4,0,IF($F88=3,0,IF(OR(42&gt;$R88,CH88&lt;=$I88),CH88,CH88-MIN(INT(ROUND(IF($F88=1,$C88*$J88,IF(GG88&gt;0,GG88*$K88,CH88*$J88))*IF(42=$R88,$S88,12)/12,6)+$B$4),CH88-$I88)))))</f>
        <v/>
      </c>
      <c r="CJ88" s="68">
        <f>IF($U88=0,0,IF($F88=4,0,IF($F88=3,0,IF(OR(43&gt;$R88,CI88&lt;=$I88),CI88,CI88-MIN(INT(ROUND(IF($F88=1,$C88*$J88,IF(GH88&gt;0,GH88*$K88,CI88*$J88))*IF(43=$R88,$S88,12)/12,6)+$B$4),CI88-$I88)))))</f>
        <v/>
      </c>
      <c r="CK88" s="68">
        <f>IF($U88=0,0,IF($F88=4,0,IF($F88=3,0,IF(OR(44&gt;$R88,CJ88&lt;=$I88),CJ88,CJ88-MIN(INT(ROUND(IF($F88=1,$C88*$J88,IF(GI88&gt;0,GI88*$K88,CJ88*$J88))*IF(44=$R88,$S88,12)/12,6)+$B$4),CJ88-$I88)))))</f>
        <v/>
      </c>
      <c r="CL88" s="68">
        <f>IF($U88=0,0,IF($F88=4,0,IF($F88=3,0,IF(OR(45&gt;$R88,CK88&lt;=$I88),CK88,CK88-MIN(INT(ROUND(IF($F88=1,$C88*$J88,IF(GJ88&gt;0,GJ88*$K88,CK88*$J88))*IF(45=$R88,$S88,12)/12,6)+$B$4),CK88-$I88)))))</f>
        <v/>
      </c>
      <c r="CM88" s="68">
        <f>IF($U88=0,0,IF($F88=4,0,IF($F88=3,0,IF(OR(46&gt;$R88,CL88&lt;=$I88),CL88,CL88-MIN(INT(ROUND(IF($F88=1,$C88*$J88,IF(GK88&gt;0,GK88*$K88,CL88*$J88))*IF(46=$R88,$S88,12)/12,6)+$B$4),CL88-$I88)))))</f>
        <v/>
      </c>
      <c r="CN88" s="68">
        <f>IF($U88=0,0,IF($F88=4,0,IF($F88=3,0,IF(OR(47&gt;$R88,CM88&lt;=$I88),CM88,CM88-MIN(INT(ROUND(IF($F88=1,$C88*$J88,IF(GL88&gt;0,GL88*$K88,CM88*$J88))*IF(47=$R88,$S88,12)/12,6)+$B$4),CM88-$I88)))))</f>
        <v/>
      </c>
      <c r="CO88" s="68">
        <f>IF($U88=0,0,IF($F88=4,0,IF($F88=3,0,IF(OR(48&gt;$R88,CN88&lt;=$I88),CN88,CN88-MIN(INT(ROUND(IF($F88=1,$C88*$J88,IF(GM88&gt;0,GM88*$K88,CN88*$J88))*IF(48=$R88,$S88,12)/12,6)+$B$4),CN88-$I88)))))</f>
        <v/>
      </c>
      <c r="CP88" s="68">
        <f>IF($U88=0,0,IF($F88=4,0,IF($F88=3,0,IF(OR(49&gt;$R88,CO88&lt;=$I88),CO88,CO88-MIN(INT(ROUND(IF($F88=1,$C88*$J88,IF(GN88&gt;0,GN88*$K88,CO88*$J88))*IF(49=$R88,$S88,12)/12,6)+$B$4),CO88-$I88)))))</f>
        <v/>
      </c>
      <c r="CQ88" s="68">
        <f>IF($U88=0,0,IF($F88=4,0,IF($F88=3,0,IF(OR(50&gt;$R88,CP88&lt;=$I88),CP88,CP88-MIN(INT(ROUND(IF($F88=1,$C88*$J88,IF(GO88&gt;0,GO88*$K88,CP88*$J88))*IF(50=$R88,$S88,12)/12,6)+$B$4),CP88-$I88)))))</f>
        <v/>
      </c>
      <c r="CR88" s="68">
        <f>IF($U88=0,0,IF($F88=4,0,IF($F88=3,0,IF(OR(51&gt;$R88,CQ88&lt;=$I88),CQ88,CQ88-MIN(INT(ROUND(IF($F88=1,$C88*$J88,IF(GP88&gt;0,GP88*$K88,CQ88*$J88))*IF(51=$R88,$S88,12)/12,6)+$B$4),CQ88-$I88)))))</f>
        <v/>
      </c>
      <c r="CS88" s="68">
        <f>IF($U88=0,0,IF($F88=4,0,IF($F88=3,0,IF(OR(52&gt;$R88,CR88&lt;=$I88),CR88,CR88-MIN(INT(ROUND(IF($F88=1,$C88*$J88,IF(GQ88&gt;0,GQ88*$K88,CR88*$J88))*IF(52=$R88,$S88,12)/12,6)+$B$4),CR88-$I88)))))</f>
        <v/>
      </c>
      <c r="CT88" s="68">
        <f>IF($U88=0,0,IF($F88=4,0,IF($F88=3,0,IF(OR(53&gt;$R88,CS88&lt;=$I88),CS88,CS88-MIN(INT(ROUND(IF($F88=1,$C88*$J88,IF(GR88&gt;0,GR88*$K88,CS88*$J88))*IF(53=$R88,$S88,12)/12,6)+$B$4),CS88-$I88)))))</f>
        <v/>
      </c>
      <c r="CU88" s="68">
        <f>IF($U88=0,0,IF($F88=4,0,IF($F88=3,0,IF(OR(54&gt;$R88,CT88&lt;=$I88),CT88,CT88-MIN(INT(ROUND(IF($F88=1,$C88*$J88,IF(GS88&gt;0,GS88*$K88,CT88*$J88))*IF(54=$R88,$S88,12)/12,6)+$B$4),CT88-$I88)))))</f>
        <v/>
      </c>
      <c r="CV88" s="68">
        <f>IF($U88=0,0,IF($F88=4,0,IF($F88=3,0,IF(OR(55&gt;$R88,CU88&lt;=$I88),CU88,CU88-MIN(INT(ROUND(IF($F88=1,$C88*$J88,IF(GT88&gt;0,GT88*$K88,CU88*$J88))*IF(55=$R88,$S88,12)/12,6)+$B$4),CU88-$I88)))))</f>
        <v/>
      </c>
      <c r="CW88" s="68">
        <f>IF($U88=0,0,IF($F88=4,0,IF($F88=3,0,IF(OR(56&gt;$R88,CV88&lt;=$I88),CV88,CV88-MIN(INT(ROUND(IF($F88=1,$C88*$J88,IF(GU88&gt;0,GU88*$K88,CV88*$J88))*IF(56=$R88,$S88,12)/12,6)+$B$4),CV88-$I88)))))</f>
        <v/>
      </c>
      <c r="CX88" s="68">
        <f>IF($U88=0,0,IF($F88=4,0,IF($F88=3,0,IF(OR(57&gt;$R88,CW88&lt;=$I88),CW88,CW88-MIN(INT(ROUND(IF($F88=1,$C88*$J88,IF(GV88&gt;0,GV88*$K88,CW88*$J88))*IF(57=$R88,$S88,12)/12,6)+$B$4),CW88-$I88)))))</f>
        <v/>
      </c>
      <c r="CY88" s="68">
        <f>IF($U88=0,0,IF($F88=4,0,IF($F88=3,0,IF(OR(58&gt;$R88,CX88&lt;=$I88),CX88,CX88-MIN(INT(ROUND(IF($F88=1,$C88*$J88,IF(GW88&gt;0,GW88*$K88,CX88*$J88))*IF(58=$R88,$S88,12)/12,6)+$B$4),CX88-$I88)))))</f>
        <v/>
      </c>
      <c r="CZ88" s="68">
        <f>IF($U88=0,0,IF($F88=4,0,IF($F88=3,0,IF(OR(59&gt;$R88,CY88&lt;=$I88),CY88,CY88-MIN(INT(ROUND(IF($F88=1,$C88*$J88,IF(GX88&gt;0,GX88*$K88,CY88*$J88))*IF(59=$R88,$S88,12)/12,6)+$B$4),CY88-$I88)))))</f>
        <v/>
      </c>
      <c r="DA88" s="68">
        <f>IF($U88=0,0,IF($F88=4,0,IF($F88=3,0,IF(OR(60&gt;$R88,CZ88&lt;=$I88),CZ88,CZ88-MIN(INT(ROUND(IF($F88=1,$C88*$J88,IF(GY88&gt;0,GY88*$K88,CZ88*$J88))*IF(60=$R88,$S88,12)/12,6)+$B$4),CZ88-$I88)))))</f>
        <v/>
      </c>
      <c r="DB88" s="68">
        <f>IF($U88=0,0,IF($F88=4,0,IF($F88=3,0,IF(OR(61&gt;$R88,DA88&lt;=$I88),DA88,DA88-MIN(INT(ROUND(IF($F88=1,$C88*$J88,IF(GZ88&gt;0,GZ88*$K88,DA88*$J88))*IF(61=$R88,$S88,12)/12,6)+$B$4),DA88-$I88)))))</f>
        <v/>
      </c>
      <c r="DC88" s="68">
        <f>IF($U88=0,0,IF($F88=4,0,IF($F88=3,0,IF(OR(62&gt;$R88,DB88&lt;=$I88),DB88,DB88-MIN(INT(ROUND(IF($F88=1,$C88*$J88,IF(HA88&gt;0,HA88*$K88,DB88*$J88))*IF(62=$R88,$S88,12)/12,6)+$B$4),DB88-$I88)))))</f>
        <v/>
      </c>
      <c r="DD88" s="68">
        <f>IF($U88=0,0,IF($F88=4,0,IF($F88=3,0,IF(OR(63&gt;$R88,DC88&lt;=$I88),DC88,DC88-MIN(INT(ROUND(IF($F88=1,$C88*$J88,IF(HB88&gt;0,HB88*$K88,DC88*$J88))*IF(63=$R88,$S88,12)/12,6)+$B$4),DC88-$I88)))))</f>
        <v/>
      </c>
      <c r="DE88" s="68">
        <f>IF($U88=0,0,IF($F88=4,0,IF($F88=3,0,IF(OR(64&gt;$R88,DD88&lt;=$I88),DD88,DD88-MIN(INT(ROUND(IF($F88=1,$C88*$J88,IF(HC88&gt;0,HC88*$K88,DD88*$J88))*IF(64=$R88,$S88,12)/12,6)+$B$4),DD88-$I88)))))</f>
        <v/>
      </c>
      <c r="DF88" s="68">
        <f>IF($U88=0,0,IF($F88=4,0,IF($F88=3,0,IF(OR(65&gt;$R88,DE88&lt;=$I88),DE88,DE88-MIN(INT(ROUND(IF($F88=1,$C88*$J88,IF(HD88&gt;0,HD88*$K88,DE88*$J88))*IF(65=$R88,$S88,12)/12,6)+$B$4),DE88-$I88)))))</f>
        <v/>
      </c>
      <c r="DG88" s="68">
        <f>IF($U88=0,0,IF($F88=4,0,IF($F88=3,0,IF(OR(66&gt;$R88,DF88&lt;=$I88),DF88,DF88-MIN(INT(ROUND(IF($F88=1,$C88*$J88,IF(HE88&gt;0,HE88*$K88,DF88*$J88))*IF(66=$R88,$S88,12)/12,6)+$B$4),DF88-$I88)))))</f>
        <v/>
      </c>
      <c r="DH88" s="68">
        <f>IF($U88=0,0,IF($F88=4,0,IF($F88=3,0,IF(OR(67&gt;$R88,DG88&lt;=$I88),DG88,DG88-MIN(INT(ROUND(IF($F88=1,$C88*$J88,IF(HF88&gt;0,HF88*$K88,DG88*$J88))*IF(67=$R88,$S88,12)/12,6)+$B$4),DG88-$I88)))))</f>
        <v/>
      </c>
      <c r="DI88" s="68">
        <f>IF($U88=0,0,IF($F88=4,0,IF($F88=3,0,IF(OR(68&gt;$R88,DH88&lt;=$I88),DH88,DH88-MIN(INT(ROUND(IF($F88=1,$C88*$J88,IF(HG88&gt;0,HG88*$K88,DH88*$J88))*IF(68=$R88,$S88,12)/12,6)+$B$4),DH88-$I88)))))</f>
        <v/>
      </c>
      <c r="DJ88" s="68">
        <f>IF($U88=0,0,IF($F88=4,0,IF($F88=3,0,IF(OR(69&gt;$R88,DI88&lt;=$I88),DI88,DI88-MIN(INT(ROUND(IF($F88=1,$C88*$J88,IF(HH88&gt;0,HH88*$K88,DI88*$J88))*IF(69=$R88,$S88,12)/12,6)+$B$4),DI88-$I88)))))</f>
        <v/>
      </c>
      <c r="DK88" s="68">
        <f>IF($U88=0,0,IF($F88=4,0,IF($F88=3,0,IF(OR(70&gt;$R88,DJ88&lt;=$I88),DJ88,DJ88-MIN(INT(ROUND(IF($F88=1,$C88*$J88,IF(HI88&gt;0,HI88*$K88,DJ88*$J88))*IF(70=$R88,$S88,12)/12,6)+$B$4),DJ88-$I88)))))</f>
        <v/>
      </c>
      <c r="DL88" s="68">
        <f>IF($U88=0,0,IF($F88=4,0,IF($F88=3,0,IF(OR(71&gt;$R88,DK88&lt;=$I88),DK88,DK88-MIN(INT(ROUND(IF($F88=1,$C88*$J88,IF(HJ88&gt;0,HJ88*$K88,DK88*$J88))*IF(71=$R88,$S88,12)/12,6)+$B$4),DK88-$I88)))))</f>
        <v/>
      </c>
      <c r="DM88" s="68">
        <f>IF($U88=0,0,IF($F88=4,0,IF($F88=3,0,IF(OR(72&gt;$R88,DL88&lt;=$I88),DL88,DL88-MIN(INT(ROUND(IF($F88=1,$C88*$J88,IF(HK88&gt;0,HK88*$K88,DL88*$J88))*IF(72=$R88,$S88,12)/12,6)+$B$4),DL88-$I88)))))</f>
        <v/>
      </c>
      <c r="DN88" s="68">
        <f>IF($U88=0,0,IF($F88=4,0,IF($F88=3,0,IF(OR(73&gt;$R88,DM88&lt;=$I88),DM88,DM88-MIN(INT(ROUND(IF($F88=1,$C88*$J88,IF(HL88&gt;0,HL88*$K88,DM88*$J88))*IF(73=$R88,$S88,12)/12,6)+$B$4),DM88-$I88)))))</f>
        <v/>
      </c>
      <c r="DO88" s="68">
        <f>IF($U88=0,0,IF($F88=4,0,IF($F88=3,0,IF(OR(74&gt;$R88,DN88&lt;=$I88),DN88,DN88-MIN(INT(ROUND(IF($F88=1,$C88*$J88,IF(HM88&gt;0,HM88*$K88,DN88*$J88))*IF(74=$R88,$S88,12)/12,6)+$B$4),DN88-$I88)))))</f>
        <v/>
      </c>
      <c r="DP88" s="68">
        <f>IF($U88=0,0,IF($F88=4,0,IF($F88=3,0,IF(OR(75&gt;$R88,DO88&lt;=$I88),DO88,DO88-MIN(INT(ROUND(IF($F88=1,$C88*$J88,IF(HN88&gt;0,HN88*$K88,DO88*$J88))*IF(75=$R88,$S88,12)/12,6)+$B$4),DO88-$I88)))))</f>
        <v/>
      </c>
      <c r="DQ88" s="68">
        <f>IF($U88=0,0,IF($F88=4,0,IF($F88=3,0,IF(OR(76&gt;$R88,DP88&lt;=$I88),DP88,DP88-MIN(INT(ROUND(IF($F88=1,$C88*$J88,IF(HO88&gt;0,HO88*$K88,DP88*$J88))*IF(76=$R88,$S88,12)/12,6)+$B$4),DP88-$I88)))))</f>
        <v/>
      </c>
      <c r="DR88" s="68">
        <f>IF($U88=0,0,IF($F88=4,0,IF($F88=3,0,IF(OR(77&gt;$R88,DQ88&lt;=$I88),DQ88,DQ88-MIN(INT(ROUND(IF($F88=1,$C88*$J88,IF(HP88&gt;0,HP88*$K88,DQ88*$J88))*IF(77=$R88,$S88,12)/12,6)+$B$4),DQ88-$I88)))))</f>
        <v/>
      </c>
      <c r="DS88" s="68">
        <f>IF($U88=0,0,IF($F88=4,0,IF($F88=3,0,IF(OR(78&gt;$R88,DR88&lt;=$I88),DR88,DR88-MIN(INT(ROUND(IF($F88=1,$C88*$J88,IF(HQ88&gt;0,HQ88*$K88,DR88*$J88))*IF(78=$R88,$S88,12)/12,6)+$B$4),DR88-$I88)))))</f>
        <v/>
      </c>
      <c r="DT88" s="68">
        <f>IF($U88=0,0,IF($F88=4,0,IF($F88=3,0,IF(OR(79&gt;$R88,DS88&lt;=$I88),DS88,DS88-MIN(INT(ROUND(IF($F88=1,$C88*$J88,IF(HR88&gt;0,HR88*$K88,DS88*$J88))*IF(79=$R88,$S88,12)/12,6)+$B$4),DS88-$I88)))))</f>
        <v/>
      </c>
      <c r="DU88" s="68">
        <f>IF($U88=0,0,IF($F88=4,0,IF($F88=3,0,IF(OR(80&gt;$R88,DT88&lt;=$I88),DT88,DT88-MIN(INT(ROUND(IF($F88=1,$C88*$J88,IF(HS88&gt;0,HS88*$K88,DT88*$J88))*IF(80=$R88,$S88,12)/12,6)+$B$4),DT88-$I88)))))</f>
        <v/>
      </c>
      <c r="DV88" s="68">
        <f>IF($U88=0,0,IF($F88=4,0,IF($F88=3,0,IF(OR(81&gt;$R88,DU88&lt;=$I88),DU88,DU88-MIN(INT(ROUND(IF($F88=1,$C88*$J88,IF(HT88&gt;0,HT88*$K88,DU88*$J88))*IF(81=$R88,$S88,12)/12,6)+$B$4),DU88-$I88)))))</f>
        <v/>
      </c>
      <c r="DW88" s="68">
        <f>IF($U88=0,0,IF($F88=4,0,IF($F88=3,0,IF(OR(82&gt;$R88,DV88&lt;=$I88),DV88,DV88-MIN(INT(ROUND(IF($F88=1,$C88*$J88,IF(HU88&gt;0,HU88*$K88,DV88*$J88))*IF(82=$R88,$S88,12)/12,6)+$B$4),DV88-$I88)))))</f>
        <v/>
      </c>
      <c r="DX88" s="68">
        <f>IF($U88=0,0,IF($F88=4,0,IF($F88=3,0,IF(OR(83&gt;$R88,DW88&lt;=$I88),DW88,DW88-MIN(INT(ROUND(IF($F88=1,$C88*$J88,IF(HV88&gt;0,HV88*$K88,DW88*$J88))*IF(83=$R88,$S88,12)/12,6)+$B$4),DW88-$I88)))))</f>
        <v/>
      </c>
      <c r="DY88" s="68">
        <f>IF($U88=0,0,IF($F88=4,0,IF($F88=3,0,IF(OR(84&gt;$R88,DX88&lt;=$I88),DX88,DX88-MIN(INT(ROUND(IF($F88=1,$C88*$J88,IF(HW88&gt;0,HW88*$K88,DX88*$J88))*IF(84=$R88,$S88,12)/12,6)+$B$4),DX88-$I88)))))</f>
        <v/>
      </c>
      <c r="DZ88" s="68">
        <f>IF($U88=0,0,IF($F88=4,0,IF($F88=3,0,IF(OR(85&gt;$R88,DY88&lt;=$I88),DY88,DY88-MIN(INT(ROUND(IF($F88=1,$C88*$J88,IF(HX88&gt;0,HX88*$K88,DY88*$J88))*IF(85=$R88,$S88,12)/12,6)+$B$4),DY88-$I88)))))</f>
        <v/>
      </c>
      <c r="EA88" s="68">
        <f>IF($U88=0,0,IF($F88=4,0,IF($F88=3,0,IF(OR(86&gt;$R88,DZ88&lt;=$I88),DZ88,DZ88-MIN(INT(ROUND(IF($F88=1,$C88*$J88,IF(HY88&gt;0,HY88*$K88,DZ88*$J88))*IF(86=$R88,$S88,12)/12,6)+$B$4),DZ88-$I88)))))</f>
        <v/>
      </c>
      <c r="EB88" s="68">
        <f>IF($U88=0,0,IF($F88=4,0,IF($F88=3,0,IF(OR(87&gt;$R88,EA88&lt;=$I88),EA88,EA88-MIN(INT(ROUND(IF($F88=1,$C88*$J88,IF(HZ88&gt;0,HZ88*$K88,EA88*$J88))*IF(87=$R88,$S88,12)/12,6)+$B$4),EA88-$I88)))))</f>
        <v/>
      </c>
      <c r="EC88" s="68">
        <f>IF($U88=0,0,IF($F88=4,0,IF($F88=3,0,IF(OR(88&gt;$R88,EB88&lt;=$I88),EB88,EB88-MIN(INT(ROUND(IF($F88=1,$C88*$J88,IF(IA88&gt;0,IA88*$K88,EB88*$J88))*IF(88=$R88,$S88,12)/12,6)+$B$4),EB88-$I88)))))</f>
        <v/>
      </c>
      <c r="ED88" s="68">
        <f>IF($U88=0,0,IF($F88=4,0,IF($F88=3,0,IF(OR(89&gt;$R88,EC88&lt;=$I88),EC88,EC88-MIN(INT(ROUND(IF($F88=1,$C88*$J88,IF(IB88&gt;0,IB88*$K88,EC88*$J88))*IF(89=$R88,$S88,12)/12,6)+$B$4),EC88-$I88)))))</f>
        <v/>
      </c>
      <c r="EE88" s="68">
        <f>IF($U88=0,0,IF($F88=4,0,IF($F88=3,0,IF(OR(90&gt;$R88,ED88&lt;=$I88),ED88,ED88-MIN(INT(ROUND(IF($F88=1,$C88*$J88,IF(IC88&gt;0,IC88*$K88,ED88*$J88))*IF(90=$R88,$S88,12)/12,6)+$B$4),ED88-$I88)))))</f>
        <v/>
      </c>
      <c r="EF88" s="68">
        <f>IF($U88=0,0,IF($F88=4,0,IF($F88=3,0,IF(OR(91&gt;$R88,EE88&lt;=$I88),EE88,EE88-MIN(INT(ROUND(IF($F88=1,$C88*$J88,IF(ID88&gt;0,ID88*$K88,EE88*$J88))*IF(91=$R88,$S88,12)/12,6)+$B$4),EE88-$I88)))))</f>
        <v/>
      </c>
      <c r="EG88" s="68">
        <f>IF($U88=0,0,IF($F88=4,0,IF($F88=3,0,IF(OR(92&gt;$R88,EF88&lt;=$I88),EF88,EF88-MIN(INT(ROUND(IF($F88=1,$C88*$J88,IF(IE88&gt;0,IE88*$K88,EF88*$J88))*IF(92=$R88,$S88,12)/12,6)+$B$4),EF88-$I88)))))</f>
        <v/>
      </c>
      <c r="EH88" s="68">
        <f>IF($U88=0,0,IF($F88=4,0,IF($F88=3,0,IF(OR(93&gt;$R88,EG88&lt;=$I88),EG88,EG88-MIN(INT(ROUND(IF($F88=1,$C88*$J88,IF(IF88&gt;0,IF88*$K88,EG88*$J88))*IF(93=$R88,$S88,12)/12,6)+$B$4),EG88-$I88)))))</f>
        <v/>
      </c>
      <c r="EI88" s="68">
        <f>IF($U88=0,0,IF($F88=4,0,IF($F88=3,0,IF(OR(94&gt;$R88,EH88&lt;=$I88),EH88,EH88-MIN(INT(ROUND(IF($F88=1,$C88*$J88,IF(IG88&gt;0,IG88*$K88,EH88*$J88))*IF(94=$R88,$S88,12)/12,6)+$B$4),EH88-$I88)))))</f>
        <v/>
      </c>
      <c r="EJ88" s="68">
        <f>IF($U88=0,0,IF($F88=4,0,IF($F88=3,0,IF(OR(95&gt;$R88,EI88&lt;=$I88),EI88,EI88-MIN(INT(ROUND(IF($F88=1,$C88*$J88,IF(IH88&gt;0,IH88*$K88,EI88*$J88))*IF(95=$R88,$S88,12)/12,6)+$B$4),EI88-$I88)))))</f>
        <v/>
      </c>
      <c r="EK88" s="68">
        <f>IF($U88=0,0,IF($F88=4,0,IF($F88=3,0,IF(OR(96&gt;$R88,EJ88&lt;=$I88),EJ88,EJ88-MIN(INT(ROUND(IF($F88=1,$C88*$J88,IF(II88&gt;0,II88*$K88,EJ88*$J88))*IF(96=$R88,$S88,12)/12,6)+$B$4),EJ88-$I88)))))</f>
        <v/>
      </c>
      <c r="EL88" s="68">
        <f>IF($U88=0,0,IF($F88=4,0,IF($F88=3,0,IF(OR(97&gt;$R88,EK88&lt;=$I88),EK88,EK88-MIN(INT(ROUND(IF($F88=1,$C88*$J88,IF(IJ88&gt;0,IJ88*$K88,EK88*$J88))*IF(97=$R88,$S88,12)/12,6)+$B$4),EK88-$I88)))))</f>
        <v/>
      </c>
      <c r="EM88" s="68">
        <f>IF($U88=0,0,IF($F88=4,0,IF($F88=3,0,IF(OR(98&gt;$R88,EL88&lt;=$I88),EL88,EL88-MIN(INT(ROUND(IF($F88=1,$C88*$J88,IF(IK88&gt;0,IK88*$K88,EL88*$J88))*IF(98=$R88,$S88,12)/12,6)+$B$4),EL88-$I88)))))</f>
        <v/>
      </c>
      <c r="EN88" s="68">
        <f>IF($U88=0,0,IF($F88=4,0,IF($F88=3,0,IF(OR(99&gt;$R88,EM88&lt;=$I88),EM88,EM88-MIN(INT(ROUND(IF($F88=1,$C88*$J88,IF(IL88&gt;0,IL88*$K88,EM88*$J88))*IF(99=$R88,$S88,12)/12,6)+$B$4),EM88-$I88)))))</f>
        <v/>
      </c>
      <c r="EO88" s="68">
        <f>IF($U88=0,0,IF($F88=4,0,IF($F88=3,0,IF(OR(100&gt;$R88,EN88&lt;=$I88),EN88,EN88-MIN(INT(ROUND(IF($F88=1,$C88*$J88,IF(IM88&gt;0,IM88*$K88,EN88*$J88))*IF(100=$R88,$S88,12)/12,6)+$B$4),EN88-$I88)))))</f>
        <v/>
      </c>
      <c r="EP88" s="68">
        <f>IF($U88=0,0,IF($F88=4,0,IF($F88=3,0,IF(OR(101&gt;$R88,EO88&lt;=$I88),EO88,EO88-MIN(INT(ROUND(IF($F88=1,$C88*$J88,IF(IN88&gt;0,IN88*$K88,EO88*$J88))*IF(101=$R88,$S88,12)/12,6)+$B$4),EO88-$I88)))))</f>
        <v/>
      </c>
      <c r="EQ88" s="68" t="n"/>
      <c r="ER88" s="68">
        <f>IF(OR($U88=0,$F88&lt;&gt;2),0,IF(ROUND(AS88*$J88,6)&lt;ROUND($M88,6),AS88,0))</f>
        <v/>
      </c>
      <c r="ES88" s="68">
        <f>IF(OR($U88=0,$F88&lt;&gt;2),0,IF(ER88&gt;0,ER88,IF(ROUND(AT88*$J88,6)&lt;ROUND($M88,6),AT88,0)))</f>
        <v/>
      </c>
      <c r="ET88" s="68">
        <f>IF(OR($U88=0,$F88&lt;&gt;2),0,IF(ES88&gt;0,ES88,IF(ROUND(AU88*$J88,6)&lt;ROUND($M88,6),AU88,0)))</f>
        <v/>
      </c>
      <c r="EU88" s="68">
        <f>IF(OR($U88=0,$F88&lt;&gt;2),0,IF(ET88&gt;0,ET88,IF(ROUND(AV88*$J88,6)&lt;ROUND($M88,6),AV88,0)))</f>
        <v/>
      </c>
      <c r="EV88" s="68">
        <f>IF(OR($U88=0,$F88&lt;&gt;2),0,IF(EU88&gt;0,EU88,IF(ROUND(AW88*$J88,6)&lt;ROUND($M88,6),AW88,0)))</f>
        <v/>
      </c>
      <c r="EW88" s="68">
        <f>IF(OR($U88=0,$F88&lt;&gt;2),0,IF(EV88&gt;0,EV88,IF(ROUND(AX88*$J88,6)&lt;ROUND($M88,6),AX88,0)))</f>
        <v/>
      </c>
      <c r="EX88" s="68">
        <f>IF(OR($U88=0,$F88&lt;&gt;2),0,IF(EW88&gt;0,EW88,IF(ROUND(AY88*$J88,6)&lt;ROUND($M88,6),AY88,0)))</f>
        <v/>
      </c>
      <c r="EY88" s="68">
        <f>IF(OR($U88=0,$F88&lt;&gt;2),0,IF(EX88&gt;0,EX88,IF(ROUND(AZ88*$J88,6)&lt;ROUND($M88,6),AZ88,0)))</f>
        <v/>
      </c>
      <c r="EZ88" s="68">
        <f>IF(OR($U88=0,$F88&lt;&gt;2),0,IF(EY88&gt;0,EY88,IF(ROUND(BA88*$J88,6)&lt;ROUND($M88,6),BA88,0)))</f>
        <v/>
      </c>
      <c r="FA88" s="68">
        <f>IF(OR($U88=0,$F88&lt;&gt;2),0,IF(EZ88&gt;0,EZ88,IF(ROUND(BB88*$J88,6)&lt;ROUND($M88,6),BB88,0)))</f>
        <v/>
      </c>
      <c r="FB88" s="68">
        <f>IF(OR($U88=0,$F88&lt;&gt;2),0,IF(FA88&gt;0,FA88,IF(ROUND(BC88*$J88,6)&lt;ROUND($M88,6),BC88,0)))</f>
        <v/>
      </c>
      <c r="FC88" s="68">
        <f>IF(OR($U88=0,$F88&lt;&gt;2),0,IF(FB88&gt;0,FB88,IF(ROUND(BD88*$J88,6)&lt;ROUND($M88,6),BD88,0)))</f>
        <v/>
      </c>
      <c r="FD88" s="68">
        <f>IF(OR($U88=0,$F88&lt;&gt;2),0,IF(FC88&gt;0,FC88,IF(ROUND(BE88*$J88,6)&lt;ROUND($M88,6),BE88,0)))</f>
        <v/>
      </c>
      <c r="FE88" s="68">
        <f>IF(OR($U88=0,$F88&lt;&gt;2),0,IF(FD88&gt;0,FD88,IF(ROUND(BF88*$J88,6)&lt;ROUND($M88,6),BF88,0)))</f>
        <v/>
      </c>
      <c r="FF88" s="68">
        <f>IF(OR($U88=0,$F88&lt;&gt;2),0,IF(FE88&gt;0,FE88,IF(ROUND(BG88*$J88,6)&lt;ROUND($M88,6),BG88,0)))</f>
        <v/>
      </c>
      <c r="FG88" s="68">
        <f>IF(OR($U88=0,$F88&lt;&gt;2),0,IF(FF88&gt;0,FF88,IF(ROUND(BH88*$J88,6)&lt;ROUND($M88,6),BH88,0)))</f>
        <v/>
      </c>
      <c r="FH88" s="68">
        <f>IF(OR($U88=0,$F88&lt;&gt;2),0,IF(FG88&gt;0,FG88,IF(ROUND(BI88*$J88,6)&lt;ROUND($M88,6),BI88,0)))</f>
        <v/>
      </c>
      <c r="FI88" s="68">
        <f>IF(OR($U88=0,$F88&lt;&gt;2),0,IF(FH88&gt;0,FH88,IF(ROUND(BJ88*$J88,6)&lt;ROUND($M88,6),BJ88,0)))</f>
        <v/>
      </c>
      <c r="FJ88" s="68">
        <f>IF(OR($U88=0,$F88&lt;&gt;2),0,IF(FI88&gt;0,FI88,IF(ROUND(BK88*$J88,6)&lt;ROUND($M88,6),BK88,0)))</f>
        <v/>
      </c>
      <c r="FK88" s="68">
        <f>IF(OR($U88=0,$F88&lt;&gt;2),0,IF(FJ88&gt;0,FJ88,IF(ROUND(BL88*$J88,6)&lt;ROUND($M88,6),BL88,0)))</f>
        <v/>
      </c>
      <c r="FL88" s="68">
        <f>IF(OR($U88=0,$F88&lt;&gt;2),0,IF(FK88&gt;0,FK88,IF(ROUND(BM88*$J88,6)&lt;ROUND($M88,6),BM88,0)))</f>
        <v/>
      </c>
      <c r="FM88" s="68">
        <f>IF(OR($U88=0,$F88&lt;&gt;2),0,IF(FL88&gt;0,FL88,IF(ROUND(BN88*$J88,6)&lt;ROUND($M88,6),BN88,0)))</f>
        <v/>
      </c>
      <c r="FN88" s="68">
        <f>IF(OR($U88=0,$F88&lt;&gt;2),0,IF(FM88&gt;0,FM88,IF(ROUND(BO88*$J88,6)&lt;ROUND($M88,6),BO88,0)))</f>
        <v/>
      </c>
      <c r="FO88" s="68">
        <f>IF(OR($U88=0,$F88&lt;&gt;2),0,IF(FN88&gt;0,FN88,IF(ROUND(BP88*$J88,6)&lt;ROUND($M88,6),BP88,0)))</f>
        <v/>
      </c>
      <c r="FP88" s="68">
        <f>IF(OR($U88=0,$F88&lt;&gt;2),0,IF(FO88&gt;0,FO88,IF(ROUND(BQ88*$J88,6)&lt;ROUND($M88,6),BQ88,0)))</f>
        <v/>
      </c>
      <c r="FQ88" s="68">
        <f>IF(OR($U88=0,$F88&lt;&gt;2),0,IF(FP88&gt;0,FP88,IF(ROUND(BR88*$J88,6)&lt;ROUND($M88,6),BR88,0)))</f>
        <v/>
      </c>
      <c r="FR88" s="68">
        <f>IF(OR($U88=0,$F88&lt;&gt;2),0,IF(FQ88&gt;0,FQ88,IF(ROUND(BS88*$J88,6)&lt;ROUND($M88,6),BS88,0)))</f>
        <v/>
      </c>
      <c r="FS88" s="68">
        <f>IF(OR($U88=0,$F88&lt;&gt;2),0,IF(FR88&gt;0,FR88,IF(ROUND(BT88*$J88,6)&lt;ROUND($M88,6),BT88,0)))</f>
        <v/>
      </c>
      <c r="FT88" s="68">
        <f>IF(OR($U88=0,$F88&lt;&gt;2),0,IF(FS88&gt;0,FS88,IF(ROUND(BU88*$J88,6)&lt;ROUND($M88,6),BU88,0)))</f>
        <v/>
      </c>
      <c r="FU88" s="68">
        <f>IF(OR($U88=0,$F88&lt;&gt;2),0,IF(FT88&gt;0,FT88,IF(ROUND(BV88*$J88,6)&lt;ROUND($M88,6),BV88,0)))</f>
        <v/>
      </c>
      <c r="FV88" s="68">
        <f>IF(OR($U88=0,$F88&lt;&gt;2),0,IF(FU88&gt;0,FU88,IF(ROUND(BW88*$J88,6)&lt;ROUND($M88,6),BW88,0)))</f>
        <v/>
      </c>
      <c r="FW88" s="68">
        <f>IF(OR($U88=0,$F88&lt;&gt;2),0,IF(FV88&gt;0,FV88,IF(ROUND(BX88*$J88,6)&lt;ROUND($M88,6),BX88,0)))</f>
        <v/>
      </c>
      <c r="FX88" s="68">
        <f>IF(OR($U88=0,$F88&lt;&gt;2),0,IF(FW88&gt;0,FW88,IF(ROUND(BY88*$J88,6)&lt;ROUND($M88,6),BY88,0)))</f>
        <v/>
      </c>
      <c r="FY88" s="68">
        <f>IF(OR($U88=0,$F88&lt;&gt;2),0,IF(FX88&gt;0,FX88,IF(ROUND(BZ88*$J88,6)&lt;ROUND($M88,6),BZ88,0)))</f>
        <v/>
      </c>
      <c r="FZ88" s="68">
        <f>IF(OR($U88=0,$F88&lt;&gt;2),0,IF(FY88&gt;0,FY88,IF(ROUND(CA88*$J88,6)&lt;ROUND($M88,6),CA88,0)))</f>
        <v/>
      </c>
      <c r="GA88" s="68">
        <f>IF(OR($U88=0,$F88&lt;&gt;2),0,IF(FZ88&gt;0,FZ88,IF(ROUND(CB88*$J88,6)&lt;ROUND($M88,6),CB88,0)))</f>
        <v/>
      </c>
      <c r="GB88" s="68">
        <f>IF(OR($U88=0,$F88&lt;&gt;2),0,IF(GA88&gt;0,GA88,IF(ROUND(CC88*$J88,6)&lt;ROUND($M88,6),CC88,0)))</f>
        <v/>
      </c>
      <c r="GC88" s="68">
        <f>IF(OR($U88=0,$F88&lt;&gt;2),0,IF(GB88&gt;0,GB88,IF(ROUND(CD88*$J88,6)&lt;ROUND($M88,6),CD88,0)))</f>
        <v/>
      </c>
      <c r="GD88" s="68">
        <f>IF(OR($U88=0,$F88&lt;&gt;2),0,IF(GC88&gt;0,GC88,IF(ROUND(CE88*$J88,6)&lt;ROUND($M88,6),CE88,0)))</f>
        <v/>
      </c>
      <c r="GE88" s="68">
        <f>IF(OR($U88=0,$F88&lt;&gt;2),0,IF(GD88&gt;0,GD88,IF(ROUND(CF88*$J88,6)&lt;ROUND($M88,6),CF88,0)))</f>
        <v/>
      </c>
      <c r="GF88" s="68">
        <f>IF(OR($U88=0,$F88&lt;&gt;2),0,IF(GE88&gt;0,GE88,IF(ROUND(CG88*$J88,6)&lt;ROUND($M88,6),CG88,0)))</f>
        <v/>
      </c>
      <c r="GG88" s="68">
        <f>IF(OR($U88=0,$F88&lt;&gt;2),0,IF(GF88&gt;0,GF88,IF(ROUND(CH88*$J88,6)&lt;ROUND($M88,6),CH88,0)))</f>
        <v/>
      </c>
      <c r="GH88" s="68">
        <f>IF(OR($U88=0,$F88&lt;&gt;2),0,IF(GG88&gt;0,GG88,IF(ROUND(CI88*$J88,6)&lt;ROUND($M88,6),CI88,0)))</f>
        <v/>
      </c>
      <c r="GI88" s="68">
        <f>IF(OR($U88=0,$F88&lt;&gt;2),0,IF(GH88&gt;0,GH88,IF(ROUND(CJ88*$J88,6)&lt;ROUND($M88,6),CJ88,0)))</f>
        <v/>
      </c>
      <c r="GJ88" s="68">
        <f>IF(OR($U88=0,$F88&lt;&gt;2),0,IF(GI88&gt;0,GI88,IF(ROUND(CK88*$J88,6)&lt;ROUND($M88,6),CK88,0)))</f>
        <v/>
      </c>
      <c r="GK88" s="68">
        <f>IF(OR($U88=0,$F88&lt;&gt;2),0,IF(GJ88&gt;0,GJ88,IF(ROUND(CL88*$J88,6)&lt;ROUND($M88,6),CL88,0)))</f>
        <v/>
      </c>
      <c r="GL88" s="68">
        <f>IF(OR($U88=0,$F88&lt;&gt;2),0,IF(GK88&gt;0,GK88,IF(ROUND(CM88*$J88,6)&lt;ROUND($M88,6),CM88,0)))</f>
        <v/>
      </c>
      <c r="GM88" s="68">
        <f>IF(OR($U88=0,$F88&lt;&gt;2),0,IF(GL88&gt;0,GL88,IF(ROUND(CN88*$J88,6)&lt;ROUND($M88,6),CN88,0)))</f>
        <v/>
      </c>
      <c r="GN88" s="68">
        <f>IF(OR($U88=0,$F88&lt;&gt;2),0,IF(GM88&gt;0,GM88,IF(ROUND(CO88*$J88,6)&lt;ROUND($M88,6),CO88,0)))</f>
        <v/>
      </c>
      <c r="GO88" s="68">
        <f>IF(OR($U88=0,$F88&lt;&gt;2),0,IF(GN88&gt;0,GN88,IF(ROUND(CP88*$J88,6)&lt;ROUND($M88,6),CP88,0)))</f>
        <v/>
      </c>
      <c r="GP88" s="68">
        <f>IF(OR($U88=0,$F88&lt;&gt;2),0,IF(GO88&gt;0,GO88,IF(ROUND(CQ88*$J88,6)&lt;ROUND($M88,6),CQ88,0)))</f>
        <v/>
      </c>
      <c r="GQ88" s="68">
        <f>IF(OR($U88=0,$F88&lt;&gt;2),0,IF(GP88&gt;0,GP88,IF(ROUND(CR88*$J88,6)&lt;ROUND($M88,6),CR88,0)))</f>
        <v/>
      </c>
      <c r="GR88" s="68">
        <f>IF(OR($U88=0,$F88&lt;&gt;2),0,IF(GQ88&gt;0,GQ88,IF(ROUND(CS88*$J88,6)&lt;ROUND($M88,6),CS88,0)))</f>
        <v/>
      </c>
      <c r="GS88" s="68">
        <f>IF(OR($U88=0,$F88&lt;&gt;2),0,IF(GR88&gt;0,GR88,IF(ROUND(CT88*$J88,6)&lt;ROUND($M88,6),CT88,0)))</f>
        <v/>
      </c>
      <c r="GT88" s="68">
        <f>IF(OR($U88=0,$F88&lt;&gt;2),0,IF(GS88&gt;0,GS88,IF(ROUND(CU88*$J88,6)&lt;ROUND($M88,6),CU88,0)))</f>
        <v/>
      </c>
      <c r="GU88" s="68">
        <f>IF(OR($U88=0,$F88&lt;&gt;2),0,IF(GT88&gt;0,GT88,IF(ROUND(CV88*$J88,6)&lt;ROUND($M88,6),CV88,0)))</f>
        <v/>
      </c>
      <c r="GV88" s="68">
        <f>IF(OR($U88=0,$F88&lt;&gt;2),0,IF(GU88&gt;0,GU88,IF(ROUND(CW88*$J88,6)&lt;ROUND($M88,6),CW88,0)))</f>
        <v/>
      </c>
      <c r="GW88" s="68">
        <f>IF(OR($U88=0,$F88&lt;&gt;2),0,IF(GV88&gt;0,GV88,IF(ROUND(CX88*$J88,6)&lt;ROUND($M88,6),CX88,0)))</f>
        <v/>
      </c>
      <c r="GX88" s="68">
        <f>IF(OR($U88=0,$F88&lt;&gt;2),0,IF(GW88&gt;0,GW88,IF(ROUND(CY88*$J88,6)&lt;ROUND($M88,6),CY88,0)))</f>
        <v/>
      </c>
      <c r="GY88" s="68">
        <f>IF(OR($U88=0,$F88&lt;&gt;2),0,IF(GX88&gt;0,GX88,IF(ROUND(CZ88*$J88,6)&lt;ROUND($M88,6),CZ88,0)))</f>
        <v/>
      </c>
      <c r="GZ88" s="68">
        <f>IF(OR($U88=0,$F88&lt;&gt;2),0,IF(GY88&gt;0,GY88,IF(ROUND(DA88*$J88,6)&lt;ROUND($M88,6),DA88,0)))</f>
        <v/>
      </c>
      <c r="HA88" s="68">
        <f>IF(OR($U88=0,$F88&lt;&gt;2),0,IF(GZ88&gt;0,GZ88,IF(ROUND(DB88*$J88,6)&lt;ROUND($M88,6),DB88,0)))</f>
        <v/>
      </c>
      <c r="HB88" s="68">
        <f>IF(OR($U88=0,$F88&lt;&gt;2),0,IF(HA88&gt;0,HA88,IF(ROUND(DC88*$J88,6)&lt;ROUND($M88,6),DC88,0)))</f>
        <v/>
      </c>
      <c r="HC88" s="68">
        <f>IF(OR($U88=0,$F88&lt;&gt;2),0,IF(HB88&gt;0,HB88,IF(ROUND(DD88*$J88,6)&lt;ROUND($M88,6),DD88,0)))</f>
        <v/>
      </c>
      <c r="HD88" s="68">
        <f>IF(OR($U88=0,$F88&lt;&gt;2),0,IF(HC88&gt;0,HC88,IF(ROUND(DE88*$J88,6)&lt;ROUND($M88,6),DE88,0)))</f>
        <v/>
      </c>
      <c r="HE88" s="68">
        <f>IF(OR($U88=0,$F88&lt;&gt;2),0,IF(HD88&gt;0,HD88,IF(ROUND(DF88*$J88,6)&lt;ROUND($M88,6),DF88,0)))</f>
        <v/>
      </c>
      <c r="HF88" s="68">
        <f>IF(OR($U88=0,$F88&lt;&gt;2),0,IF(HE88&gt;0,HE88,IF(ROUND(DG88*$J88,6)&lt;ROUND($M88,6),DG88,0)))</f>
        <v/>
      </c>
      <c r="HG88" s="68">
        <f>IF(OR($U88=0,$F88&lt;&gt;2),0,IF(HF88&gt;0,HF88,IF(ROUND(DH88*$J88,6)&lt;ROUND($M88,6),DH88,0)))</f>
        <v/>
      </c>
      <c r="HH88" s="68">
        <f>IF(OR($U88=0,$F88&lt;&gt;2),0,IF(HG88&gt;0,HG88,IF(ROUND(DI88*$J88,6)&lt;ROUND($M88,6),DI88,0)))</f>
        <v/>
      </c>
      <c r="HI88" s="68">
        <f>IF(OR($U88=0,$F88&lt;&gt;2),0,IF(HH88&gt;0,HH88,IF(ROUND(DJ88*$J88,6)&lt;ROUND($M88,6),DJ88,0)))</f>
        <v/>
      </c>
      <c r="HJ88" s="68">
        <f>IF(OR($U88=0,$F88&lt;&gt;2),0,IF(HI88&gt;0,HI88,IF(ROUND(DK88*$J88,6)&lt;ROUND($M88,6),DK88,0)))</f>
        <v/>
      </c>
      <c r="HK88" s="68">
        <f>IF(OR($U88=0,$F88&lt;&gt;2),0,IF(HJ88&gt;0,HJ88,IF(ROUND(DL88*$J88,6)&lt;ROUND($M88,6),DL88,0)))</f>
        <v/>
      </c>
      <c r="HL88" s="68">
        <f>IF(OR($U88=0,$F88&lt;&gt;2),0,IF(HK88&gt;0,HK88,IF(ROUND(DM88*$J88,6)&lt;ROUND($M88,6),DM88,0)))</f>
        <v/>
      </c>
      <c r="HM88" s="68">
        <f>IF(OR($U88=0,$F88&lt;&gt;2),0,IF(HL88&gt;0,HL88,IF(ROUND(DN88*$J88,6)&lt;ROUND($M88,6),DN88,0)))</f>
        <v/>
      </c>
      <c r="HN88" s="68">
        <f>IF(OR($U88=0,$F88&lt;&gt;2),0,IF(HM88&gt;0,HM88,IF(ROUND(DO88*$J88,6)&lt;ROUND($M88,6),DO88,0)))</f>
        <v/>
      </c>
      <c r="HO88" s="68">
        <f>IF(OR($U88=0,$F88&lt;&gt;2),0,IF(HN88&gt;0,HN88,IF(ROUND(DP88*$J88,6)&lt;ROUND($M88,6),DP88,0)))</f>
        <v/>
      </c>
      <c r="HP88" s="68">
        <f>IF(OR($U88=0,$F88&lt;&gt;2),0,IF(HO88&gt;0,HO88,IF(ROUND(DQ88*$J88,6)&lt;ROUND($M88,6),DQ88,0)))</f>
        <v/>
      </c>
      <c r="HQ88" s="68">
        <f>IF(OR($U88=0,$F88&lt;&gt;2),0,IF(HP88&gt;0,HP88,IF(ROUND(DR88*$J88,6)&lt;ROUND($M88,6),DR88,0)))</f>
        <v/>
      </c>
      <c r="HR88" s="68">
        <f>IF(OR($U88=0,$F88&lt;&gt;2),0,IF(HQ88&gt;0,HQ88,IF(ROUND(DS88*$J88,6)&lt;ROUND($M88,6),DS88,0)))</f>
        <v/>
      </c>
      <c r="HS88" s="68">
        <f>IF(OR($U88=0,$F88&lt;&gt;2),0,IF(HR88&gt;0,HR88,IF(ROUND(DT88*$J88,6)&lt;ROUND($M88,6),DT88,0)))</f>
        <v/>
      </c>
      <c r="HT88" s="68">
        <f>IF(OR($U88=0,$F88&lt;&gt;2),0,IF(HS88&gt;0,HS88,IF(ROUND(DU88*$J88,6)&lt;ROUND($M88,6),DU88,0)))</f>
        <v/>
      </c>
      <c r="HU88" s="68">
        <f>IF(OR($U88=0,$F88&lt;&gt;2),0,IF(HT88&gt;0,HT88,IF(ROUND(DV88*$J88,6)&lt;ROUND($M88,6),DV88,0)))</f>
        <v/>
      </c>
      <c r="HV88" s="68">
        <f>IF(OR($U88=0,$F88&lt;&gt;2),0,IF(HU88&gt;0,HU88,IF(ROUND(DW88*$J88,6)&lt;ROUND($M88,6),DW88,0)))</f>
        <v/>
      </c>
      <c r="HW88" s="68">
        <f>IF(OR($U88=0,$F88&lt;&gt;2),0,IF(HV88&gt;0,HV88,IF(ROUND(DX88*$J88,6)&lt;ROUND($M88,6),DX88,0)))</f>
        <v/>
      </c>
      <c r="HX88" s="68">
        <f>IF(OR($U88=0,$F88&lt;&gt;2),0,IF(HW88&gt;0,HW88,IF(ROUND(DY88*$J88,6)&lt;ROUND($M88,6),DY88,0)))</f>
        <v/>
      </c>
      <c r="HY88" s="68">
        <f>IF(OR($U88=0,$F88&lt;&gt;2),0,IF(HX88&gt;0,HX88,IF(ROUND(DZ88*$J88,6)&lt;ROUND($M88,6),DZ88,0)))</f>
        <v/>
      </c>
      <c r="HZ88" s="68">
        <f>IF(OR($U88=0,$F88&lt;&gt;2),0,IF(HY88&gt;0,HY88,IF(ROUND(EA88*$J88,6)&lt;ROUND($M88,6),EA88,0)))</f>
        <v/>
      </c>
      <c r="IA88" s="68">
        <f>IF(OR($U88=0,$F88&lt;&gt;2),0,IF(HZ88&gt;0,HZ88,IF(ROUND(EB88*$J88,6)&lt;ROUND($M88,6),EB88,0)))</f>
        <v/>
      </c>
      <c r="IB88" s="68">
        <f>IF(OR($U88=0,$F88&lt;&gt;2),0,IF(IA88&gt;0,IA88,IF(ROUND(EC88*$J88,6)&lt;ROUND($M88,6),EC88,0)))</f>
        <v/>
      </c>
      <c r="IC88" s="68">
        <f>IF(OR($U88=0,$F88&lt;&gt;2),0,IF(IB88&gt;0,IB88,IF(ROUND(ED88*$J88,6)&lt;ROUND($M88,6),ED88,0)))</f>
        <v/>
      </c>
      <c r="ID88" s="68">
        <f>IF(OR($U88=0,$F88&lt;&gt;2),0,IF(IC88&gt;0,IC88,IF(ROUND(EE88*$J88,6)&lt;ROUND($M88,6),EE88,0)))</f>
        <v/>
      </c>
      <c r="IE88" s="68">
        <f>IF(OR($U88=0,$F88&lt;&gt;2),0,IF(ID88&gt;0,ID88,IF(ROUND(EF88*$J88,6)&lt;ROUND($M88,6),EF88,0)))</f>
        <v/>
      </c>
      <c r="IF88" s="68">
        <f>IF(OR($U88=0,$F88&lt;&gt;2),0,IF(IE88&gt;0,IE88,IF(ROUND(EG88*$J88,6)&lt;ROUND($M88,6),EG88,0)))</f>
        <v/>
      </c>
      <c r="IG88" s="68">
        <f>IF(OR($U88=0,$F88&lt;&gt;2),0,IF(IF88&gt;0,IF88,IF(ROUND(EH88*$J88,6)&lt;ROUND($M88,6),EH88,0)))</f>
        <v/>
      </c>
      <c r="IH88" s="68">
        <f>IF(OR($U88=0,$F88&lt;&gt;2),0,IF(IG88&gt;0,IG88,IF(ROUND(EI88*$J88,6)&lt;ROUND($M88,6),EI88,0)))</f>
        <v/>
      </c>
      <c r="II88" s="68">
        <f>IF(OR($U88=0,$F88&lt;&gt;2),0,IF(IH88&gt;0,IH88,IF(ROUND(EJ88*$J88,6)&lt;ROUND($M88,6),EJ88,0)))</f>
        <v/>
      </c>
      <c r="IJ88" s="68">
        <f>IF(OR($U88=0,$F88&lt;&gt;2),0,IF(II88&gt;0,II88,IF(ROUND(EK88*$J88,6)&lt;ROUND($M88,6),EK88,0)))</f>
        <v/>
      </c>
      <c r="IK88" s="68">
        <f>IF(OR($U88=0,$F88&lt;&gt;2),0,IF(IJ88&gt;0,IJ88,IF(ROUND(EL88*$J88,6)&lt;ROUND($M88,6),EL88,0)))</f>
        <v/>
      </c>
      <c r="IL88" s="68">
        <f>IF(OR($U88=0,$F88&lt;&gt;2),0,IF(IK88&gt;0,IK88,IF(ROUND(EM88*$J88,6)&lt;ROUND($M88,6),EM88,0)))</f>
        <v/>
      </c>
      <c r="IM88" s="68">
        <f>IF(OR($U88=0,$F88&lt;&gt;2),0,IF(IL88&gt;0,IL88,IF(ROUND(EN88*$J88,6)&lt;ROUND($M88,6),EN88,0)))</f>
        <v/>
      </c>
      <c r="IN88" s="68">
        <f>IF(OR($U88=0,$F88&lt;&gt;2),0,IF(IM88&gt;0,IM88,IF(ROUND(EO88*$J88,6)&lt;ROUND($M88,6),EO88,0)))</f>
        <v/>
      </c>
    </row>
    <row r="89">
      <c r="A89" s="68" t="n">
        <v>84</v>
      </c>
      <c r="B89" s="68">
        <f>IF(OR(TRIM('固定資産台帳'!$B89)&lt;&gt;"",'固定資産台帳'!$E89&lt;&gt;"",'固定資産台帳'!$G89&lt;&gt;"",'固定資産台帳'!$H89&lt;&gt;""),1,0)</f>
        <v/>
      </c>
      <c r="C89" s="68">
        <f>IF(ISNUMBER('固定資産台帳'!$G89),MAX(ROUND('固定資産台帳'!$G89,0),0),0)</f>
        <v/>
      </c>
      <c r="D89" s="84">
        <f>IF(ISNUMBER('固定資産台帳'!$E89),INT('固定資産台帳'!$E89),0)</f>
        <v/>
      </c>
      <c r="E89" s="84">
        <f>IF(ISNUMBER('固定資産台帳'!$F89),INT('固定資産台帳'!$F89),$D89)</f>
        <v/>
      </c>
      <c r="F89" s="68">
        <f>IF('固定資産台帳'!$H89="定額法",1,IF(OR('固定資産台帳'!$H89="定率法",'固定資産台帳'!$H89="定率法（200%）",'固定資産台帳'!$H89="定率法（250%）"),2,IF('固定資産台帳'!$H89="一括償却（3年）",3,IF('固定資産台帳'!$H89="少額特例",4,0))))</f>
        <v/>
      </c>
      <c r="G89" s="68">
        <f>IF('固定資産台帳'!$H89="定率法（250%）",250,IF('固定資産台帳'!$H89="定率法（200%）",200,IF($D89&gt;=DATE(2012,4,1),200,250)))</f>
        <v/>
      </c>
      <c r="H89" s="68">
        <f>IF(ISNUMBER('固定資産台帳'!$I89),IF(AND('固定資産台帳'!$I89&gt;=2,'固定資産台帳'!$I89&lt;=100,'固定資産台帳'!$I89=INT('固定資産台帳'!$I89)),'固定資産台帳'!$I89,0),0)</f>
        <v/>
      </c>
      <c r="I89" s="68">
        <f>IF('固定資産台帳'!$C89="無形固定資産",0,1)</f>
        <v/>
      </c>
      <c r="J89" s="68">
        <f>IF(OR($H89=0,$F89=0,$F89&gt;2),0,IF($F89=1,INDEX('償却率表'!$B$6:$B$104,$H89-1),IF($G89=200,INDEX('償却率表'!$C$6:$C$104,$H89-1),INDEX('償却率表'!$F$6:$F$104,$H89-1))))</f>
        <v/>
      </c>
      <c r="K89" s="68">
        <f>IF(AND($F89=2,$H89&gt;0),IF($G89=200,INDEX('償却率表'!$D$6:$D$104,$H89-1),INDEX('償却率表'!$G$6:$G$104,$H89-1)),0)</f>
        <v/>
      </c>
      <c r="L89" s="68">
        <f>IF(AND($F89=2,$H89&gt;0),IF($G89=200,INDEX('償却率表'!$E$6:$E$104,$H89-1),INDEX('償却率表'!$H$6:$H$104,$H89-1)),0)</f>
        <v/>
      </c>
      <c r="M89" s="68">
        <f>$C89*$L89</f>
        <v/>
      </c>
      <c r="N89" s="68">
        <f>IF($B$1=1,1,IF('固定資産台帳'!$J89="",1,IF(ISNUMBER('固定資産台帳'!$J89),IF(AND('固定資産台帳'!$J89&gt;0,'固定資産台帳'!$J89&lt;=1),'固定資産台帳'!$J89,0),0)))</f>
        <v/>
      </c>
      <c r="O89" s="68">
        <f>IF($E89=0,0,YEAR($E89)-IF(MONTH($E89)&lt;$B$2,1,0))</f>
        <v/>
      </c>
      <c r="P89" s="68">
        <f>IF($E89=0,0,12-MOD(MONTH($E89)-$B$2,12))</f>
        <v/>
      </c>
      <c r="Q89" s="84">
        <f>IF(ISNUMBER('固定資産台帳'!$K89),INT('固定資産台帳'!$K89),0)</f>
        <v/>
      </c>
      <c r="R89" s="68">
        <f>IF(OR($Q89=0,$E89=0),999,YEAR($Q89)-IF(MONTH($Q89)&lt;$B$2,1,0)-$O89)</f>
        <v/>
      </c>
      <c r="S89" s="68">
        <f>IF($R89=999,0,MOD(MONTH($Q89)-$B$2,12)+1-IF($R89=0,12-$P89,0))</f>
        <v/>
      </c>
      <c r="T89" s="68">
        <f>IF($B89=0,0,IF($C89&lt;=0,1,IF($D89=0,2,IF($F89=0,3,IF(AND($F89&lt;=2,$H89=0),4,IF(AND($F89&lt;=2,$D89&lt;DATE(2007,4,1)),5,IF($E89&lt;$D89,6,IF(AND($Q89&gt;0,$Q89&lt;$E89),7,IF($N89=0,8,IF($B$3=0,9,0))))))))))</f>
        <v/>
      </c>
      <c r="U89" s="68">
        <f>IF(AND($B89=1,$T89=0),1,0)</f>
        <v/>
      </c>
      <c r="V89" s="68">
        <f>$B$3-$O89</f>
        <v/>
      </c>
      <c r="W89" s="68">
        <f>IF(AND($U89=1,$V89&gt;=0),1,0)</f>
        <v/>
      </c>
      <c r="X89" s="68">
        <f>IF($W89=0,0,IF($V89=0,$C89,INDEX($AS89:$EP89,MIN($V89,102))))</f>
        <v/>
      </c>
      <c r="Y89" s="68">
        <f>IF($W89=0,0,INDEX($AS89:$EP89,MIN($V89,101)+1))</f>
        <v/>
      </c>
      <c r="Z89" s="68">
        <f>$X89-$Y89</f>
        <v/>
      </c>
      <c r="AA89" s="68">
        <f>IF(AND($W89=1,$F89=2,$V89&gt;=1),INDEX($ER89:$IN89,MIN($V89,101)),0)</f>
        <v/>
      </c>
      <c r="AB89" s="68">
        <f>IF(OR($W89=0,$F89&gt;2,$Z89=0),0,IF($V89=0,IF($R89=0,$S89,$P89),IF($V89=$R89,$S89,12)))</f>
        <v/>
      </c>
      <c r="AC89" s="68">
        <f>IF($W89=0,0,INT(ROUND($Z89*$N89,6)+$B$4))</f>
        <v/>
      </c>
      <c r="AD89" s="68">
        <f>IF(AND($W89=1,$F89&lt;=2,$V89=$R89),1,0)</f>
        <v/>
      </c>
      <c r="AE89" s="68">
        <f>IF(AND($W89=1,$F89&lt;=2,$V89&gt;$R89),1,0)</f>
        <v/>
      </c>
      <c r="AF89" s="68">
        <f>IF(AND($W89=1,$AE89=0,OR($Z89&gt;0,$AD89=1)),1,0)</f>
        <v/>
      </c>
      <c r="AG89" s="68">
        <f>IF($AF89=1,SUM($AF$6:$AF89),0)</f>
        <v/>
      </c>
      <c r="AH89" s="68">
        <f>IF($T89=0,"",CHOOSE($T89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89" s="68">
        <f>IF(AND($F89=2,OR('固定資産台帳'!$C89="建物",'固定資産台帳'!$C89="無形固定資産",AND(OR('固定資産台帳'!$C89="建物附属設備",'固定資産台帳'!$C89="構築物"),$D89&gt;=DATE(2016,4,1)))),"この資産は定額法だけです（定率法は使えません）。","")&amp;IF(AND($F89=3,$C89&gt;=200000),"一括償却は20万円未満の資産だけです。","")&amp;IF(AND($F89=3,$B$1=0,$C89&lt;100000),"10万円未満は一括償却にせず、全額をその年の経費にします。","")&amp;IF(AND($F89=4,$C89&lt;100000),"10万円未満は少額特例ではなく、全額をその年の経費にします。","")&amp;IF(AND($F89=4,$D89&lt;DATE(2026,4,1),$C89&gt;=300000),"2026年3月31日までの取得で少額特例が使えるのは30万円未満です。","")&amp;IF(AND($F89=4,$D89&gt;=DATE(2026,4,1),$C89&gt;=400000),"少額特例は40万円未満の資産だけです。","")&amp;IF(AND($F89=4,OR($D89&lt;DATE(2006,4,1),$D89&gt;DATE(2029,3,31))),"少額特例は2006年4月1日〜2029年3月31日に取得した資産だけです。","")&amp;IF(AND($F89=2,$G89=250,$D89&gt;DATE(2012,12,31)),"250%定率法は2012年12月31日までの取得だけです。","")</f>
        <v/>
      </c>
      <c r="AJ89" s="68">
        <f>IF(AND($F89=2,'固定資産台帳'!$H89="定率法（200%）",$D89&lt;DATE(2012,4,1)),"2012年3月31日までの取得に200%を使うのは、経過措置の届出をした場合です。","")&amp;IF(AND($F89=2,'固定資産台帳'!$H89="定率法（250%）",$D89&gt;=DATE(2012,4,1),$D89&lt;=DATE(2012,12,31)),"2012年4〜12月の取得に250%を使うのは、経過措置を選んだ場合です。","")</f>
        <v/>
      </c>
      <c r="AK89" s="68">
        <f>IF($U89=0,"",IF($V89&lt;0,"表示している年より後に使い始める資産です。",IF($AE89=1,"売却・除却済みです。",IF($AD89=1,"この年に売却・除却。期末の帳簿価額 "&amp;TEXT($Y89,"#,##0")&amp;"円を帳簿から外します。",IF($F89=4,IF($V89=0,"少額特例：この年に全額を経費にします。","少額特例で経費にした資産です。"),IF($F89=3,IF($V89&gt;2,"一括償却は終わっています。","一括償却 "&amp;($V89+1)&amp;"年目（3年のうち）。"),IF($Z89=0,"償却済み（帳簿価額 "&amp;TEXT($Y89,"#,##0")&amp;"円）。",IF($AA89&gt;0,"改定償却率で計算（改定取得価額 "&amp;TEXT($AA89,"#,##0")&amp;"円）。",IF($V89=0,"この年に使い始め（"&amp;$AB89&amp;"か月分）。","")))))))))</f>
        <v/>
      </c>
      <c r="AL89" s="68">
        <f>IF(AND($U89=1,$F89=4,$V89=0),$C89,0)</f>
        <v/>
      </c>
      <c r="AM89" s="68">
        <f>IF($F89=2,INT(ROUND($M89,6)+$B$4),0)</f>
        <v/>
      </c>
      <c r="AN89" s="68">
        <f>IF($W89=0,0,IF($F89=2,IF($AA89&gt;0,$AA89,$X89),$C89))</f>
        <v/>
      </c>
      <c r="AO89" s="68">
        <f>IF($W89=0,"",IF($F89=3,"1/3",IF($F89=4,"―",IF($AA89&gt;0,$K89,$J89))))</f>
        <v/>
      </c>
      <c r="AP89" s="68" t="n"/>
      <c r="AQ89" s="68" t="n"/>
      <c r="AR89" s="68" t="n"/>
      <c r="AS89" s="68">
        <f>IF($U89=0,0,IF($F89=4,0,IF($F89=3,MAX($C89-INT(ROUND($C89/3,6)+$B$4),0),$C89-MIN(INT(ROUND($C89*$J89*IF($R89=0,$S89,$P89)/12,6)+$B$4),MAX($C89-$I89,0)))))</f>
        <v/>
      </c>
      <c r="AT89" s="68">
        <f>IF($U89=0,0,IF($F89=4,0,IF($F89=3,AS89-MIN(INT(ROUND($C89/3,6)+$B$4),AS89),IF(OR(1&gt;$R89,AS89&lt;=$I89),AS89,AS89-MIN(INT(ROUND(IF($F89=1,$C89*$J89,IF(ER89&gt;0,ER89*$K89,AS89*$J89))*IF(1=$R89,$S89,12)/12,6)+$B$4),AS89-$I89)))))</f>
        <v/>
      </c>
      <c r="AU89" s="68">
        <f>IF($U89=0,0,IF($F89=4,0,IF($F89=3,0,IF(OR(2&gt;$R89,AT89&lt;=$I89),AT89,AT89-MIN(INT(ROUND(IF($F89=1,$C89*$J89,IF(ES89&gt;0,ES89*$K89,AT89*$J89))*IF(2=$R89,$S89,12)/12,6)+$B$4),AT89-$I89)))))</f>
        <v/>
      </c>
      <c r="AV89" s="68">
        <f>IF($U89=0,0,IF($F89=4,0,IF($F89=3,0,IF(OR(3&gt;$R89,AU89&lt;=$I89),AU89,AU89-MIN(INT(ROUND(IF($F89=1,$C89*$J89,IF(ET89&gt;0,ET89*$K89,AU89*$J89))*IF(3=$R89,$S89,12)/12,6)+$B$4),AU89-$I89)))))</f>
        <v/>
      </c>
      <c r="AW89" s="68">
        <f>IF($U89=0,0,IF($F89=4,0,IF($F89=3,0,IF(OR(4&gt;$R89,AV89&lt;=$I89),AV89,AV89-MIN(INT(ROUND(IF($F89=1,$C89*$J89,IF(EU89&gt;0,EU89*$K89,AV89*$J89))*IF(4=$R89,$S89,12)/12,6)+$B$4),AV89-$I89)))))</f>
        <v/>
      </c>
      <c r="AX89" s="68">
        <f>IF($U89=0,0,IF($F89=4,0,IF($F89=3,0,IF(OR(5&gt;$R89,AW89&lt;=$I89),AW89,AW89-MIN(INT(ROUND(IF($F89=1,$C89*$J89,IF(EV89&gt;0,EV89*$K89,AW89*$J89))*IF(5=$R89,$S89,12)/12,6)+$B$4),AW89-$I89)))))</f>
        <v/>
      </c>
      <c r="AY89" s="68">
        <f>IF($U89=0,0,IF($F89=4,0,IF($F89=3,0,IF(OR(6&gt;$R89,AX89&lt;=$I89),AX89,AX89-MIN(INT(ROUND(IF($F89=1,$C89*$J89,IF(EW89&gt;0,EW89*$K89,AX89*$J89))*IF(6=$R89,$S89,12)/12,6)+$B$4),AX89-$I89)))))</f>
        <v/>
      </c>
      <c r="AZ89" s="68">
        <f>IF($U89=0,0,IF($F89=4,0,IF($F89=3,0,IF(OR(7&gt;$R89,AY89&lt;=$I89),AY89,AY89-MIN(INT(ROUND(IF($F89=1,$C89*$J89,IF(EX89&gt;0,EX89*$K89,AY89*$J89))*IF(7=$R89,$S89,12)/12,6)+$B$4),AY89-$I89)))))</f>
        <v/>
      </c>
      <c r="BA89" s="68">
        <f>IF($U89=0,0,IF($F89=4,0,IF($F89=3,0,IF(OR(8&gt;$R89,AZ89&lt;=$I89),AZ89,AZ89-MIN(INT(ROUND(IF($F89=1,$C89*$J89,IF(EY89&gt;0,EY89*$K89,AZ89*$J89))*IF(8=$R89,$S89,12)/12,6)+$B$4),AZ89-$I89)))))</f>
        <v/>
      </c>
      <c r="BB89" s="68">
        <f>IF($U89=0,0,IF($F89=4,0,IF($F89=3,0,IF(OR(9&gt;$R89,BA89&lt;=$I89),BA89,BA89-MIN(INT(ROUND(IF($F89=1,$C89*$J89,IF(EZ89&gt;0,EZ89*$K89,BA89*$J89))*IF(9=$R89,$S89,12)/12,6)+$B$4),BA89-$I89)))))</f>
        <v/>
      </c>
      <c r="BC89" s="68">
        <f>IF($U89=0,0,IF($F89=4,0,IF($F89=3,0,IF(OR(10&gt;$R89,BB89&lt;=$I89),BB89,BB89-MIN(INT(ROUND(IF($F89=1,$C89*$J89,IF(FA89&gt;0,FA89*$K89,BB89*$J89))*IF(10=$R89,$S89,12)/12,6)+$B$4),BB89-$I89)))))</f>
        <v/>
      </c>
      <c r="BD89" s="68">
        <f>IF($U89=0,0,IF($F89=4,0,IF($F89=3,0,IF(OR(11&gt;$R89,BC89&lt;=$I89),BC89,BC89-MIN(INT(ROUND(IF($F89=1,$C89*$J89,IF(FB89&gt;0,FB89*$K89,BC89*$J89))*IF(11=$R89,$S89,12)/12,6)+$B$4),BC89-$I89)))))</f>
        <v/>
      </c>
      <c r="BE89" s="68">
        <f>IF($U89=0,0,IF($F89=4,0,IF($F89=3,0,IF(OR(12&gt;$R89,BD89&lt;=$I89),BD89,BD89-MIN(INT(ROUND(IF($F89=1,$C89*$J89,IF(FC89&gt;0,FC89*$K89,BD89*$J89))*IF(12=$R89,$S89,12)/12,6)+$B$4),BD89-$I89)))))</f>
        <v/>
      </c>
      <c r="BF89" s="68">
        <f>IF($U89=0,0,IF($F89=4,0,IF($F89=3,0,IF(OR(13&gt;$R89,BE89&lt;=$I89),BE89,BE89-MIN(INT(ROUND(IF($F89=1,$C89*$J89,IF(FD89&gt;0,FD89*$K89,BE89*$J89))*IF(13=$R89,$S89,12)/12,6)+$B$4),BE89-$I89)))))</f>
        <v/>
      </c>
      <c r="BG89" s="68">
        <f>IF($U89=0,0,IF($F89=4,0,IF($F89=3,0,IF(OR(14&gt;$R89,BF89&lt;=$I89),BF89,BF89-MIN(INT(ROUND(IF($F89=1,$C89*$J89,IF(FE89&gt;0,FE89*$K89,BF89*$J89))*IF(14=$R89,$S89,12)/12,6)+$B$4),BF89-$I89)))))</f>
        <v/>
      </c>
      <c r="BH89" s="68">
        <f>IF($U89=0,0,IF($F89=4,0,IF($F89=3,0,IF(OR(15&gt;$R89,BG89&lt;=$I89),BG89,BG89-MIN(INT(ROUND(IF($F89=1,$C89*$J89,IF(FF89&gt;0,FF89*$K89,BG89*$J89))*IF(15=$R89,$S89,12)/12,6)+$B$4),BG89-$I89)))))</f>
        <v/>
      </c>
      <c r="BI89" s="68">
        <f>IF($U89=0,0,IF($F89=4,0,IF($F89=3,0,IF(OR(16&gt;$R89,BH89&lt;=$I89),BH89,BH89-MIN(INT(ROUND(IF($F89=1,$C89*$J89,IF(FG89&gt;0,FG89*$K89,BH89*$J89))*IF(16=$R89,$S89,12)/12,6)+$B$4),BH89-$I89)))))</f>
        <v/>
      </c>
      <c r="BJ89" s="68">
        <f>IF($U89=0,0,IF($F89=4,0,IF($F89=3,0,IF(OR(17&gt;$R89,BI89&lt;=$I89),BI89,BI89-MIN(INT(ROUND(IF($F89=1,$C89*$J89,IF(FH89&gt;0,FH89*$K89,BI89*$J89))*IF(17=$R89,$S89,12)/12,6)+$B$4),BI89-$I89)))))</f>
        <v/>
      </c>
      <c r="BK89" s="68">
        <f>IF($U89=0,0,IF($F89=4,0,IF($F89=3,0,IF(OR(18&gt;$R89,BJ89&lt;=$I89),BJ89,BJ89-MIN(INT(ROUND(IF($F89=1,$C89*$J89,IF(FI89&gt;0,FI89*$K89,BJ89*$J89))*IF(18=$R89,$S89,12)/12,6)+$B$4),BJ89-$I89)))))</f>
        <v/>
      </c>
      <c r="BL89" s="68">
        <f>IF($U89=0,0,IF($F89=4,0,IF($F89=3,0,IF(OR(19&gt;$R89,BK89&lt;=$I89),BK89,BK89-MIN(INT(ROUND(IF($F89=1,$C89*$J89,IF(FJ89&gt;0,FJ89*$K89,BK89*$J89))*IF(19=$R89,$S89,12)/12,6)+$B$4),BK89-$I89)))))</f>
        <v/>
      </c>
      <c r="BM89" s="68">
        <f>IF($U89=0,0,IF($F89=4,0,IF($F89=3,0,IF(OR(20&gt;$R89,BL89&lt;=$I89),BL89,BL89-MIN(INT(ROUND(IF($F89=1,$C89*$J89,IF(FK89&gt;0,FK89*$K89,BL89*$J89))*IF(20=$R89,$S89,12)/12,6)+$B$4),BL89-$I89)))))</f>
        <v/>
      </c>
      <c r="BN89" s="68">
        <f>IF($U89=0,0,IF($F89=4,0,IF($F89=3,0,IF(OR(21&gt;$R89,BM89&lt;=$I89),BM89,BM89-MIN(INT(ROUND(IF($F89=1,$C89*$J89,IF(FL89&gt;0,FL89*$K89,BM89*$J89))*IF(21=$R89,$S89,12)/12,6)+$B$4),BM89-$I89)))))</f>
        <v/>
      </c>
      <c r="BO89" s="68">
        <f>IF($U89=0,0,IF($F89=4,0,IF($F89=3,0,IF(OR(22&gt;$R89,BN89&lt;=$I89),BN89,BN89-MIN(INT(ROUND(IF($F89=1,$C89*$J89,IF(FM89&gt;0,FM89*$K89,BN89*$J89))*IF(22=$R89,$S89,12)/12,6)+$B$4),BN89-$I89)))))</f>
        <v/>
      </c>
      <c r="BP89" s="68">
        <f>IF($U89=0,0,IF($F89=4,0,IF($F89=3,0,IF(OR(23&gt;$R89,BO89&lt;=$I89),BO89,BO89-MIN(INT(ROUND(IF($F89=1,$C89*$J89,IF(FN89&gt;0,FN89*$K89,BO89*$J89))*IF(23=$R89,$S89,12)/12,6)+$B$4),BO89-$I89)))))</f>
        <v/>
      </c>
      <c r="BQ89" s="68">
        <f>IF($U89=0,0,IF($F89=4,0,IF($F89=3,0,IF(OR(24&gt;$R89,BP89&lt;=$I89),BP89,BP89-MIN(INT(ROUND(IF($F89=1,$C89*$J89,IF(FO89&gt;0,FO89*$K89,BP89*$J89))*IF(24=$R89,$S89,12)/12,6)+$B$4),BP89-$I89)))))</f>
        <v/>
      </c>
      <c r="BR89" s="68">
        <f>IF($U89=0,0,IF($F89=4,0,IF($F89=3,0,IF(OR(25&gt;$R89,BQ89&lt;=$I89),BQ89,BQ89-MIN(INT(ROUND(IF($F89=1,$C89*$J89,IF(FP89&gt;0,FP89*$K89,BQ89*$J89))*IF(25=$R89,$S89,12)/12,6)+$B$4),BQ89-$I89)))))</f>
        <v/>
      </c>
      <c r="BS89" s="68">
        <f>IF($U89=0,0,IF($F89=4,0,IF($F89=3,0,IF(OR(26&gt;$R89,BR89&lt;=$I89),BR89,BR89-MIN(INT(ROUND(IF($F89=1,$C89*$J89,IF(FQ89&gt;0,FQ89*$K89,BR89*$J89))*IF(26=$R89,$S89,12)/12,6)+$B$4),BR89-$I89)))))</f>
        <v/>
      </c>
      <c r="BT89" s="68">
        <f>IF($U89=0,0,IF($F89=4,0,IF($F89=3,0,IF(OR(27&gt;$R89,BS89&lt;=$I89),BS89,BS89-MIN(INT(ROUND(IF($F89=1,$C89*$J89,IF(FR89&gt;0,FR89*$K89,BS89*$J89))*IF(27=$R89,$S89,12)/12,6)+$B$4),BS89-$I89)))))</f>
        <v/>
      </c>
      <c r="BU89" s="68">
        <f>IF($U89=0,0,IF($F89=4,0,IF($F89=3,0,IF(OR(28&gt;$R89,BT89&lt;=$I89),BT89,BT89-MIN(INT(ROUND(IF($F89=1,$C89*$J89,IF(FS89&gt;0,FS89*$K89,BT89*$J89))*IF(28=$R89,$S89,12)/12,6)+$B$4),BT89-$I89)))))</f>
        <v/>
      </c>
      <c r="BV89" s="68">
        <f>IF($U89=0,0,IF($F89=4,0,IF($F89=3,0,IF(OR(29&gt;$R89,BU89&lt;=$I89),BU89,BU89-MIN(INT(ROUND(IF($F89=1,$C89*$J89,IF(FT89&gt;0,FT89*$K89,BU89*$J89))*IF(29=$R89,$S89,12)/12,6)+$B$4),BU89-$I89)))))</f>
        <v/>
      </c>
      <c r="BW89" s="68">
        <f>IF($U89=0,0,IF($F89=4,0,IF($F89=3,0,IF(OR(30&gt;$R89,BV89&lt;=$I89),BV89,BV89-MIN(INT(ROUND(IF($F89=1,$C89*$J89,IF(FU89&gt;0,FU89*$K89,BV89*$J89))*IF(30=$R89,$S89,12)/12,6)+$B$4),BV89-$I89)))))</f>
        <v/>
      </c>
      <c r="BX89" s="68">
        <f>IF($U89=0,0,IF($F89=4,0,IF($F89=3,0,IF(OR(31&gt;$R89,BW89&lt;=$I89),BW89,BW89-MIN(INT(ROUND(IF($F89=1,$C89*$J89,IF(FV89&gt;0,FV89*$K89,BW89*$J89))*IF(31=$R89,$S89,12)/12,6)+$B$4),BW89-$I89)))))</f>
        <v/>
      </c>
      <c r="BY89" s="68">
        <f>IF($U89=0,0,IF($F89=4,0,IF($F89=3,0,IF(OR(32&gt;$R89,BX89&lt;=$I89),BX89,BX89-MIN(INT(ROUND(IF($F89=1,$C89*$J89,IF(FW89&gt;0,FW89*$K89,BX89*$J89))*IF(32=$R89,$S89,12)/12,6)+$B$4),BX89-$I89)))))</f>
        <v/>
      </c>
      <c r="BZ89" s="68">
        <f>IF($U89=0,0,IF($F89=4,0,IF($F89=3,0,IF(OR(33&gt;$R89,BY89&lt;=$I89),BY89,BY89-MIN(INT(ROUND(IF($F89=1,$C89*$J89,IF(FX89&gt;0,FX89*$K89,BY89*$J89))*IF(33=$R89,$S89,12)/12,6)+$B$4),BY89-$I89)))))</f>
        <v/>
      </c>
      <c r="CA89" s="68">
        <f>IF($U89=0,0,IF($F89=4,0,IF($F89=3,0,IF(OR(34&gt;$R89,BZ89&lt;=$I89),BZ89,BZ89-MIN(INT(ROUND(IF($F89=1,$C89*$J89,IF(FY89&gt;0,FY89*$K89,BZ89*$J89))*IF(34=$R89,$S89,12)/12,6)+$B$4),BZ89-$I89)))))</f>
        <v/>
      </c>
      <c r="CB89" s="68">
        <f>IF($U89=0,0,IF($F89=4,0,IF($F89=3,0,IF(OR(35&gt;$R89,CA89&lt;=$I89),CA89,CA89-MIN(INT(ROUND(IF($F89=1,$C89*$J89,IF(FZ89&gt;0,FZ89*$K89,CA89*$J89))*IF(35=$R89,$S89,12)/12,6)+$B$4),CA89-$I89)))))</f>
        <v/>
      </c>
      <c r="CC89" s="68">
        <f>IF($U89=0,0,IF($F89=4,0,IF($F89=3,0,IF(OR(36&gt;$R89,CB89&lt;=$I89),CB89,CB89-MIN(INT(ROUND(IF($F89=1,$C89*$J89,IF(GA89&gt;0,GA89*$K89,CB89*$J89))*IF(36=$R89,$S89,12)/12,6)+$B$4),CB89-$I89)))))</f>
        <v/>
      </c>
      <c r="CD89" s="68">
        <f>IF($U89=0,0,IF($F89=4,0,IF($F89=3,0,IF(OR(37&gt;$R89,CC89&lt;=$I89),CC89,CC89-MIN(INT(ROUND(IF($F89=1,$C89*$J89,IF(GB89&gt;0,GB89*$K89,CC89*$J89))*IF(37=$R89,$S89,12)/12,6)+$B$4),CC89-$I89)))))</f>
        <v/>
      </c>
      <c r="CE89" s="68">
        <f>IF($U89=0,0,IF($F89=4,0,IF($F89=3,0,IF(OR(38&gt;$R89,CD89&lt;=$I89),CD89,CD89-MIN(INT(ROUND(IF($F89=1,$C89*$J89,IF(GC89&gt;0,GC89*$K89,CD89*$J89))*IF(38=$R89,$S89,12)/12,6)+$B$4),CD89-$I89)))))</f>
        <v/>
      </c>
      <c r="CF89" s="68">
        <f>IF($U89=0,0,IF($F89=4,0,IF($F89=3,0,IF(OR(39&gt;$R89,CE89&lt;=$I89),CE89,CE89-MIN(INT(ROUND(IF($F89=1,$C89*$J89,IF(GD89&gt;0,GD89*$K89,CE89*$J89))*IF(39=$R89,$S89,12)/12,6)+$B$4),CE89-$I89)))))</f>
        <v/>
      </c>
      <c r="CG89" s="68">
        <f>IF($U89=0,0,IF($F89=4,0,IF($F89=3,0,IF(OR(40&gt;$R89,CF89&lt;=$I89),CF89,CF89-MIN(INT(ROUND(IF($F89=1,$C89*$J89,IF(GE89&gt;0,GE89*$K89,CF89*$J89))*IF(40=$R89,$S89,12)/12,6)+$B$4),CF89-$I89)))))</f>
        <v/>
      </c>
      <c r="CH89" s="68">
        <f>IF($U89=0,0,IF($F89=4,0,IF($F89=3,0,IF(OR(41&gt;$R89,CG89&lt;=$I89),CG89,CG89-MIN(INT(ROUND(IF($F89=1,$C89*$J89,IF(GF89&gt;0,GF89*$K89,CG89*$J89))*IF(41=$R89,$S89,12)/12,6)+$B$4),CG89-$I89)))))</f>
        <v/>
      </c>
      <c r="CI89" s="68">
        <f>IF($U89=0,0,IF($F89=4,0,IF($F89=3,0,IF(OR(42&gt;$R89,CH89&lt;=$I89),CH89,CH89-MIN(INT(ROUND(IF($F89=1,$C89*$J89,IF(GG89&gt;0,GG89*$K89,CH89*$J89))*IF(42=$R89,$S89,12)/12,6)+$B$4),CH89-$I89)))))</f>
        <v/>
      </c>
      <c r="CJ89" s="68">
        <f>IF($U89=0,0,IF($F89=4,0,IF($F89=3,0,IF(OR(43&gt;$R89,CI89&lt;=$I89),CI89,CI89-MIN(INT(ROUND(IF($F89=1,$C89*$J89,IF(GH89&gt;0,GH89*$K89,CI89*$J89))*IF(43=$R89,$S89,12)/12,6)+$B$4),CI89-$I89)))))</f>
        <v/>
      </c>
      <c r="CK89" s="68">
        <f>IF($U89=0,0,IF($F89=4,0,IF($F89=3,0,IF(OR(44&gt;$R89,CJ89&lt;=$I89),CJ89,CJ89-MIN(INT(ROUND(IF($F89=1,$C89*$J89,IF(GI89&gt;0,GI89*$K89,CJ89*$J89))*IF(44=$R89,$S89,12)/12,6)+$B$4),CJ89-$I89)))))</f>
        <v/>
      </c>
      <c r="CL89" s="68">
        <f>IF($U89=0,0,IF($F89=4,0,IF($F89=3,0,IF(OR(45&gt;$R89,CK89&lt;=$I89),CK89,CK89-MIN(INT(ROUND(IF($F89=1,$C89*$J89,IF(GJ89&gt;0,GJ89*$K89,CK89*$J89))*IF(45=$R89,$S89,12)/12,6)+$B$4),CK89-$I89)))))</f>
        <v/>
      </c>
      <c r="CM89" s="68">
        <f>IF($U89=0,0,IF($F89=4,0,IF($F89=3,0,IF(OR(46&gt;$R89,CL89&lt;=$I89),CL89,CL89-MIN(INT(ROUND(IF($F89=1,$C89*$J89,IF(GK89&gt;0,GK89*$K89,CL89*$J89))*IF(46=$R89,$S89,12)/12,6)+$B$4),CL89-$I89)))))</f>
        <v/>
      </c>
      <c r="CN89" s="68">
        <f>IF($U89=0,0,IF($F89=4,0,IF($F89=3,0,IF(OR(47&gt;$R89,CM89&lt;=$I89),CM89,CM89-MIN(INT(ROUND(IF($F89=1,$C89*$J89,IF(GL89&gt;0,GL89*$K89,CM89*$J89))*IF(47=$R89,$S89,12)/12,6)+$B$4),CM89-$I89)))))</f>
        <v/>
      </c>
      <c r="CO89" s="68">
        <f>IF($U89=0,0,IF($F89=4,0,IF($F89=3,0,IF(OR(48&gt;$R89,CN89&lt;=$I89),CN89,CN89-MIN(INT(ROUND(IF($F89=1,$C89*$J89,IF(GM89&gt;0,GM89*$K89,CN89*$J89))*IF(48=$R89,$S89,12)/12,6)+$B$4),CN89-$I89)))))</f>
        <v/>
      </c>
      <c r="CP89" s="68">
        <f>IF($U89=0,0,IF($F89=4,0,IF($F89=3,0,IF(OR(49&gt;$R89,CO89&lt;=$I89),CO89,CO89-MIN(INT(ROUND(IF($F89=1,$C89*$J89,IF(GN89&gt;0,GN89*$K89,CO89*$J89))*IF(49=$R89,$S89,12)/12,6)+$B$4),CO89-$I89)))))</f>
        <v/>
      </c>
      <c r="CQ89" s="68">
        <f>IF($U89=0,0,IF($F89=4,0,IF($F89=3,0,IF(OR(50&gt;$R89,CP89&lt;=$I89),CP89,CP89-MIN(INT(ROUND(IF($F89=1,$C89*$J89,IF(GO89&gt;0,GO89*$K89,CP89*$J89))*IF(50=$R89,$S89,12)/12,6)+$B$4),CP89-$I89)))))</f>
        <v/>
      </c>
      <c r="CR89" s="68">
        <f>IF($U89=0,0,IF($F89=4,0,IF($F89=3,0,IF(OR(51&gt;$R89,CQ89&lt;=$I89),CQ89,CQ89-MIN(INT(ROUND(IF($F89=1,$C89*$J89,IF(GP89&gt;0,GP89*$K89,CQ89*$J89))*IF(51=$R89,$S89,12)/12,6)+$B$4),CQ89-$I89)))))</f>
        <v/>
      </c>
      <c r="CS89" s="68">
        <f>IF($U89=0,0,IF($F89=4,0,IF($F89=3,0,IF(OR(52&gt;$R89,CR89&lt;=$I89),CR89,CR89-MIN(INT(ROUND(IF($F89=1,$C89*$J89,IF(GQ89&gt;0,GQ89*$K89,CR89*$J89))*IF(52=$R89,$S89,12)/12,6)+$B$4),CR89-$I89)))))</f>
        <v/>
      </c>
      <c r="CT89" s="68">
        <f>IF($U89=0,0,IF($F89=4,0,IF($F89=3,0,IF(OR(53&gt;$R89,CS89&lt;=$I89),CS89,CS89-MIN(INT(ROUND(IF($F89=1,$C89*$J89,IF(GR89&gt;0,GR89*$K89,CS89*$J89))*IF(53=$R89,$S89,12)/12,6)+$B$4),CS89-$I89)))))</f>
        <v/>
      </c>
      <c r="CU89" s="68">
        <f>IF($U89=0,0,IF($F89=4,0,IF($F89=3,0,IF(OR(54&gt;$R89,CT89&lt;=$I89),CT89,CT89-MIN(INT(ROUND(IF($F89=1,$C89*$J89,IF(GS89&gt;0,GS89*$K89,CT89*$J89))*IF(54=$R89,$S89,12)/12,6)+$B$4),CT89-$I89)))))</f>
        <v/>
      </c>
      <c r="CV89" s="68">
        <f>IF($U89=0,0,IF($F89=4,0,IF($F89=3,0,IF(OR(55&gt;$R89,CU89&lt;=$I89),CU89,CU89-MIN(INT(ROUND(IF($F89=1,$C89*$J89,IF(GT89&gt;0,GT89*$K89,CU89*$J89))*IF(55=$R89,$S89,12)/12,6)+$B$4),CU89-$I89)))))</f>
        <v/>
      </c>
      <c r="CW89" s="68">
        <f>IF($U89=0,0,IF($F89=4,0,IF($F89=3,0,IF(OR(56&gt;$R89,CV89&lt;=$I89),CV89,CV89-MIN(INT(ROUND(IF($F89=1,$C89*$J89,IF(GU89&gt;0,GU89*$K89,CV89*$J89))*IF(56=$R89,$S89,12)/12,6)+$B$4),CV89-$I89)))))</f>
        <v/>
      </c>
      <c r="CX89" s="68">
        <f>IF($U89=0,0,IF($F89=4,0,IF($F89=3,0,IF(OR(57&gt;$R89,CW89&lt;=$I89),CW89,CW89-MIN(INT(ROUND(IF($F89=1,$C89*$J89,IF(GV89&gt;0,GV89*$K89,CW89*$J89))*IF(57=$R89,$S89,12)/12,6)+$B$4),CW89-$I89)))))</f>
        <v/>
      </c>
      <c r="CY89" s="68">
        <f>IF($U89=0,0,IF($F89=4,0,IF($F89=3,0,IF(OR(58&gt;$R89,CX89&lt;=$I89),CX89,CX89-MIN(INT(ROUND(IF($F89=1,$C89*$J89,IF(GW89&gt;0,GW89*$K89,CX89*$J89))*IF(58=$R89,$S89,12)/12,6)+$B$4),CX89-$I89)))))</f>
        <v/>
      </c>
      <c r="CZ89" s="68">
        <f>IF($U89=0,0,IF($F89=4,0,IF($F89=3,0,IF(OR(59&gt;$R89,CY89&lt;=$I89),CY89,CY89-MIN(INT(ROUND(IF($F89=1,$C89*$J89,IF(GX89&gt;0,GX89*$K89,CY89*$J89))*IF(59=$R89,$S89,12)/12,6)+$B$4),CY89-$I89)))))</f>
        <v/>
      </c>
      <c r="DA89" s="68">
        <f>IF($U89=0,0,IF($F89=4,0,IF($F89=3,0,IF(OR(60&gt;$R89,CZ89&lt;=$I89),CZ89,CZ89-MIN(INT(ROUND(IF($F89=1,$C89*$J89,IF(GY89&gt;0,GY89*$K89,CZ89*$J89))*IF(60=$R89,$S89,12)/12,6)+$B$4),CZ89-$I89)))))</f>
        <v/>
      </c>
      <c r="DB89" s="68">
        <f>IF($U89=0,0,IF($F89=4,0,IF($F89=3,0,IF(OR(61&gt;$R89,DA89&lt;=$I89),DA89,DA89-MIN(INT(ROUND(IF($F89=1,$C89*$J89,IF(GZ89&gt;0,GZ89*$K89,DA89*$J89))*IF(61=$R89,$S89,12)/12,6)+$B$4),DA89-$I89)))))</f>
        <v/>
      </c>
      <c r="DC89" s="68">
        <f>IF($U89=0,0,IF($F89=4,0,IF($F89=3,0,IF(OR(62&gt;$R89,DB89&lt;=$I89),DB89,DB89-MIN(INT(ROUND(IF($F89=1,$C89*$J89,IF(HA89&gt;0,HA89*$K89,DB89*$J89))*IF(62=$R89,$S89,12)/12,6)+$B$4),DB89-$I89)))))</f>
        <v/>
      </c>
      <c r="DD89" s="68">
        <f>IF($U89=0,0,IF($F89=4,0,IF($F89=3,0,IF(OR(63&gt;$R89,DC89&lt;=$I89),DC89,DC89-MIN(INT(ROUND(IF($F89=1,$C89*$J89,IF(HB89&gt;0,HB89*$K89,DC89*$J89))*IF(63=$R89,$S89,12)/12,6)+$B$4),DC89-$I89)))))</f>
        <v/>
      </c>
      <c r="DE89" s="68">
        <f>IF($U89=0,0,IF($F89=4,0,IF($F89=3,0,IF(OR(64&gt;$R89,DD89&lt;=$I89),DD89,DD89-MIN(INT(ROUND(IF($F89=1,$C89*$J89,IF(HC89&gt;0,HC89*$K89,DD89*$J89))*IF(64=$R89,$S89,12)/12,6)+$B$4),DD89-$I89)))))</f>
        <v/>
      </c>
      <c r="DF89" s="68">
        <f>IF($U89=0,0,IF($F89=4,0,IF($F89=3,0,IF(OR(65&gt;$R89,DE89&lt;=$I89),DE89,DE89-MIN(INT(ROUND(IF($F89=1,$C89*$J89,IF(HD89&gt;0,HD89*$K89,DE89*$J89))*IF(65=$R89,$S89,12)/12,6)+$B$4),DE89-$I89)))))</f>
        <v/>
      </c>
      <c r="DG89" s="68">
        <f>IF($U89=0,0,IF($F89=4,0,IF($F89=3,0,IF(OR(66&gt;$R89,DF89&lt;=$I89),DF89,DF89-MIN(INT(ROUND(IF($F89=1,$C89*$J89,IF(HE89&gt;0,HE89*$K89,DF89*$J89))*IF(66=$R89,$S89,12)/12,6)+$B$4),DF89-$I89)))))</f>
        <v/>
      </c>
      <c r="DH89" s="68">
        <f>IF($U89=0,0,IF($F89=4,0,IF($F89=3,0,IF(OR(67&gt;$R89,DG89&lt;=$I89),DG89,DG89-MIN(INT(ROUND(IF($F89=1,$C89*$J89,IF(HF89&gt;0,HF89*$K89,DG89*$J89))*IF(67=$R89,$S89,12)/12,6)+$B$4),DG89-$I89)))))</f>
        <v/>
      </c>
      <c r="DI89" s="68">
        <f>IF($U89=0,0,IF($F89=4,0,IF($F89=3,0,IF(OR(68&gt;$R89,DH89&lt;=$I89),DH89,DH89-MIN(INT(ROUND(IF($F89=1,$C89*$J89,IF(HG89&gt;0,HG89*$K89,DH89*$J89))*IF(68=$R89,$S89,12)/12,6)+$B$4),DH89-$I89)))))</f>
        <v/>
      </c>
      <c r="DJ89" s="68">
        <f>IF($U89=0,0,IF($F89=4,0,IF($F89=3,0,IF(OR(69&gt;$R89,DI89&lt;=$I89),DI89,DI89-MIN(INT(ROUND(IF($F89=1,$C89*$J89,IF(HH89&gt;0,HH89*$K89,DI89*$J89))*IF(69=$R89,$S89,12)/12,6)+$B$4),DI89-$I89)))))</f>
        <v/>
      </c>
      <c r="DK89" s="68">
        <f>IF($U89=0,0,IF($F89=4,0,IF($F89=3,0,IF(OR(70&gt;$R89,DJ89&lt;=$I89),DJ89,DJ89-MIN(INT(ROUND(IF($F89=1,$C89*$J89,IF(HI89&gt;0,HI89*$K89,DJ89*$J89))*IF(70=$R89,$S89,12)/12,6)+$B$4),DJ89-$I89)))))</f>
        <v/>
      </c>
      <c r="DL89" s="68">
        <f>IF($U89=0,0,IF($F89=4,0,IF($F89=3,0,IF(OR(71&gt;$R89,DK89&lt;=$I89),DK89,DK89-MIN(INT(ROUND(IF($F89=1,$C89*$J89,IF(HJ89&gt;0,HJ89*$K89,DK89*$J89))*IF(71=$R89,$S89,12)/12,6)+$B$4),DK89-$I89)))))</f>
        <v/>
      </c>
      <c r="DM89" s="68">
        <f>IF($U89=0,0,IF($F89=4,0,IF($F89=3,0,IF(OR(72&gt;$R89,DL89&lt;=$I89),DL89,DL89-MIN(INT(ROUND(IF($F89=1,$C89*$J89,IF(HK89&gt;0,HK89*$K89,DL89*$J89))*IF(72=$R89,$S89,12)/12,6)+$B$4),DL89-$I89)))))</f>
        <v/>
      </c>
      <c r="DN89" s="68">
        <f>IF($U89=0,0,IF($F89=4,0,IF($F89=3,0,IF(OR(73&gt;$R89,DM89&lt;=$I89),DM89,DM89-MIN(INT(ROUND(IF($F89=1,$C89*$J89,IF(HL89&gt;0,HL89*$K89,DM89*$J89))*IF(73=$R89,$S89,12)/12,6)+$B$4),DM89-$I89)))))</f>
        <v/>
      </c>
      <c r="DO89" s="68">
        <f>IF($U89=0,0,IF($F89=4,0,IF($F89=3,0,IF(OR(74&gt;$R89,DN89&lt;=$I89),DN89,DN89-MIN(INT(ROUND(IF($F89=1,$C89*$J89,IF(HM89&gt;0,HM89*$K89,DN89*$J89))*IF(74=$R89,$S89,12)/12,6)+$B$4),DN89-$I89)))))</f>
        <v/>
      </c>
      <c r="DP89" s="68">
        <f>IF($U89=0,0,IF($F89=4,0,IF($F89=3,0,IF(OR(75&gt;$R89,DO89&lt;=$I89),DO89,DO89-MIN(INT(ROUND(IF($F89=1,$C89*$J89,IF(HN89&gt;0,HN89*$K89,DO89*$J89))*IF(75=$R89,$S89,12)/12,6)+$B$4),DO89-$I89)))))</f>
        <v/>
      </c>
      <c r="DQ89" s="68">
        <f>IF($U89=0,0,IF($F89=4,0,IF($F89=3,0,IF(OR(76&gt;$R89,DP89&lt;=$I89),DP89,DP89-MIN(INT(ROUND(IF($F89=1,$C89*$J89,IF(HO89&gt;0,HO89*$K89,DP89*$J89))*IF(76=$R89,$S89,12)/12,6)+$B$4),DP89-$I89)))))</f>
        <v/>
      </c>
      <c r="DR89" s="68">
        <f>IF($U89=0,0,IF($F89=4,0,IF($F89=3,0,IF(OR(77&gt;$R89,DQ89&lt;=$I89),DQ89,DQ89-MIN(INT(ROUND(IF($F89=1,$C89*$J89,IF(HP89&gt;0,HP89*$K89,DQ89*$J89))*IF(77=$R89,$S89,12)/12,6)+$B$4),DQ89-$I89)))))</f>
        <v/>
      </c>
      <c r="DS89" s="68">
        <f>IF($U89=0,0,IF($F89=4,0,IF($F89=3,0,IF(OR(78&gt;$R89,DR89&lt;=$I89),DR89,DR89-MIN(INT(ROUND(IF($F89=1,$C89*$J89,IF(HQ89&gt;0,HQ89*$K89,DR89*$J89))*IF(78=$R89,$S89,12)/12,6)+$B$4),DR89-$I89)))))</f>
        <v/>
      </c>
      <c r="DT89" s="68">
        <f>IF($U89=0,0,IF($F89=4,0,IF($F89=3,0,IF(OR(79&gt;$R89,DS89&lt;=$I89),DS89,DS89-MIN(INT(ROUND(IF($F89=1,$C89*$J89,IF(HR89&gt;0,HR89*$K89,DS89*$J89))*IF(79=$R89,$S89,12)/12,6)+$B$4),DS89-$I89)))))</f>
        <v/>
      </c>
      <c r="DU89" s="68">
        <f>IF($U89=0,0,IF($F89=4,0,IF($F89=3,0,IF(OR(80&gt;$R89,DT89&lt;=$I89),DT89,DT89-MIN(INT(ROUND(IF($F89=1,$C89*$J89,IF(HS89&gt;0,HS89*$K89,DT89*$J89))*IF(80=$R89,$S89,12)/12,6)+$B$4),DT89-$I89)))))</f>
        <v/>
      </c>
      <c r="DV89" s="68">
        <f>IF($U89=0,0,IF($F89=4,0,IF($F89=3,0,IF(OR(81&gt;$R89,DU89&lt;=$I89),DU89,DU89-MIN(INT(ROUND(IF($F89=1,$C89*$J89,IF(HT89&gt;0,HT89*$K89,DU89*$J89))*IF(81=$R89,$S89,12)/12,6)+$B$4),DU89-$I89)))))</f>
        <v/>
      </c>
      <c r="DW89" s="68">
        <f>IF($U89=0,0,IF($F89=4,0,IF($F89=3,0,IF(OR(82&gt;$R89,DV89&lt;=$I89),DV89,DV89-MIN(INT(ROUND(IF($F89=1,$C89*$J89,IF(HU89&gt;0,HU89*$K89,DV89*$J89))*IF(82=$R89,$S89,12)/12,6)+$B$4),DV89-$I89)))))</f>
        <v/>
      </c>
      <c r="DX89" s="68">
        <f>IF($U89=0,0,IF($F89=4,0,IF($F89=3,0,IF(OR(83&gt;$R89,DW89&lt;=$I89),DW89,DW89-MIN(INT(ROUND(IF($F89=1,$C89*$J89,IF(HV89&gt;0,HV89*$K89,DW89*$J89))*IF(83=$R89,$S89,12)/12,6)+$B$4),DW89-$I89)))))</f>
        <v/>
      </c>
      <c r="DY89" s="68">
        <f>IF($U89=0,0,IF($F89=4,0,IF($F89=3,0,IF(OR(84&gt;$R89,DX89&lt;=$I89),DX89,DX89-MIN(INT(ROUND(IF($F89=1,$C89*$J89,IF(HW89&gt;0,HW89*$K89,DX89*$J89))*IF(84=$R89,$S89,12)/12,6)+$B$4),DX89-$I89)))))</f>
        <v/>
      </c>
      <c r="DZ89" s="68">
        <f>IF($U89=0,0,IF($F89=4,0,IF($F89=3,0,IF(OR(85&gt;$R89,DY89&lt;=$I89),DY89,DY89-MIN(INT(ROUND(IF($F89=1,$C89*$J89,IF(HX89&gt;0,HX89*$K89,DY89*$J89))*IF(85=$R89,$S89,12)/12,6)+$B$4),DY89-$I89)))))</f>
        <v/>
      </c>
      <c r="EA89" s="68">
        <f>IF($U89=0,0,IF($F89=4,0,IF($F89=3,0,IF(OR(86&gt;$R89,DZ89&lt;=$I89),DZ89,DZ89-MIN(INT(ROUND(IF($F89=1,$C89*$J89,IF(HY89&gt;0,HY89*$K89,DZ89*$J89))*IF(86=$R89,$S89,12)/12,6)+$B$4),DZ89-$I89)))))</f>
        <v/>
      </c>
      <c r="EB89" s="68">
        <f>IF($U89=0,0,IF($F89=4,0,IF($F89=3,0,IF(OR(87&gt;$R89,EA89&lt;=$I89),EA89,EA89-MIN(INT(ROUND(IF($F89=1,$C89*$J89,IF(HZ89&gt;0,HZ89*$K89,EA89*$J89))*IF(87=$R89,$S89,12)/12,6)+$B$4),EA89-$I89)))))</f>
        <v/>
      </c>
      <c r="EC89" s="68">
        <f>IF($U89=0,0,IF($F89=4,0,IF($F89=3,0,IF(OR(88&gt;$R89,EB89&lt;=$I89),EB89,EB89-MIN(INT(ROUND(IF($F89=1,$C89*$J89,IF(IA89&gt;0,IA89*$K89,EB89*$J89))*IF(88=$R89,$S89,12)/12,6)+$B$4),EB89-$I89)))))</f>
        <v/>
      </c>
      <c r="ED89" s="68">
        <f>IF($U89=0,0,IF($F89=4,0,IF($F89=3,0,IF(OR(89&gt;$R89,EC89&lt;=$I89),EC89,EC89-MIN(INT(ROUND(IF($F89=1,$C89*$J89,IF(IB89&gt;0,IB89*$K89,EC89*$J89))*IF(89=$R89,$S89,12)/12,6)+$B$4),EC89-$I89)))))</f>
        <v/>
      </c>
      <c r="EE89" s="68">
        <f>IF($U89=0,0,IF($F89=4,0,IF($F89=3,0,IF(OR(90&gt;$R89,ED89&lt;=$I89),ED89,ED89-MIN(INT(ROUND(IF($F89=1,$C89*$J89,IF(IC89&gt;0,IC89*$K89,ED89*$J89))*IF(90=$R89,$S89,12)/12,6)+$B$4),ED89-$I89)))))</f>
        <v/>
      </c>
      <c r="EF89" s="68">
        <f>IF($U89=0,0,IF($F89=4,0,IF($F89=3,0,IF(OR(91&gt;$R89,EE89&lt;=$I89),EE89,EE89-MIN(INT(ROUND(IF($F89=1,$C89*$J89,IF(ID89&gt;0,ID89*$K89,EE89*$J89))*IF(91=$R89,$S89,12)/12,6)+$B$4),EE89-$I89)))))</f>
        <v/>
      </c>
      <c r="EG89" s="68">
        <f>IF($U89=0,0,IF($F89=4,0,IF($F89=3,0,IF(OR(92&gt;$R89,EF89&lt;=$I89),EF89,EF89-MIN(INT(ROUND(IF($F89=1,$C89*$J89,IF(IE89&gt;0,IE89*$K89,EF89*$J89))*IF(92=$R89,$S89,12)/12,6)+$B$4),EF89-$I89)))))</f>
        <v/>
      </c>
      <c r="EH89" s="68">
        <f>IF($U89=0,0,IF($F89=4,0,IF($F89=3,0,IF(OR(93&gt;$R89,EG89&lt;=$I89),EG89,EG89-MIN(INT(ROUND(IF($F89=1,$C89*$J89,IF(IF89&gt;0,IF89*$K89,EG89*$J89))*IF(93=$R89,$S89,12)/12,6)+$B$4),EG89-$I89)))))</f>
        <v/>
      </c>
      <c r="EI89" s="68">
        <f>IF($U89=0,0,IF($F89=4,0,IF($F89=3,0,IF(OR(94&gt;$R89,EH89&lt;=$I89),EH89,EH89-MIN(INT(ROUND(IF($F89=1,$C89*$J89,IF(IG89&gt;0,IG89*$K89,EH89*$J89))*IF(94=$R89,$S89,12)/12,6)+$B$4),EH89-$I89)))))</f>
        <v/>
      </c>
      <c r="EJ89" s="68">
        <f>IF($U89=0,0,IF($F89=4,0,IF($F89=3,0,IF(OR(95&gt;$R89,EI89&lt;=$I89),EI89,EI89-MIN(INT(ROUND(IF($F89=1,$C89*$J89,IF(IH89&gt;0,IH89*$K89,EI89*$J89))*IF(95=$R89,$S89,12)/12,6)+$B$4),EI89-$I89)))))</f>
        <v/>
      </c>
      <c r="EK89" s="68">
        <f>IF($U89=0,0,IF($F89=4,0,IF($F89=3,0,IF(OR(96&gt;$R89,EJ89&lt;=$I89),EJ89,EJ89-MIN(INT(ROUND(IF($F89=1,$C89*$J89,IF(II89&gt;0,II89*$K89,EJ89*$J89))*IF(96=$R89,$S89,12)/12,6)+$B$4),EJ89-$I89)))))</f>
        <v/>
      </c>
      <c r="EL89" s="68">
        <f>IF($U89=0,0,IF($F89=4,0,IF($F89=3,0,IF(OR(97&gt;$R89,EK89&lt;=$I89),EK89,EK89-MIN(INT(ROUND(IF($F89=1,$C89*$J89,IF(IJ89&gt;0,IJ89*$K89,EK89*$J89))*IF(97=$R89,$S89,12)/12,6)+$B$4),EK89-$I89)))))</f>
        <v/>
      </c>
      <c r="EM89" s="68">
        <f>IF($U89=0,0,IF($F89=4,0,IF($F89=3,0,IF(OR(98&gt;$R89,EL89&lt;=$I89),EL89,EL89-MIN(INT(ROUND(IF($F89=1,$C89*$J89,IF(IK89&gt;0,IK89*$K89,EL89*$J89))*IF(98=$R89,$S89,12)/12,6)+$B$4),EL89-$I89)))))</f>
        <v/>
      </c>
      <c r="EN89" s="68">
        <f>IF($U89=0,0,IF($F89=4,0,IF($F89=3,0,IF(OR(99&gt;$R89,EM89&lt;=$I89),EM89,EM89-MIN(INT(ROUND(IF($F89=1,$C89*$J89,IF(IL89&gt;0,IL89*$K89,EM89*$J89))*IF(99=$R89,$S89,12)/12,6)+$B$4),EM89-$I89)))))</f>
        <v/>
      </c>
      <c r="EO89" s="68">
        <f>IF($U89=0,0,IF($F89=4,0,IF($F89=3,0,IF(OR(100&gt;$R89,EN89&lt;=$I89),EN89,EN89-MIN(INT(ROUND(IF($F89=1,$C89*$J89,IF(IM89&gt;0,IM89*$K89,EN89*$J89))*IF(100=$R89,$S89,12)/12,6)+$B$4),EN89-$I89)))))</f>
        <v/>
      </c>
      <c r="EP89" s="68">
        <f>IF($U89=0,0,IF($F89=4,0,IF($F89=3,0,IF(OR(101&gt;$R89,EO89&lt;=$I89),EO89,EO89-MIN(INT(ROUND(IF($F89=1,$C89*$J89,IF(IN89&gt;0,IN89*$K89,EO89*$J89))*IF(101=$R89,$S89,12)/12,6)+$B$4),EO89-$I89)))))</f>
        <v/>
      </c>
      <c r="EQ89" s="68" t="n"/>
      <c r="ER89" s="68">
        <f>IF(OR($U89=0,$F89&lt;&gt;2),0,IF(ROUND(AS89*$J89,6)&lt;ROUND($M89,6),AS89,0))</f>
        <v/>
      </c>
      <c r="ES89" s="68">
        <f>IF(OR($U89=0,$F89&lt;&gt;2),0,IF(ER89&gt;0,ER89,IF(ROUND(AT89*$J89,6)&lt;ROUND($M89,6),AT89,0)))</f>
        <v/>
      </c>
      <c r="ET89" s="68">
        <f>IF(OR($U89=0,$F89&lt;&gt;2),0,IF(ES89&gt;0,ES89,IF(ROUND(AU89*$J89,6)&lt;ROUND($M89,6),AU89,0)))</f>
        <v/>
      </c>
      <c r="EU89" s="68">
        <f>IF(OR($U89=0,$F89&lt;&gt;2),0,IF(ET89&gt;0,ET89,IF(ROUND(AV89*$J89,6)&lt;ROUND($M89,6),AV89,0)))</f>
        <v/>
      </c>
      <c r="EV89" s="68">
        <f>IF(OR($U89=0,$F89&lt;&gt;2),0,IF(EU89&gt;0,EU89,IF(ROUND(AW89*$J89,6)&lt;ROUND($M89,6),AW89,0)))</f>
        <v/>
      </c>
      <c r="EW89" s="68">
        <f>IF(OR($U89=0,$F89&lt;&gt;2),0,IF(EV89&gt;0,EV89,IF(ROUND(AX89*$J89,6)&lt;ROUND($M89,6),AX89,0)))</f>
        <v/>
      </c>
      <c r="EX89" s="68">
        <f>IF(OR($U89=0,$F89&lt;&gt;2),0,IF(EW89&gt;0,EW89,IF(ROUND(AY89*$J89,6)&lt;ROUND($M89,6),AY89,0)))</f>
        <v/>
      </c>
      <c r="EY89" s="68">
        <f>IF(OR($U89=0,$F89&lt;&gt;2),0,IF(EX89&gt;0,EX89,IF(ROUND(AZ89*$J89,6)&lt;ROUND($M89,6),AZ89,0)))</f>
        <v/>
      </c>
      <c r="EZ89" s="68">
        <f>IF(OR($U89=0,$F89&lt;&gt;2),0,IF(EY89&gt;0,EY89,IF(ROUND(BA89*$J89,6)&lt;ROUND($M89,6),BA89,0)))</f>
        <v/>
      </c>
      <c r="FA89" s="68">
        <f>IF(OR($U89=0,$F89&lt;&gt;2),0,IF(EZ89&gt;0,EZ89,IF(ROUND(BB89*$J89,6)&lt;ROUND($M89,6),BB89,0)))</f>
        <v/>
      </c>
      <c r="FB89" s="68">
        <f>IF(OR($U89=0,$F89&lt;&gt;2),0,IF(FA89&gt;0,FA89,IF(ROUND(BC89*$J89,6)&lt;ROUND($M89,6),BC89,0)))</f>
        <v/>
      </c>
      <c r="FC89" s="68">
        <f>IF(OR($U89=0,$F89&lt;&gt;2),0,IF(FB89&gt;0,FB89,IF(ROUND(BD89*$J89,6)&lt;ROUND($M89,6),BD89,0)))</f>
        <v/>
      </c>
      <c r="FD89" s="68">
        <f>IF(OR($U89=0,$F89&lt;&gt;2),0,IF(FC89&gt;0,FC89,IF(ROUND(BE89*$J89,6)&lt;ROUND($M89,6),BE89,0)))</f>
        <v/>
      </c>
      <c r="FE89" s="68">
        <f>IF(OR($U89=0,$F89&lt;&gt;2),0,IF(FD89&gt;0,FD89,IF(ROUND(BF89*$J89,6)&lt;ROUND($M89,6),BF89,0)))</f>
        <v/>
      </c>
      <c r="FF89" s="68">
        <f>IF(OR($U89=0,$F89&lt;&gt;2),0,IF(FE89&gt;0,FE89,IF(ROUND(BG89*$J89,6)&lt;ROUND($M89,6),BG89,0)))</f>
        <v/>
      </c>
      <c r="FG89" s="68">
        <f>IF(OR($U89=0,$F89&lt;&gt;2),0,IF(FF89&gt;0,FF89,IF(ROUND(BH89*$J89,6)&lt;ROUND($M89,6),BH89,0)))</f>
        <v/>
      </c>
      <c r="FH89" s="68">
        <f>IF(OR($U89=0,$F89&lt;&gt;2),0,IF(FG89&gt;0,FG89,IF(ROUND(BI89*$J89,6)&lt;ROUND($M89,6),BI89,0)))</f>
        <v/>
      </c>
      <c r="FI89" s="68">
        <f>IF(OR($U89=0,$F89&lt;&gt;2),0,IF(FH89&gt;0,FH89,IF(ROUND(BJ89*$J89,6)&lt;ROUND($M89,6),BJ89,0)))</f>
        <v/>
      </c>
      <c r="FJ89" s="68">
        <f>IF(OR($U89=0,$F89&lt;&gt;2),0,IF(FI89&gt;0,FI89,IF(ROUND(BK89*$J89,6)&lt;ROUND($M89,6),BK89,0)))</f>
        <v/>
      </c>
      <c r="FK89" s="68">
        <f>IF(OR($U89=0,$F89&lt;&gt;2),0,IF(FJ89&gt;0,FJ89,IF(ROUND(BL89*$J89,6)&lt;ROUND($M89,6),BL89,0)))</f>
        <v/>
      </c>
      <c r="FL89" s="68">
        <f>IF(OR($U89=0,$F89&lt;&gt;2),0,IF(FK89&gt;0,FK89,IF(ROUND(BM89*$J89,6)&lt;ROUND($M89,6),BM89,0)))</f>
        <v/>
      </c>
      <c r="FM89" s="68">
        <f>IF(OR($U89=0,$F89&lt;&gt;2),0,IF(FL89&gt;0,FL89,IF(ROUND(BN89*$J89,6)&lt;ROUND($M89,6),BN89,0)))</f>
        <v/>
      </c>
      <c r="FN89" s="68">
        <f>IF(OR($U89=0,$F89&lt;&gt;2),0,IF(FM89&gt;0,FM89,IF(ROUND(BO89*$J89,6)&lt;ROUND($M89,6),BO89,0)))</f>
        <v/>
      </c>
      <c r="FO89" s="68">
        <f>IF(OR($U89=0,$F89&lt;&gt;2),0,IF(FN89&gt;0,FN89,IF(ROUND(BP89*$J89,6)&lt;ROUND($M89,6),BP89,0)))</f>
        <v/>
      </c>
      <c r="FP89" s="68">
        <f>IF(OR($U89=0,$F89&lt;&gt;2),0,IF(FO89&gt;0,FO89,IF(ROUND(BQ89*$J89,6)&lt;ROUND($M89,6),BQ89,0)))</f>
        <v/>
      </c>
      <c r="FQ89" s="68">
        <f>IF(OR($U89=0,$F89&lt;&gt;2),0,IF(FP89&gt;0,FP89,IF(ROUND(BR89*$J89,6)&lt;ROUND($M89,6),BR89,0)))</f>
        <v/>
      </c>
      <c r="FR89" s="68">
        <f>IF(OR($U89=0,$F89&lt;&gt;2),0,IF(FQ89&gt;0,FQ89,IF(ROUND(BS89*$J89,6)&lt;ROUND($M89,6),BS89,0)))</f>
        <v/>
      </c>
      <c r="FS89" s="68">
        <f>IF(OR($U89=0,$F89&lt;&gt;2),0,IF(FR89&gt;0,FR89,IF(ROUND(BT89*$J89,6)&lt;ROUND($M89,6),BT89,0)))</f>
        <v/>
      </c>
      <c r="FT89" s="68">
        <f>IF(OR($U89=0,$F89&lt;&gt;2),0,IF(FS89&gt;0,FS89,IF(ROUND(BU89*$J89,6)&lt;ROUND($M89,6),BU89,0)))</f>
        <v/>
      </c>
      <c r="FU89" s="68">
        <f>IF(OR($U89=0,$F89&lt;&gt;2),0,IF(FT89&gt;0,FT89,IF(ROUND(BV89*$J89,6)&lt;ROUND($M89,6),BV89,0)))</f>
        <v/>
      </c>
      <c r="FV89" s="68">
        <f>IF(OR($U89=0,$F89&lt;&gt;2),0,IF(FU89&gt;0,FU89,IF(ROUND(BW89*$J89,6)&lt;ROUND($M89,6),BW89,0)))</f>
        <v/>
      </c>
      <c r="FW89" s="68">
        <f>IF(OR($U89=0,$F89&lt;&gt;2),0,IF(FV89&gt;0,FV89,IF(ROUND(BX89*$J89,6)&lt;ROUND($M89,6),BX89,0)))</f>
        <v/>
      </c>
      <c r="FX89" s="68">
        <f>IF(OR($U89=0,$F89&lt;&gt;2),0,IF(FW89&gt;0,FW89,IF(ROUND(BY89*$J89,6)&lt;ROUND($M89,6),BY89,0)))</f>
        <v/>
      </c>
      <c r="FY89" s="68">
        <f>IF(OR($U89=0,$F89&lt;&gt;2),0,IF(FX89&gt;0,FX89,IF(ROUND(BZ89*$J89,6)&lt;ROUND($M89,6),BZ89,0)))</f>
        <v/>
      </c>
      <c r="FZ89" s="68">
        <f>IF(OR($U89=0,$F89&lt;&gt;2),0,IF(FY89&gt;0,FY89,IF(ROUND(CA89*$J89,6)&lt;ROUND($M89,6),CA89,0)))</f>
        <v/>
      </c>
      <c r="GA89" s="68">
        <f>IF(OR($U89=0,$F89&lt;&gt;2),0,IF(FZ89&gt;0,FZ89,IF(ROUND(CB89*$J89,6)&lt;ROUND($M89,6),CB89,0)))</f>
        <v/>
      </c>
      <c r="GB89" s="68">
        <f>IF(OR($U89=0,$F89&lt;&gt;2),0,IF(GA89&gt;0,GA89,IF(ROUND(CC89*$J89,6)&lt;ROUND($M89,6),CC89,0)))</f>
        <v/>
      </c>
      <c r="GC89" s="68">
        <f>IF(OR($U89=0,$F89&lt;&gt;2),0,IF(GB89&gt;0,GB89,IF(ROUND(CD89*$J89,6)&lt;ROUND($M89,6),CD89,0)))</f>
        <v/>
      </c>
      <c r="GD89" s="68">
        <f>IF(OR($U89=0,$F89&lt;&gt;2),0,IF(GC89&gt;0,GC89,IF(ROUND(CE89*$J89,6)&lt;ROUND($M89,6),CE89,0)))</f>
        <v/>
      </c>
      <c r="GE89" s="68">
        <f>IF(OR($U89=0,$F89&lt;&gt;2),0,IF(GD89&gt;0,GD89,IF(ROUND(CF89*$J89,6)&lt;ROUND($M89,6),CF89,0)))</f>
        <v/>
      </c>
      <c r="GF89" s="68">
        <f>IF(OR($U89=0,$F89&lt;&gt;2),0,IF(GE89&gt;0,GE89,IF(ROUND(CG89*$J89,6)&lt;ROUND($M89,6),CG89,0)))</f>
        <v/>
      </c>
      <c r="GG89" s="68">
        <f>IF(OR($U89=0,$F89&lt;&gt;2),0,IF(GF89&gt;0,GF89,IF(ROUND(CH89*$J89,6)&lt;ROUND($M89,6),CH89,0)))</f>
        <v/>
      </c>
      <c r="GH89" s="68">
        <f>IF(OR($U89=0,$F89&lt;&gt;2),0,IF(GG89&gt;0,GG89,IF(ROUND(CI89*$J89,6)&lt;ROUND($M89,6),CI89,0)))</f>
        <v/>
      </c>
      <c r="GI89" s="68">
        <f>IF(OR($U89=0,$F89&lt;&gt;2),0,IF(GH89&gt;0,GH89,IF(ROUND(CJ89*$J89,6)&lt;ROUND($M89,6),CJ89,0)))</f>
        <v/>
      </c>
      <c r="GJ89" s="68">
        <f>IF(OR($U89=0,$F89&lt;&gt;2),0,IF(GI89&gt;0,GI89,IF(ROUND(CK89*$J89,6)&lt;ROUND($M89,6),CK89,0)))</f>
        <v/>
      </c>
      <c r="GK89" s="68">
        <f>IF(OR($U89=0,$F89&lt;&gt;2),0,IF(GJ89&gt;0,GJ89,IF(ROUND(CL89*$J89,6)&lt;ROUND($M89,6),CL89,0)))</f>
        <v/>
      </c>
      <c r="GL89" s="68">
        <f>IF(OR($U89=0,$F89&lt;&gt;2),0,IF(GK89&gt;0,GK89,IF(ROUND(CM89*$J89,6)&lt;ROUND($M89,6),CM89,0)))</f>
        <v/>
      </c>
      <c r="GM89" s="68">
        <f>IF(OR($U89=0,$F89&lt;&gt;2),0,IF(GL89&gt;0,GL89,IF(ROUND(CN89*$J89,6)&lt;ROUND($M89,6),CN89,0)))</f>
        <v/>
      </c>
      <c r="GN89" s="68">
        <f>IF(OR($U89=0,$F89&lt;&gt;2),0,IF(GM89&gt;0,GM89,IF(ROUND(CO89*$J89,6)&lt;ROUND($M89,6),CO89,0)))</f>
        <v/>
      </c>
      <c r="GO89" s="68">
        <f>IF(OR($U89=0,$F89&lt;&gt;2),0,IF(GN89&gt;0,GN89,IF(ROUND(CP89*$J89,6)&lt;ROUND($M89,6),CP89,0)))</f>
        <v/>
      </c>
      <c r="GP89" s="68">
        <f>IF(OR($U89=0,$F89&lt;&gt;2),0,IF(GO89&gt;0,GO89,IF(ROUND(CQ89*$J89,6)&lt;ROUND($M89,6),CQ89,0)))</f>
        <v/>
      </c>
      <c r="GQ89" s="68">
        <f>IF(OR($U89=0,$F89&lt;&gt;2),0,IF(GP89&gt;0,GP89,IF(ROUND(CR89*$J89,6)&lt;ROUND($M89,6),CR89,0)))</f>
        <v/>
      </c>
      <c r="GR89" s="68">
        <f>IF(OR($U89=0,$F89&lt;&gt;2),0,IF(GQ89&gt;0,GQ89,IF(ROUND(CS89*$J89,6)&lt;ROUND($M89,6),CS89,0)))</f>
        <v/>
      </c>
      <c r="GS89" s="68">
        <f>IF(OR($U89=0,$F89&lt;&gt;2),0,IF(GR89&gt;0,GR89,IF(ROUND(CT89*$J89,6)&lt;ROUND($M89,6),CT89,0)))</f>
        <v/>
      </c>
      <c r="GT89" s="68">
        <f>IF(OR($U89=0,$F89&lt;&gt;2),0,IF(GS89&gt;0,GS89,IF(ROUND(CU89*$J89,6)&lt;ROUND($M89,6),CU89,0)))</f>
        <v/>
      </c>
      <c r="GU89" s="68">
        <f>IF(OR($U89=0,$F89&lt;&gt;2),0,IF(GT89&gt;0,GT89,IF(ROUND(CV89*$J89,6)&lt;ROUND($M89,6),CV89,0)))</f>
        <v/>
      </c>
      <c r="GV89" s="68">
        <f>IF(OR($U89=0,$F89&lt;&gt;2),0,IF(GU89&gt;0,GU89,IF(ROUND(CW89*$J89,6)&lt;ROUND($M89,6),CW89,0)))</f>
        <v/>
      </c>
      <c r="GW89" s="68">
        <f>IF(OR($U89=0,$F89&lt;&gt;2),0,IF(GV89&gt;0,GV89,IF(ROUND(CX89*$J89,6)&lt;ROUND($M89,6),CX89,0)))</f>
        <v/>
      </c>
      <c r="GX89" s="68">
        <f>IF(OR($U89=0,$F89&lt;&gt;2),0,IF(GW89&gt;0,GW89,IF(ROUND(CY89*$J89,6)&lt;ROUND($M89,6),CY89,0)))</f>
        <v/>
      </c>
      <c r="GY89" s="68">
        <f>IF(OR($U89=0,$F89&lt;&gt;2),0,IF(GX89&gt;0,GX89,IF(ROUND(CZ89*$J89,6)&lt;ROUND($M89,6),CZ89,0)))</f>
        <v/>
      </c>
      <c r="GZ89" s="68">
        <f>IF(OR($U89=0,$F89&lt;&gt;2),0,IF(GY89&gt;0,GY89,IF(ROUND(DA89*$J89,6)&lt;ROUND($M89,6),DA89,0)))</f>
        <v/>
      </c>
      <c r="HA89" s="68">
        <f>IF(OR($U89=0,$F89&lt;&gt;2),0,IF(GZ89&gt;0,GZ89,IF(ROUND(DB89*$J89,6)&lt;ROUND($M89,6),DB89,0)))</f>
        <v/>
      </c>
      <c r="HB89" s="68">
        <f>IF(OR($U89=0,$F89&lt;&gt;2),0,IF(HA89&gt;0,HA89,IF(ROUND(DC89*$J89,6)&lt;ROUND($M89,6),DC89,0)))</f>
        <v/>
      </c>
      <c r="HC89" s="68">
        <f>IF(OR($U89=0,$F89&lt;&gt;2),0,IF(HB89&gt;0,HB89,IF(ROUND(DD89*$J89,6)&lt;ROUND($M89,6),DD89,0)))</f>
        <v/>
      </c>
      <c r="HD89" s="68">
        <f>IF(OR($U89=0,$F89&lt;&gt;2),0,IF(HC89&gt;0,HC89,IF(ROUND(DE89*$J89,6)&lt;ROUND($M89,6),DE89,0)))</f>
        <v/>
      </c>
      <c r="HE89" s="68">
        <f>IF(OR($U89=0,$F89&lt;&gt;2),0,IF(HD89&gt;0,HD89,IF(ROUND(DF89*$J89,6)&lt;ROUND($M89,6),DF89,0)))</f>
        <v/>
      </c>
      <c r="HF89" s="68">
        <f>IF(OR($U89=0,$F89&lt;&gt;2),0,IF(HE89&gt;0,HE89,IF(ROUND(DG89*$J89,6)&lt;ROUND($M89,6),DG89,0)))</f>
        <v/>
      </c>
      <c r="HG89" s="68">
        <f>IF(OR($U89=0,$F89&lt;&gt;2),0,IF(HF89&gt;0,HF89,IF(ROUND(DH89*$J89,6)&lt;ROUND($M89,6),DH89,0)))</f>
        <v/>
      </c>
      <c r="HH89" s="68">
        <f>IF(OR($U89=0,$F89&lt;&gt;2),0,IF(HG89&gt;0,HG89,IF(ROUND(DI89*$J89,6)&lt;ROUND($M89,6),DI89,0)))</f>
        <v/>
      </c>
      <c r="HI89" s="68">
        <f>IF(OR($U89=0,$F89&lt;&gt;2),0,IF(HH89&gt;0,HH89,IF(ROUND(DJ89*$J89,6)&lt;ROUND($M89,6),DJ89,0)))</f>
        <v/>
      </c>
      <c r="HJ89" s="68">
        <f>IF(OR($U89=0,$F89&lt;&gt;2),0,IF(HI89&gt;0,HI89,IF(ROUND(DK89*$J89,6)&lt;ROUND($M89,6),DK89,0)))</f>
        <v/>
      </c>
      <c r="HK89" s="68">
        <f>IF(OR($U89=0,$F89&lt;&gt;2),0,IF(HJ89&gt;0,HJ89,IF(ROUND(DL89*$J89,6)&lt;ROUND($M89,6),DL89,0)))</f>
        <v/>
      </c>
      <c r="HL89" s="68">
        <f>IF(OR($U89=0,$F89&lt;&gt;2),0,IF(HK89&gt;0,HK89,IF(ROUND(DM89*$J89,6)&lt;ROUND($M89,6),DM89,0)))</f>
        <v/>
      </c>
      <c r="HM89" s="68">
        <f>IF(OR($U89=0,$F89&lt;&gt;2),0,IF(HL89&gt;0,HL89,IF(ROUND(DN89*$J89,6)&lt;ROUND($M89,6),DN89,0)))</f>
        <v/>
      </c>
      <c r="HN89" s="68">
        <f>IF(OR($U89=0,$F89&lt;&gt;2),0,IF(HM89&gt;0,HM89,IF(ROUND(DO89*$J89,6)&lt;ROUND($M89,6),DO89,0)))</f>
        <v/>
      </c>
      <c r="HO89" s="68">
        <f>IF(OR($U89=0,$F89&lt;&gt;2),0,IF(HN89&gt;0,HN89,IF(ROUND(DP89*$J89,6)&lt;ROUND($M89,6),DP89,0)))</f>
        <v/>
      </c>
      <c r="HP89" s="68">
        <f>IF(OR($U89=0,$F89&lt;&gt;2),0,IF(HO89&gt;0,HO89,IF(ROUND(DQ89*$J89,6)&lt;ROUND($M89,6),DQ89,0)))</f>
        <v/>
      </c>
      <c r="HQ89" s="68">
        <f>IF(OR($U89=0,$F89&lt;&gt;2),0,IF(HP89&gt;0,HP89,IF(ROUND(DR89*$J89,6)&lt;ROUND($M89,6),DR89,0)))</f>
        <v/>
      </c>
      <c r="HR89" s="68">
        <f>IF(OR($U89=0,$F89&lt;&gt;2),0,IF(HQ89&gt;0,HQ89,IF(ROUND(DS89*$J89,6)&lt;ROUND($M89,6),DS89,0)))</f>
        <v/>
      </c>
      <c r="HS89" s="68">
        <f>IF(OR($U89=0,$F89&lt;&gt;2),0,IF(HR89&gt;0,HR89,IF(ROUND(DT89*$J89,6)&lt;ROUND($M89,6),DT89,0)))</f>
        <v/>
      </c>
      <c r="HT89" s="68">
        <f>IF(OR($U89=0,$F89&lt;&gt;2),0,IF(HS89&gt;0,HS89,IF(ROUND(DU89*$J89,6)&lt;ROUND($M89,6),DU89,0)))</f>
        <v/>
      </c>
      <c r="HU89" s="68">
        <f>IF(OR($U89=0,$F89&lt;&gt;2),0,IF(HT89&gt;0,HT89,IF(ROUND(DV89*$J89,6)&lt;ROUND($M89,6),DV89,0)))</f>
        <v/>
      </c>
      <c r="HV89" s="68">
        <f>IF(OR($U89=0,$F89&lt;&gt;2),0,IF(HU89&gt;0,HU89,IF(ROUND(DW89*$J89,6)&lt;ROUND($M89,6),DW89,0)))</f>
        <v/>
      </c>
      <c r="HW89" s="68">
        <f>IF(OR($U89=0,$F89&lt;&gt;2),0,IF(HV89&gt;0,HV89,IF(ROUND(DX89*$J89,6)&lt;ROUND($M89,6),DX89,0)))</f>
        <v/>
      </c>
      <c r="HX89" s="68">
        <f>IF(OR($U89=0,$F89&lt;&gt;2),0,IF(HW89&gt;0,HW89,IF(ROUND(DY89*$J89,6)&lt;ROUND($M89,6),DY89,0)))</f>
        <v/>
      </c>
      <c r="HY89" s="68">
        <f>IF(OR($U89=0,$F89&lt;&gt;2),0,IF(HX89&gt;0,HX89,IF(ROUND(DZ89*$J89,6)&lt;ROUND($M89,6),DZ89,0)))</f>
        <v/>
      </c>
      <c r="HZ89" s="68">
        <f>IF(OR($U89=0,$F89&lt;&gt;2),0,IF(HY89&gt;0,HY89,IF(ROUND(EA89*$J89,6)&lt;ROUND($M89,6),EA89,0)))</f>
        <v/>
      </c>
      <c r="IA89" s="68">
        <f>IF(OR($U89=0,$F89&lt;&gt;2),0,IF(HZ89&gt;0,HZ89,IF(ROUND(EB89*$J89,6)&lt;ROUND($M89,6),EB89,0)))</f>
        <v/>
      </c>
      <c r="IB89" s="68">
        <f>IF(OR($U89=0,$F89&lt;&gt;2),0,IF(IA89&gt;0,IA89,IF(ROUND(EC89*$J89,6)&lt;ROUND($M89,6),EC89,0)))</f>
        <v/>
      </c>
      <c r="IC89" s="68">
        <f>IF(OR($U89=0,$F89&lt;&gt;2),0,IF(IB89&gt;0,IB89,IF(ROUND(ED89*$J89,6)&lt;ROUND($M89,6),ED89,0)))</f>
        <v/>
      </c>
      <c r="ID89" s="68">
        <f>IF(OR($U89=0,$F89&lt;&gt;2),0,IF(IC89&gt;0,IC89,IF(ROUND(EE89*$J89,6)&lt;ROUND($M89,6),EE89,0)))</f>
        <v/>
      </c>
      <c r="IE89" s="68">
        <f>IF(OR($U89=0,$F89&lt;&gt;2),0,IF(ID89&gt;0,ID89,IF(ROUND(EF89*$J89,6)&lt;ROUND($M89,6),EF89,0)))</f>
        <v/>
      </c>
      <c r="IF89" s="68">
        <f>IF(OR($U89=0,$F89&lt;&gt;2),0,IF(IE89&gt;0,IE89,IF(ROUND(EG89*$J89,6)&lt;ROUND($M89,6),EG89,0)))</f>
        <v/>
      </c>
      <c r="IG89" s="68">
        <f>IF(OR($U89=0,$F89&lt;&gt;2),0,IF(IF89&gt;0,IF89,IF(ROUND(EH89*$J89,6)&lt;ROUND($M89,6),EH89,0)))</f>
        <v/>
      </c>
      <c r="IH89" s="68">
        <f>IF(OR($U89=0,$F89&lt;&gt;2),0,IF(IG89&gt;0,IG89,IF(ROUND(EI89*$J89,6)&lt;ROUND($M89,6),EI89,0)))</f>
        <v/>
      </c>
      <c r="II89" s="68">
        <f>IF(OR($U89=0,$F89&lt;&gt;2),0,IF(IH89&gt;0,IH89,IF(ROUND(EJ89*$J89,6)&lt;ROUND($M89,6),EJ89,0)))</f>
        <v/>
      </c>
      <c r="IJ89" s="68">
        <f>IF(OR($U89=0,$F89&lt;&gt;2),0,IF(II89&gt;0,II89,IF(ROUND(EK89*$J89,6)&lt;ROUND($M89,6),EK89,0)))</f>
        <v/>
      </c>
      <c r="IK89" s="68">
        <f>IF(OR($U89=0,$F89&lt;&gt;2),0,IF(IJ89&gt;0,IJ89,IF(ROUND(EL89*$J89,6)&lt;ROUND($M89,6),EL89,0)))</f>
        <v/>
      </c>
      <c r="IL89" s="68">
        <f>IF(OR($U89=0,$F89&lt;&gt;2),0,IF(IK89&gt;0,IK89,IF(ROUND(EM89*$J89,6)&lt;ROUND($M89,6),EM89,0)))</f>
        <v/>
      </c>
      <c r="IM89" s="68">
        <f>IF(OR($U89=0,$F89&lt;&gt;2),0,IF(IL89&gt;0,IL89,IF(ROUND(EN89*$J89,6)&lt;ROUND($M89,6),EN89,0)))</f>
        <v/>
      </c>
      <c r="IN89" s="68">
        <f>IF(OR($U89=0,$F89&lt;&gt;2),0,IF(IM89&gt;0,IM89,IF(ROUND(EO89*$J89,6)&lt;ROUND($M89,6),EO89,0)))</f>
        <v/>
      </c>
    </row>
    <row r="90">
      <c r="A90" s="68" t="n">
        <v>85</v>
      </c>
      <c r="B90" s="68">
        <f>IF(OR(TRIM('固定資産台帳'!$B90)&lt;&gt;"",'固定資産台帳'!$E90&lt;&gt;"",'固定資産台帳'!$G90&lt;&gt;"",'固定資産台帳'!$H90&lt;&gt;""),1,0)</f>
        <v/>
      </c>
      <c r="C90" s="68">
        <f>IF(ISNUMBER('固定資産台帳'!$G90),MAX(ROUND('固定資産台帳'!$G90,0),0),0)</f>
        <v/>
      </c>
      <c r="D90" s="84">
        <f>IF(ISNUMBER('固定資産台帳'!$E90),INT('固定資産台帳'!$E90),0)</f>
        <v/>
      </c>
      <c r="E90" s="84">
        <f>IF(ISNUMBER('固定資産台帳'!$F90),INT('固定資産台帳'!$F90),$D90)</f>
        <v/>
      </c>
      <c r="F90" s="68">
        <f>IF('固定資産台帳'!$H90="定額法",1,IF(OR('固定資産台帳'!$H90="定率法",'固定資産台帳'!$H90="定率法（200%）",'固定資産台帳'!$H90="定率法（250%）"),2,IF('固定資産台帳'!$H90="一括償却（3年）",3,IF('固定資産台帳'!$H90="少額特例",4,0))))</f>
        <v/>
      </c>
      <c r="G90" s="68">
        <f>IF('固定資産台帳'!$H90="定率法（250%）",250,IF('固定資産台帳'!$H90="定率法（200%）",200,IF($D90&gt;=DATE(2012,4,1),200,250)))</f>
        <v/>
      </c>
      <c r="H90" s="68">
        <f>IF(ISNUMBER('固定資産台帳'!$I90),IF(AND('固定資産台帳'!$I90&gt;=2,'固定資産台帳'!$I90&lt;=100,'固定資産台帳'!$I90=INT('固定資産台帳'!$I90)),'固定資産台帳'!$I90,0),0)</f>
        <v/>
      </c>
      <c r="I90" s="68">
        <f>IF('固定資産台帳'!$C90="無形固定資産",0,1)</f>
        <v/>
      </c>
      <c r="J90" s="68">
        <f>IF(OR($H90=0,$F90=0,$F90&gt;2),0,IF($F90=1,INDEX('償却率表'!$B$6:$B$104,$H90-1),IF($G90=200,INDEX('償却率表'!$C$6:$C$104,$H90-1),INDEX('償却率表'!$F$6:$F$104,$H90-1))))</f>
        <v/>
      </c>
      <c r="K90" s="68">
        <f>IF(AND($F90=2,$H90&gt;0),IF($G90=200,INDEX('償却率表'!$D$6:$D$104,$H90-1),INDEX('償却率表'!$G$6:$G$104,$H90-1)),0)</f>
        <v/>
      </c>
      <c r="L90" s="68">
        <f>IF(AND($F90=2,$H90&gt;0),IF($G90=200,INDEX('償却率表'!$E$6:$E$104,$H90-1),INDEX('償却率表'!$H$6:$H$104,$H90-1)),0)</f>
        <v/>
      </c>
      <c r="M90" s="68">
        <f>$C90*$L90</f>
        <v/>
      </c>
      <c r="N90" s="68">
        <f>IF($B$1=1,1,IF('固定資産台帳'!$J90="",1,IF(ISNUMBER('固定資産台帳'!$J90),IF(AND('固定資産台帳'!$J90&gt;0,'固定資産台帳'!$J90&lt;=1),'固定資産台帳'!$J90,0),0)))</f>
        <v/>
      </c>
      <c r="O90" s="68">
        <f>IF($E90=0,0,YEAR($E90)-IF(MONTH($E90)&lt;$B$2,1,0))</f>
        <v/>
      </c>
      <c r="P90" s="68">
        <f>IF($E90=0,0,12-MOD(MONTH($E90)-$B$2,12))</f>
        <v/>
      </c>
      <c r="Q90" s="84">
        <f>IF(ISNUMBER('固定資産台帳'!$K90),INT('固定資産台帳'!$K90),0)</f>
        <v/>
      </c>
      <c r="R90" s="68">
        <f>IF(OR($Q90=0,$E90=0),999,YEAR($Q90)-IF(MONTH($Q90)&lt;$B$2,1,0)-$O90)</f>
        <v/>
      </c>
      <c r="S90" s="68">
        <f>IF($R90=999,0,MOD(MONTH($Q90)-$B$2,12)+1-IF($R90=0,12-$P90,0))</f>
        <v/>
      </c>
      <c r="T90" s="68">
        <f>IF($B90=0,0,IF($C90&lt;=0,1,IF($D90=0,2,IF($F90=0,3,IF(AND($F90&lt;=2,$H90=0),4,IF(AND($F90&lt;=2,$D90&lt;DATE(2007,4,1)),5,IF($E90&lt;$D90,6,IF(AND($Q90&gt;0,$Q90&lt;$E90),7,IF($N90=0,8,IF($B$3=0,9,0))))))))))</f>
        <v/>
      </c>
      <c r="U90" s="68">
        <f>IF(AND($B90=1,$T90=0),1,0)</f>
        <v/>
      </c>
      <c r="V90" s="68">
        <f>$B$3-$O90</f>
        <v/>
      </c>
      <c r="W90" s="68">
        <f>IF(AND($U90=1,$V90&gt;=0),1,0)</f>
        <v/>
      </c>
      <c r="X90" s="68">
        <f>IF($W90=0,0,IF($V90=0,$C90,INDEX($AS90:$EP90,MIN($V90,102))))</f>
        <v/>
      </c>
      <c r="Y90" s="68">
        <f>IF($W90=0,0,INDEX($AS90:$EP90,MIN($V90,101)+1))</f>
        <v/>
      </c>
      <c r="Z90" s="68">
        <f>$X90-$Y90</f>
        <v/>
      </c>
      <c r="AA90" s="68">
        <f>IF(AND($W90=1,$F90=2,$V90&gt;=1),INDEX($ER90:$IN90,MIN($V90,101)),0)</f>
        <v/>
      </c>
      <c r="AB90" s="68">
        <f>IF(OR($W90=0,$F90&gt;2,$Z90=0),0,IF($V90=0,IF($R90=0,$S90,$P90),IF($V90=$R90,$S90,12)))</f>
        <v/>
      </c>
      <c r="AC90" s="68">
        <f>IF($W90=0,0,INT(ROUND($Z90*$N90,6)+$B$4))</f>
        <v/>
      </c>
      <c r="AD90" s="68">
        <f>IF(AND($W90=1,$F90&lt;=2,$V90=$R90),1,0)</f>
        <v/>
      </c>
      <c r="AE90" s="68">
        <f>IF(AND($W90=1,$F90&lt;=2,$V90&gt;$R90),1,0)</f>
        <v/>
      </c>
      <c r="AF90" s="68">
        <f>IF(AND($W90=1,$AE90=0,OR($Z90&gt;0,$AD90=1)),1,0)</f>
        <v/>
      </c>
      <c r="AG90" s="68">
        <f>IF($AF90=1,SUM($AF$6:$AF90),0)</f>
        <v/>
      </c>
      <c r="AH90" s="68">
        <f>IF($T90=0,"",CHOOSE($T90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90" s="68">
        <f>IF(AND($F90=2,OR('固定資産台帳'!$C90="建物",'固定資産台帳'!$C90="無形固定資産",AND(OR('固定資産台帳'!$C90="建物附属設備",'固定資産台帳'!$C90="構築物"),$D90&gt;=DATE(2016,4,1)))),"この資産は定額法だけです（定率法は使えません）。","")&amp;IF(AND($F90=3,$C90&gt;=200000),"一括償却は20万円未満の資産だけです。","")&amp;IF(AND($F90=3,$B$1=0,$C90&lt;100000),"10万円未満は一括償却にせず、全額をその年の経費にします。","")&amp;IF(AND($F90=4,$C90&lt;100000),"10万円未満は少額特例ではなく、全額をその年の経費にします。","")&amp;IF(AND($F90=4,$D90&lt;DATE(2026,4,1),$C90&gt;=300000),"2026年3月31日までの取得で少額特例が使えるのは30万円未満です。","")&amp;IF(AND($F90=4,$D90&gt;=DATE(2026,4,1),$C90&gt;=400000),"少額特例は40万円未満の資産だけです。","")&amp;IF(AND($F90=4,OR($D90&lt;DATE(2006,4,1),$D90&gt;DATE(2029,3,31))),"少額特例は2006年4月1日〜2029年3月31日に取得した資産だけです。","")&amp;IF(AND($F90=2,$G90=250,$D90&gt;DATE(2012,12,31)),"250%定率法は2012年12月31日までの取得だけです。","")</f>
        <v/>
      </c>
      <c r="AJ90" s="68">
        <f>IF(AND($F90=2,'固定資産台帳'!$H90="定率法（200%）",$D90&lt;DATE(2012,4,1)),"2012年3月31日までの取得に200%を使うのは、経過措置の届出をした場合です。","")&amp;IF(AND($F90=2,'固定資産台帳'!$H90="定率法（250%）",$D90&gt;=DATE(2012,4,1),$D90&lt;=DATE(2012,12,31)),"2012年4〜12月の取得に250%を使うのは、経過措置を選んだ場合です。","")</f>
        <v/>
      </c>
      <c r="AK90" s="68">
        <f>IF($U90=0,"",IF($V90&lt;0,"表示している年より後に使い始める資産です。",IF($AE90=1,"売却・除却済みです。",IF($AD90=1,"この年に売却・除却。期末の帳簿価額 "&amp;TEXT($Y90,"#,##0")&amp;"円を帳簿から外します。",IF($F90=4,IF($V90=0,"少額特例：この年に全額を経費にします。","少額特例で経費にした資産です。"),IF($F90=3,IF($V90&gt;2,"一括償却は終わっています。","一括償却 "&amp;($V90+1)&amp;"年目（3年のうち）。"),IF($Z90=0,"償却済み（帳簿価額 "&amp;TEXT($Y90,"#,##0")&amp;"円）。",IF($AA90&gt;0,"改定償却率で計算（改定取得価額 "&amp;TEXT($AA90,"#,##0")&amp;"円）。",IF($V90=0,"この年に使い始め（"&amp;$AB90&amp;"か月分）。","")))))))))</f>
        <v/>
      </c>
      <c r="AL90" s="68">
        <f>IF(AND($U90=1,$F90=4,$V90=0),$C90,0)</f>
        <v/>
      </c>
      <c r="AM90" s="68">
        <f>IF($F90=2,INT(ROUND($M90,6)+$B$4),0)</f>
        <v/>
      </c>
      <c r="AN90" s="68">
        <f>IF($W90=0,0,IF($F90=2,IF($AA90&gt;0,$AA90,$X90),$C90))</f>
        <v/>
      </c>
      <c r="AO90" s="68">
        <f>IF($W90=0,"",IF($F90=3,"1/3",IF($F90=4,"―",IF($AA90&gt;0,$K90,$J90))))</f>
        <v/>
      </c>
      <c r="AP90" s="68" t="n"/>
      <c r="AQ90" s="68" t="n"/>
      <c r="AR90" s="68" t="n"/>
      <c r="AS90" s="68">
        <f>IF($U90=0,0,IF($F90=4,0,IF($F90=3,MAX($C90-INT(ROUND($C90/3,6)+$B$4),0),$C90-MIN(INT(ROUND($C90*$J90*IF($R90=0,$S90,$P90)/12,6)+$B$4),MAX($C90-$I90,0)))))</f>
        <v/>
      </c>
      <c r="AT90" s="68">
        <f>IF($U90=0,0,IF($F90=4,0,IF($F90=3,AS90-MIN(INT(ROUND($C90/3,6)+$B$4),AS90),IF(OR(1&gt;$R90,AS90&lt;=$I90),AS90,AS90-MIN(INT(ROUND(IF($F90=1,$C90*$J90,IF(ER90&gt;0,ER90*$K90,AS90*$J90))*IF(1=$R90,$S90,12)/12,6)+$B$4),AS90-$I90)))))</f>
        <v/>
      </c>
      <c r="AU90" s="68">
        <f>IF($U90=0,0,IF($F90=4,0,IF($F90=3,0,IF(OR(2&gt;$R90,AT90&lt;=$I90),AT90,AT90-MIN(INT(ROUND(IF($F90=1,$C90*$J90,IF(ES90&gt;0,ES90*$K90,AT90*$J90))*IF(2=$R90,$S90,12)/12,6)+$B$4),AT90-$I90)))))</f>
        <v/>
      </c>
      <c r="AV90" s="68">
        <f>IF($U90=0,0,IF($F90=4,0,IF($F90=3,0,IF(OR(3&gt;$R90,AU90&lt;=$I90),AU90,AU90-MIN(INT(ROUND(IF($F90=1,$C90*$J90,IF(ET90&gt;0,ET90*$K90,AU90*$J90))*IF(3=$R90,$S90,12)/12,6)+$B$4),AU90-$I90)))))</f>
        <v/>
      </c>
      <c r="AW90" s="68">
        <f>IF($U90=0,0,IF($F90=4,0,IF($F90=3,0,IF(OR(4&gt;$R90,AV90&lt;=$I90),AV90,AV90-MIN(INT(ROUND(IF($F90=1,$C90*$J90,IF(EU90&gt;0,EU90*$K90,AV90*$J90))*IF(4=$R90,$S90,12)/12,6)+$B$4),AV90-$I90)))))</f>
        <v/>
      </c>
      <c r="AX90" s="68">
        <f>IF($U90=0,0,IF($F90=4,0,IF($F90=3,0,IF(OR(5&gt;$R90,AW90&lt;=$I90),AW90,AW90-MIN(INT(ROUND(IF($F90=1,$C90*$J90,IF(EV90&gt;0,EV90*$K90,AW90*$J90))*IF(5=$R90,$S90,12)/12,6)+$B$4),AW90-$I90)))))</f>
        <v/>
      </c>
      <c r="AY90" s="68">
        <f>IF($U90=0,0,IF($F90=4,0,IF($F90=3,0,IF(OR(6&gt;$R90,AX90&lt;=$I90),AX90,AX90-MIN(INT(ROUND(IF($F90=1,$C90*$J90,IF(EW90&gt;0,EW90*$K90,AX90*$J90))*IF(6=$R90,$S90,12)/12,6)+$B$4),AX90-$I90)))))</f>
        <v/>
      </c>
      <c r="AZ90" s="68">
        <f>IF($U90=0,0,IF($F90=4,0,IF($F90=3,0,IF(OR(7&gt;$R90,AY90&lt;=$I90),AY90,AY90-MIN(INT(ROUND(IF($F90=1,$C90*$J90,IF(EX90&gt;0,EX90*$K90,AY90*$J90))*IF(7=$R90,$S90,12)/12,6)+$B$4),AY90-$I90)))))</f>
        <v/>
      </c>
      <c r="BA90" s="68">
        <f>IF($U90=0,0,IF($F90=4,0,IF($F90=3,0,IF(OR(8&gt;$R90,AZ90&lt;=$I90),AZ90,AZ90-MIN(INT(ROUND(IF($F90=1,$C90*$J90,IF(EY90&gt;0,EY90*$K90,AZ90*$J90))*IF(8=$R90,$S90,12)/12,6)+$B$4),AZ90-$I90)))))</f>
        <v/>
      </c>
      <c r="BB90" s="68">
        <f>IF($U90=0,0,IF($F90=4,0,IF($F90=3,0,IF(OR(9&gt;$R90,BA90&lt;=$I90),BA90,BA90-MIN(INT(ROUND(IF($F90=1,$C90*$J90,IF(EZ90&gt;0,EZ90*$K90,BA90*$J90))*IF(9=$R90,$S90,12)/12,6)+$B$4),BA90-$I90)))))</f>
        <v/>
      </c>
      <c r="BC90" s="68">
        <f>IF($U90=0,0,IF($F90=4,0,IF($F90=3,0,IF(OR(10&gt;$R90,BB90&lt;=$I90),BB90,BB90-MIN(INT(ROUND(IF($F90=1,$C90*$J90,IF(FA90&gt;0,FA90*$K90,BB90*$J90))*IF(10=$R90,$S90,12)/12,6)+$B$4),BB90-$I90)))))</f>
        <v/>
      </c>
      <c r="BD90" s="68">
        <f>IF($U90=0,0,IF($F90=4,0,IF($F90=3,0,IF(OR(11&gt;$R90,BC90&lt;=$I90),BC90,BC90-MIN(INT(ROUND(IF($F90=1,$C90*$J90,IF(FB90&gt;0,FB90*$K90,BC90*$J90))*IF(11=$R90,$S90,12)/12,6)+$B$4),BC90-$I90)))))</f>
        <v/>
      </c>
      <c r="BE90" s="68">
        <f>IF($U90=0,0,IF($F90=4,0,IF($F90=3,0,IF(OR(12&gt;$R90,BD90&lt;=$I90),BD90,BD90-MIN(INT(ROUND(IF($F90=1,$C90*$J90,IF(FC90&gt;0,FC90*$K90,BD90*$J90))*IF(12=$R90,$S90,12)/12,6)+$B$4),BD90-$I90)))))</f>
        <v/>
      </c>
      <c r="BF90" s="68">
        <f>IF($U90=0,0,IF($F90=4,0,IF($F90=3,0,IF(OR(13&gt;$R90,BE90&lt;=$I90),BE90,BE90-MIN(INT(ROUND(IF($F90=1,$C90*$J90,IF(FD90&gt;0,FD90*$K90,BE90*$J90))*IF(13=$R90,$S90,12)/12,6)+$B$4),BE90-$I90)))))</f>
        <v/>
      </c>
      <c r="BG90" s="68">
        <f>IF($U90=0,0,IF($F90=4,0,IF($F90=3,0,IF(OR(14&gt;$R90,BF90&lt;=$I90),BF90,BF90-MIN(INT(ROUND(IF($F90=1,$C90*$J90,IF(FE90&gt;0,FE90*$K90,BF90*$J90))*IF(14=$R90,$S90,12)/12,6)+$B$4),BF90-$I90)))))</f>
        <v/>
      </c>
      <c r="BH90" s="68">
        <f>IF($U90=0,0,IF($F90=4,0,IF($F90=3,0,IF(OR(15&gt;$R90,BG90&lt;=$I90),BG90,BG90-MIN(INT(ROUND(IF($F90=1,$C90*$J90,IF(FF90&gt;0,FF90*$K90,BG90*$J90))*IF(15=$R90,$S90,12)/12,6)+$B$4),BG90-$I90)))))</f>
        <v/>
      </c>
      <c r="BI90" s="68">
        <f>IF($U90=0,0,IF($F90=4,0,IF($F90=3,0,IF(OR(16&gt;$R90,BH90&lt;=$I90),BH90,BH90-MIN(INT(ROUND(IF($F90=1,$C90*$J90,IF(FG90&gt;0,FG90*$K90,BH90*$J90))*IF(16=$R90,$S90,12)/12,6)+$B$4),BH90-$I90)))))</f>
        <v/>
      </c>
      <c r="BJ90" s="68">
        <f>IF($U90=0,0,IF($F90=4,0,IF($F90=3,0,IF(OR(17&gt;$R90,BI90&lt;=$I90),BI90,BI90-MIN(INT(ROUND(IF($F90=1,$C90*$J90,IF(FH90&gt;0,FH90*$K90,BI90*$J90))*IF(17=$R90,$S90,12)/12,6)+$B$4),BI90-$I90)))))</f>
        <v/>
      </c>
      <c r="BK90" s="68">
        <f>IF($U90=0,0,IF($F90=4,0,IF($F90=3,0,IF(OR(18&gt;$R90,BJ90&lt;=$I90),BJ90,BJ90-MIN(INT(ROUND(IF($F90=1,$C90*$J90,IF(FI90&gt;0,FI90*$K90,BJ90*$J90))*IF(18=$R90,$S90,12)/12,6)+$B$4),BJ90-$I90)))))</f>
        <v/>
      </c>
      <c r="BL90" s="68">
        <f>IF($U90=0,0,IF($F90=4,0,IF($F90=3,0,IF(OR(19&gt;$R90,BK90&lt;=$I90),BK90,BK90-MIN(INT(ROUND(IF($F90=1,$C90*$J90,IF(FJ90&gt;0,FJ90*$K90,BK90*$J90))*IF(19=$R90,$S90,12)/12,6)+$B$4),BK90-$I90)))))</f>
        <v/>
      </c>
      <c r="BM90" s="68">
        <f>IF($U90=0,0,IF($F90=4,0,IF($F90=3,0,IF(OR(20&gt;$R90,BL90&lt;=$I90),BL90,BL90-MIN(INT(ROUND(IF($F90=1,$C90*$J90,IF(FK90&gt;0,FK90*$K90,BL90*$J90))*IF(20=$R90,$S90,12)/12,6)+$B$4),BL90-$I90)))))</f>
        <v/>
      </c>
      <c r="BN90" s="68">
        <f>IF($U90=0,0,IF($F90=4,0,IF($F90=3,0,IF(OR(21&gt;$R90,BM90&lt;=$I90),BM90,BM90-MIN(INT(ROUND(IF($F90=1,$C90*$J90,IF(FL90&gt;0,FL90*$K90,BM90*$J90))*IF(21=$R90,$S90,12)/12,6)+$B$4),BM90-$I90)))))</f>
        <v/>
      </c>
      <c r="BO90" s="68">
        <f>IF($U90=0,0,IF($F90=4,0,IF($F90=3,0,IF(OR(22&gt;$R90,BN90&lt;=$I90),BN90,BN90-MIN(INT(ROUND(IF($F90=1,$C90*$J90,IF(FM90&gt;0,FM90*$K90,BN90*$J90))*IF(22=$R90,$S90,12)/12,6)+$B$4),BN90-$I90)))))</f>
        <v/>
      </c>
      <c r="BP90" s="68">
        <f>IF($U90=0,0,IF($F90=4,0,IF($F90=3,0,IF(OR(23&gt;$R90,BO90&lt;=$I90),BO90,BO90-MIN(INT(ROUND(IF($F90=1,$C90*$J90,IF(FN90&gt;0,FN90*$K90,BO90*$J90))*IF(23=$R90,$S90,12)/12,6)+$B$4),BO90-$I90)))))</f>
        <v/>
      </c>
      <c r="BQ90" s="68">
        <f>IF($U90=0,0,IF($F90=4,0,IF($F90=3,0,IF(OR(24&gt;$R90,BP90&lt;=$I90),BP90,BP90-MIN(INT(ROUND(IF($F90=1,$C90*$J90,IF(FO90&gt;0,FO90*$K90,BP90*$J90))*IF(24=$R90,$S90,12)/12,6)+$B$4),BP90-$I90)))))</f>
        <v/>
      </c>
      <c r="BR90" s="68">
        <f>IF($U90=0,0,IF($F90=4,0,IF($F90=3,0,IF(OR(25&gt;$R90,BQ90&lt;=$I90),BQ90,BQ90-MIN(INT(ROUND(IF($F90=1,$C90*$J90,IF(FP90&gt;0,FP90*$K90,BQ90*$J90))*IF(25=$R90,$S90,12)/12,6)+$B$4),BQ90-$I90)))))</f>
        <v/>
      </c>
      <c r="BS90" s="68">
        <f>IF($U90=0,0,IF($F90=4,0,IF($F90=3,0,IF(OR(26&gt;$R90,BR90&lt;=$I90),BR90,BR90-MIN(INT(ROUND(IF($F90=1,$C90*$J90,IF(FQ90&gt;0,FQ90*$K90,BR90*$J90))*IF(26=$R90,$S90,12)/12,6)+$B$4),BR90-$I90)))))</f>
        <v/>
      </c>
      <c r="BT90" s="68">
        <f>IF($U90=0,0,IF($F90=4,0,IF($F90=3,0,IF(OR(27&gt;$R90,BS90&lt;=$I90),BS90,BS90-MIN(INT(ROUND(IF($F90=1,$C90*$J90,IF(FR90&gt;0,FR90*$K90,BS90*$J90))*IF(27=$R90,$S90,12)/12,6)+$B$4),BS90-$I90)))))</f>
        <v/>
      </c>
      <c r="BU90" s="68">
        <f>IF($U90=0,0,IF($F90=4,0,IF($F90=3,0,IF(OR(28&gt;$R90,BT90&lt;=$I90),BT90,BT90-MIN(INT(ROUND(IF($F90=1,$C90*$J90,IF(FS90&gt;0,FS90*$K90,BT90*$J90))*IF(28=$R90,$S90,12)/12,6)+$B$4),BT90-$I90)))))</f>
        <v/>
      </c>
      <c r="BV90" s="68">
        <f>IF($U90=0,0,IF($F90=4,0,IF($F90=3,0,IF(OR(29&gt;$R90,BU90&lt;=$I90),BU90,BU90-MIN(INT(ROUND(IF($F90=1,$C90*$J90,IF(FT90&gt;0,FT90*$K90,BU90*$J90))*IF(29=$R90,$S90,12)/12,6)+$B$4),BU90-$I90)))))</f>
        <v/>
      </c>
      <c r="BW90" s="68">
        <f>IF($U90=0,0,IF($F90=4,0,IF($F90=3,0,IF(OR(30&gt;$R90,BV90&lt;=$I90),BV90,BV90-MIN(INT(ROUND(IF($F90=1,$C90*$J90,IF(FU90&gt;0,FU90*$K90,BV90*$J90))*IF(30=$R90,$S90,12)/12,6)+$B$4),BV90-$I90)))))</f>
        <v/>
      </c>
      <c r="BX90" s="68">
        <f>IF($U90=0,0,IF($F90=4,0,IF($F90=3,0,IF(OR(31&gt;$R90,BW90&lt;=$I90),BW90,BW90-MIN(INT(ROUND(IF($F90=1,$C90*$J90,IF(FV90&gt;0,FV90*$K90,BW90*$J90))*IF(31=$R90,$S90,12)/12,6)+$B$4),BW90-$I90)))))</f>
        <v/>
      </c>
      <c r="BY90" s="68">
        <f>IF($U90=0,0,IF($F90=4,0,IF($F90=3,0,IF(OR(32&gt;$R90,BX90&lt;=$I90),BX90,BX90-MIN(INT(ROUND(IF($F90=1,$C90*$J90,IF(FW90&gt;0,FW90*$K90,BX90*$J90))*IF(32=$R90,$S90,12)/12,6)+$B$4),BX90-$I90)))))</f>
        <v/>
      </c>
      <c r="BZ90" s="68">
        <f>IF($U90=0,0,IF($F90=4,0,IF($F90=3,0,IF(OR(33&gt;$R90,BY90&lt;=$I90),BY90,BY90-MIN(INT(ROUND(IF($F90=1,$C90*$J90,IF(FX90&gt;0,FX90*$K90,BY90*$J90))*IF(33=$R90,$S90,12)/12,6)+$B$4),BY90-$I90)))))</f>
        <v/>
      </c>
      <c r="CA90" s="68">
        <f>IF($U90=0,0,IF($F90=4,0,IF($F90=3,0,IF(OR(34&gt;$R90,BZ90&lt;=$I90),BZ90,BZ90-MIN(INT(ROUND(IF($F90=1,$C90*$J90,IF(FY90&gt;0,FY90*$K90,BZ90*$J90))*IF(34=$R90,$S90,12)/12,6)+$B$4),BZ90-$I90)))))</f>
        <v/>
      </c>
      <c r="CB90" s="68">
        <f>IF($U90=0,0,IF($F90=4,0,IF($F90=3,0,IF(OR(35&gt;$R90,CA90&lt;=$I90),CA90,CA90-MIN(INT(ROUND(IF($F90=1,$C90*$J90,IF(FZ90&gt;0,FZ90*$K90,CA90*$J90))*IF(35=$R90,$S90,12)/12,6)+$B$4),CA90-$I90)))))</f>
        <v/>
      </c>
      <c r="CC90" s="68">
        <f>IF($U90=0,0,IF($F90=4,0,IF($F90=3,0,IF(OR(36&gt;$R90,CB90&lt;=$I90),CB90,CB90-MIN(INT(ROUND(IF($F90=1,$C90*$J90,IF(GA90&gt;0,GA90*$K90,CB90*$J90))*IF(36=$R90,$S90,12)/12,6)+$B$4),CB90-$I90)))))</f>
        <v/>
      </c>
      <c r="CD90" s="68">
        <f>IF($U90=0,0,IF($F90=4,0,IF($F90=3,0,IF(OR(37&gt;$R90,CC90&lt;=$I90),CC90,CC90-MIN(INT(ROUND(IF($F90=1,$C90*$J90,IF(GB90&gt;0,GB90*$K90,CC90*$J90))*IF(37=$R90,$S90,12)/12,6)+$B$4),CC90-$I90)))))</f>
        <v/>
      </c>
      <c r="CE90" s="68">
        <f>IF($U90=0,0,IF($F90=4,0,IF($F90=3,0,IF(OR(38&gt;$R90,CD90&lt;=$I90),CD90,CD90-MIN(INT(ROUND(IF($F90=1,$C90*$J90,IF(GC90&gt;0,GC90*$K90,CD90*$J90))*IF(38=$R90,$S90,12)/12,6)+$B$4),CD90-$I90)))))</f>
        <v/>
      </c>
      <c r="CF90" s="68">
        <f>IF($U90=0,0,IF($F90=4,0,IF($F90=3,0,IF(OR(39&gt;$R90,CE90&lt;=$I90),CE90,CE90-MIN(INT(ROUND(IF($F90=1,$C90*$J90,IF(GD90&gt;0,GD90*$K90,CE90*$J90))*IF(39=$R90,$S90,12)/12,6)+$B$4),CE90-$I90)))))</f>
        <v/>
      </c>
      <c r="CG90" s="68">
        <f>IF($U90=0,0,IF($F90=4,0,IF($F90=3,0,IF(OR(40&gt;$R90,CF90&lt;=$I90),CF90,CF90-MIN(INT(ROUND(IF($F90=1,$C90*$J90,IF(GE90&gt;0,GE90*$K90,CF90*$J90))*IF(40=$R90,$S90,12)/12,6)+$B$4),CF90-$I90)))))</f>
        <v/>
      </c>
      <c r="CH90" s="68">
        <f>IF($U90=0,0,IF($F90=4,0,IF($F90=3,0,IF(OR(41&gt;$R90,CG90&lt;=$I90),CG90,CG90-MIN(INT(ROUND(IF($F90=1,$C90*$J90,IF(GF90&gt;0,GF90*$K90,CG90*$J90))*IF(41=$R90,$S90,12)/12,6)+$B$4),CG90-$I90)))))</f>
        <v/>
      </c>
      <c r="CI90" s="68">
        <f>IF($U90=0,0,IF($F90=4,0,IF($F90=3,0,IF(OR(42&gt;$R90,CH90&lt;=$I90),CH90,CH90-MIN(INT(ROUND(IF($F90=1,$C90*$J90,IF(GG90&gt;0,GG90*$K90,CH90*$J90))*IF(42=$R90,$S90,12)/12,6)+$B$4),CH90-$I90)))))</f>
        <v/>
      </c>
      <c r="CJ90" s="68">
        <f>IF($U90=0,0,IF($F90=4,0,IF($F90=3,0,IF(OR(43&gt;$R90,CI90&lt;=$I90),CI90,CI90-MIN(INT(ROUND(IF($F90=1,$C90*$J90,IF(GH90&gt;0,GH90*$K90,CI90*$J90))*IF(43=$R90,$S90,12)/12,6)+$B$4),CI90-$I90)))))</f>
        <v/>
      </c>
      <c r="CK90" s="68">
        <f>IF($U90=0,0,IF($F90=4,0,IF($F90=3,0,IF(OR(44&gt;$R90,CJ90&lt;=$I90),CJ90,CJ90-MIN(INT(ROUND(IF($F90=1,$C90*$J90,IF(GI90&gt;0,GI90*$K90,CJ90*$J90))*IF(44=$R90,$S90,12)/12,6)+$B$4),CJ90-$I90)))))</f>
        <v/>
      </c>
      <c r="CL90" s="68">
        <f>IF($U90=0,0,IF($F90=4,0,IF($F90=3,0,IF(OR(45&gt;$R90,CK90&lt;=$I90),CK90,CK90-MIN(INT(ROUND(IF($F90=1,$C90*$J90,IF(GJ90&gt;0,GJ90*$K90,CK90*$J90))*IF(45=$R90,$S90,12)/12,6)+$B$4),CK90-$I90)))))</f>
        <v/>
      </c>
      <c r="CM90" s="68">
        <f>IF($U90=0,0,IF($F90=4,0,IF($F90=3,0,IF(OR(46&gt;$R90,CL90&lt;=$I90),CL90,CL90-MIN(INT(ROUND(IF($F90=1,$C90*$J90,IF(GK90&gt;0,GK90*$K90,CL90*$J90))*IF(46=$R90,$S90,12)/12,6)+$B$4),CL90-$I90)))))</f>
        <v/>
      </c>
      <c r="CN90" s="68">
        <f>IF($U90=0,0,IF($F90=4,0,IF($F90=3,0,IF(OR(47&gt;$R90,CM90&lt;=$I90),CM90,CM90-MIN(INT(ROUND(IF($F90=1,$C90*$J90,IF(GL90&gt;0,GL90*$K90,CM90*$J90))*IF(47=$R90,$S90,12)/12,6)+$B$4),CM90-$I90)))))</f>
        <v/>
      </c>
      <c r="CO90" s="68">
        <f>IF($U90=0,0,IF($F90=4,0,IF($F90=3,0,IF(OR(48&gt;$R90,CN90&lt;=$I90),CN90,CN90-MIN(INT(ROUND(IF($F90=1,$C90*$J90,IF(GM90&gt;0,GM90*$K90,CN90*$J90))*IF(48=$R90,$S90,12)/12,6)+$B$4),CN90-$I90)))))</f>
        <v/>
      </c>
      <c r="CP90" s="68">
        <f>IF($U90=0,0,IF($F90=4,0,IF($F90=3,0,IF(OR(49&gt;$R90,CO90&lt;=$I90),CO90,CO90-MIN(INT(ROUND(IF($F90=1,$C90*$J90,IF(GN90&gt;0,GN90*$K90,CO90*$J90))*IF(49=$R90,$S90,12)/12,6)+$B$4),CO90-$I90)))))</f>
        <v/>
      </c>
      <c r="CQ90" s="68">
        <f>IF($U90=0,0,IF($F90=4,0,IF($F90=3,0,IF(OR(50&gt;$R90,CP90&lt;=$I90),CP90,CP90-MIN(INT(ROUND(IF($F90=1,$C90*$J90,IF(GO90&gt;0,GO90*$K90,CP90*$J90))*IF(50=$R90,$S90,12)/12,6)+$B$4),CP90-$I90)))))</f>
        <v/>
      </c>
      <c r="CR90" s="68">
        <f>IF($U90=0,0,IF($F90=4,0,IF($F90=3,0,IF(OR(51&gt;$R90,CQ90&lt;=$I90),CQ90,CQ90-MIN(INT(ROUND(IF($F90=1,$C90*$J90,IF(GP90&gt;0,GP90*$K90,CQ90*$J90))*IF(51=$R90,$S90,12)/12,6)+$B$4),CQ90-$I90)))))</f>
        <v/>
      </c>
      <c r="CS90" s="68">
        <f>IF($U90=0,0,IF($F90=4,0,IF($F90=3,0,IF(OR(52&gt;$R90,CR90&lt;=$I90),CR90,CR90-MIN(INT(ROUND(IF($F90=1,$C90*$J90,IF(GQ90&gt;0,GQ90*$K90,CR90*$J90))*IF(52=$R90,$S90,12)/12,6)+$B$4),CR90-$I90)))))</f>
        <v/>
      </c>
      <c r="CT90" s="68">
        <f>IF($U90=0,0,IF($F90=4,0,IF($F90=3,0,IF(OR(53&gt;$R90,CS90&lt;=$I90),CS90,CS90-MIN(INT(ROUND(IF($F90=1,$C90*$J90,IF(GR90&gt;0,GR90*$K90,CS90*$J90))*IF(53=$R90,$S90,12)/12,6)+$B$4),CS90-$I90)))))</f>
        <v/>
      </c>
      <c r="CU90" s="68">
        <f>IF($U90=0,0,IF($F90=4,0,IF($F90=3,0,IF(OR(54&gt;$R90,CT90&lt;=$I90),CT90,CT90-MIN(INT(ROUND(IF($F90=1,$C90*$J90,IF(GS90&gt;0,GS90*$K90,CT90*$J90))*IF(54=$R90,$S90,12)/12,6)+$B$4),CT90-$I90)))))</f>
        <v/>
      </c>
      <c r="CV90" s="68">
        <f>IF($U90=0,0,IF($F90=4,0,IF($F90=3,0,IF(OR(55&gt;$R90,CU90&lt;=$I90),CU90,CU90-MIN(INT(ROUND(IF($F90=1,$C90*$J90,IF(GT90&gt;0,GT90*$K90,CU90*$J90))*IF(55=$R90,$S90,12)/12,6)+$B$4),CU90-$I90)))))</f>
        <v/>
      </c>
      <c r="CW90" s="68">
        <f>IF($U90=0,0,IF($F90=4,0,IF($F90=3,0,IF(OR(56&gt;$R90,CV90&lt;=$I90),CV90,CV90-MIN(INT(ROUND(IF($F90=1,$C90*$J90,IF(GU90&gt;0,GU90*$K90,CV90*$J90))*IF(56=$R90,$S90,12)/12,6)+$B$4),CV90-$I90)))))</f>
        <v/>
      </c>
      <c r="CX90" s="68">
        <f>IF($U90=0,0,IF($F90=4,0,IF($F90=3,0,IF(OR(57&gt;$R90,CW90&lt;=$I90),CW90,CW90-MIN(INT(ROUND(IF($F90=1,$C90*$J90,IF(GV90&gt;0,GV90*$K90,CW90*$J90))*IF(57=$R90,$S90,12)/12,6)+$B$4),CW90-$I90)))))</f>
        <v/>
      </c>
      <c r="CY90" s="68">
        <f>IF($U90=0,0,IF($F90=4,0,IF($F90=3,0,IF(OR(58&gt;$R90,CX90&lt;=$I90),CX90,CX90-MIN(INT(ROUND(IF($F90=1,$C90*$J90,IF(GW90&gt;0,GW90*$K90,CX90*$J90))*IF(58=$R90,$S90,12)/12,6)+$B$4),CX90-$I90)))))</f>
        <v/>
      </c>
      <c r="CZ90" s="68">
        <f>IF($U90=0,0,IF($F90=4,0,IF($F90=3,0,IF(OR(59&gt;$R90,CY90&lt;=$I90),CY90,CY90-MIN(INT(ROUND(IF($F90=1,$C90*$J90,IF(GX90&gt;0,GX90*$K90,CY90*$J90))*IF(59=$R90,$S90,12)/12,6)+$B$4),CY90-$I90)))))</f>
        <v/>
      </c>
      <c r="DA90" s="68">
        <f>IF($U90=0,0,IF($F90=4,0,IF($F90=3,0,IF(OR(60&gt;$R90,CZ90&lt;=$I90),CZ90,CZ90-MIN(INT(ROUND(IF($F90=1,$C90*$J90,IF(GY90&gt;0,GY90*$K90,CZ90*$J90))*IF(60=$R90,$S90,12)/12,6)+$B$4),CZ90-$I90)))))</f>
        <v/>
      </c>
      <c r="DB90" s="68">
        <f>IF($U90=0,0,IF($F90=4,0,IF($F90=3,0,IF(OR(61&gt;$R90,DA90&lt;=$I90),DA90,DA90-MIN(INT(ROUND(IF($F90=1,$C90*$J90,IF(GZ90&gt;0,GZ90*$K90,DA90*$J90))*IF(61=$R90,$S90,12)/12,6)+$B$4),DA90-$I90)))))</f>
        <v/>
      </c>
      <c r="DC90" s="68">
        <f>IF($U90=0,0,IF($F90=4,0,IF($F90=3,0,IF(OR(62&gt;$R90,DB90&lt;=$I90),DB90,DB90-MIN(INT(ROUND(IF($F90=1,$C90*$J90,IF(HA90&gt;0,HA90*$K90,DB90*$J90))*IF(62=$R90,$S90,12)/12,6)+$B$4),DB90-$I90)))))</f>
        <v/>
      </c>
      <c r="DD90" s="68">
        <f>IF($U90=0,0,IF($F90=4,0,IF($F90=3,0,IF(OR(63&gt;$R90,DC90&lt;=$I90),DC90,DC90-MIN(INT(ROUND(IF($F90=1,$C90*$J90,IF(HB90&gt;0,HB90*$K90,DC90*$J90))*IF(63=$R90,$S90,12)/12,6)+$B$4),DC90-$I90)))))</f>
        <v/>
      </c>
      <c r="DE90" s="68">
        <f>IF($U90=0,0,IF($F90=4,0,IF($F90=3,0,IF(OR(64&gt;$R90,DD90&lt;=$I90),DD90,DD90-MIN(INT(ROUND(IF($F90=1,$C90*$J90,IF(HC90&gt;0,HC90*$K90,DD90*$J90))*IF(64=$R90,$S90,12)/12,6)+$B$4),DD90-$I90)))))</f>
        <v/>
      </c>
      <c r="DF90" s="68">
        <f>IF($U90=0,0,IF($F90=4,0,IF($F90=3,0,IF(OR(65&gt;$R90,DE90&lt;=$I90),DE90,DE90-MIN(INT(ROUND(IF($F90=1,$C90*$J90,IF(HD90&gt;0,HD90*$K90,DE90*$J90))*IF(65=$R90,$S90,12)/12,6)+$B$4),DE90-$I90)))))</f>
        <v/>
      </c>
      <c r="DG90" s="68">
        <f>IF($U90=0,0,IF($F90=4,0,IF($F90=3,0,IF(OR(66&gt;$R90,DF90&lt;=$I90),DF90,DF90-MIN(INT(ROUND(IF($F90=1,$C90*$J90,IF(HE90&gt;0,HE90*$K90,DF90*$J90))*IF(66=$R90,$S90,12)/12,6)+$B$4),DF90-$I90)))))</f>
        <v/>
      </c>
      <c r="DH90" s="68">
        <f>IF($U90=0,0,IF($F90=4,0,IF($F90=3,0,IF(OR(67&gt;$R90,DG90&lt;=$I90),DG90,DG90-MIN(INT(ROUND(IF($F90=1,$C90*$J90,IF(HF90&gt;0,HF90*$K90,DG90*$J90))*IF(67=$R90,$S90,12)/12,6)+$B$4),DG90-$I90)))))</f>
        <v/>
      </c>
      <c r="DI90" s="68">
        <f>IF($U90=0,0,IF($F90=4,0,IF($F90=3,0,IF(OR(68&gt;$R90,DH90&lt;=$I90),DH90,DH90-MIN(INT(ROUND(IF($F90=1,$C90*$J90,IF(HG90&gt;0,HG90*$K90,DH90*$J90))*IF(68=$R90,$S90,12)/12,6)+$B$4),DH90-$I90)))))</f>
        <v/>
      </c>
      <c r="DJ90" s="68">
        <f>IF($U90=0,0,IF($F90=4,0,IF($F90=3,0,IF(OR(69&gt;$R90,DI90&lt;=$I90),DI90,DI90-MIN(INT(ROUND(IF($F90=1,$C90*$J90,IF(HH90&gt;0,HH90*$K90,DI90*$J90))*IF(69=$R90,$S90,12)/12,6)+$B$4),DI90-$I90)))))</f>
        <v/>
      </c>
      <c r="DK90" s="68">
        <f>IF($U90=0,0,IF($F90=4,0,IF($F90=3,0,IF(OR(70&gt;$R90,DJ90&lt;=$I90),DJ90,DJ90-MIN(INT(ROUND(IF($F90=1,$C90*$J90,IF(HI90&gt;0,HI90*$K90,DJ90*$J90))*IF(70=$R90,$S90,12)/12,6)+$B$4),DJ90-$I90)))))</f>
        <v/>
      </c>
      <c r="DL90" s="68">
        <f>IF($U90=0,0,IF($F90=4,0,IF($F90=3,0,IF(OR(71&gt;$R90,DK90&lt;=$I90),DK90,DK90-MIN(INT(ROUND(IF($F90=1,$C90*$J90,IF(HJ90&gt;0,HJ90*$K90,DK90*$J90))*IF(71=$R90,$S90,12)/12,6)+$B$4),DK90-$I90)))))</f>
        <v/>
      </c>
      <c r="DM90" s="68">
        <f>IF($U90=0,0,IF($F90=4,0,IF($F90=3,0,IF(OR(72&gt;$R90,DL90&lt;=$I90),DL90,DL90-MIN(INT(ROUND(IF($F90=1,$C90*$J90,IF(HK90&gt;0,HK90*$K90,DL90*$J90))*IF(72=$R90,$S90,12)/12,6)+$B$4),DL90-$I90)))))</f>
        <v/>
      </c>
      <c r="DN90" s="68">
        <f>IF($U90=0,0,IF($F90=4,0,IF($F90=3,0,IF(OR(73&gt;$R90,DM90&lt;=$I90),DM90,DM90-MIN(INT(ROUND(IF($F90=1,$C90*$J90,IF(HL90&gt;0,HL90*$K90,DM90*$J90))*IF(73=$R90,$S90,12)/12,6)+$B$4),DM90-$I90)))))</f>
        <v/>
      </c>
      <c r="DO90" s="68">
        <f>IF($U90=0,0,IF($F90=4,0,IF($F90=3,0,IF(OR(74&gt;$R90,DN90&lt;=$I90),DN90,DN90-MIN(INT(ROUND(IF($F90=1,$C90*$J90,IF(HM90&gt;0,HM90*$K90,DN90*$J90))*IF(74=$R90,$S90,12)/12,6)+$B$4),DN90-$I90)))))</f>
        <v/>
      </c>
      <c r="DP90" s="68">
        <f>IF($U90=0,0,IF($F90=4,0,IF($F90=3,0,IF(OR(75&gt;$R90,DO90&lt;=$I90),DO90,DO90-MIN(INT(ROUND(IF($F90=1,$C90*$J90,IF(HN90&gt;0,HN90*$K90,DO90*$J90))*IF(75=$R90,$S90,12)/12,6)+$B$4),DO90-$I90)))))</f>
        <v/>
      </c>
      <c r="DQ90" s="68">
        <f>IF($U90=0,0,IF($F90=4,0,IF($F90=3,0,IF(OR(76&gt;$R90,DP90&lt;=$I90),DP90,DP90-MIN(INT(ROUND(IF($F90=1,$C90*$J90,IF(HO90&gt;0,HO90*$K90,DP90*$J90))*IF(76=$R90,$S90,12)/12,6)+$B$4),DP90-$I90)))))</f>
        <v/>
      </c>
      <c r="DR90" s="68">
        <f>IF($U90=0,0,IF($F90=4,0,IF($F90=3,0,IF(OR(77&gt;$R90,DQ90&lt;=$I90),DQ90,DQ90-MIN(INT(ROUND(IF($F90=1,$C90*$J90,IF(HP90&gt;0,HP90*$K90,DQ90*$J90))*IF(77=$R90,$S90,12)/12,6)+$B$4),DQ90-$I90)))))</f>
        <v/>
      </c>
      <c r="DS90" s="68">
        <f>IF($U90=0,0,IF($F90=4,0,IF($F90=3,0,IF(OR(78&gt;$R90,DR90&lt;=$I90),DR90,DR90-MIN(INT(ROUND(IF($F90=1,$C90*$J90,IF(HQ90&gt;0,HQ90*$K90,DR90*$J90))*IF(78=$R90,$S90,12)/12,6)+$B$4),DR90-$I90)))))</f>
        <v/>
      </c>
      <c r="DT90" s="68">
        <f>IF($U90=0,0,IF($F90=4,0,IF($F90=3,0,IF(OR(79&gt;$R90,DS90&lt;=$I90),DS90,DS90-MIN(INT(ROUND(IF($F90=1,$C90*$J90,IF(HR90&gt;0,HR90*$K90,DS90*$J90))*IF(79=$R90,$S90,12)/12,6)+$B$4),DS90-$I90)))))</f>
        <v/>
      </c>
      <c r="DU90" s="68">
        <f>IF($U90=0,0,IF($F90=4,0,IF($F90=3,0,IF(OR(80&gt;$R90,DT90&lt;=$I90),DT90,DT90-MIN(INT(ROUND(IF($F90=1,$C90*$J90,IF(HS90&gt;0,HS90*$K90,DT90*$J90))*IF(80=$R90,$S90,12)/12,6)+$B$4),DT90-$I90)))))</f>
        <v/>
      </c>
      <c r="DV90" s="68">
        <f>IF($U90=0,0,IF($F90=4,0,IF($F90=3,0,IF(OR(81&gt;$R90,DU90&lt;=$I90),DU90,DU90-MIN(INT(ROUND(IF($F90=1,$C90*$J90,IF(HT90&gt;0,HT90*$K90,DU90*$J90))*IF(81=$R90,$S90,12)/12,6)+$B$4),DU90-$I90)))))</f>
        <v/>
      </c>
      <c r="DW90" s="68">
        <f>IF($U90=0,0,IF($F90=4,0,IF($F90=3,0,IF(OR(82&gt;$R90,DV90&lt;=$I90),DV90,DV90-MIN(INT(ROUND(IF($F90=1,$C90*$J90,IF(HU90&gt;0,HU90*$K90,DV90*$J90))*IF(82=$R90,$S90,12)/12,6)+$B$4),DV90-$I90)))))</f>
        <v/>
      </c>
      <c r="DX90" s="68">
        <f>IF($U90=0,0,IF($F90=4,0,IF($F90=3,0,IF(OR(83&gt;$R90,DW90&lt;=$I90),DW90,DW90-MIN(INT(ROUND(IF($F90=1,$C90*$J90,IF(HV90&gt;0,HV90*$K90,DW90*$J90))*IF(83=$R90,$S90,12)/12,6)+$B$4),DW90-$I90)))))</f>
        <v/>
      </c>
      <c r="DY90" s="68">
        <f>IF($U90=0,0,IF($F90=4,0,IF($F90=3,0,IF(OR(84&gt;$R90,DX90&lt;=$I90),DX90,DX90-MIN(INT(ROUND(IF($F90=1,$C90*$J90,IF(HW90&gt;0,HW90*$K90,DX90*$J90))*IF(84=$R90,$S90,12)/12,6)+$B$4),DX90-$I90)))))</f>
        <v/>
      </c>
      <c r="DZ90" s="68">
        <f>IF($U90=0,0,IF($F90=4,0,IF($F90=3,0,IF(OR(85&gt;$R90,DY90&lt;=$I90),DY90,DY90-MIN(INT(ROUND(IF($F90=1,$C90*$J90,IF(HX90&gt;0,HX90*$K90,DY90*$J90))*IF(85=$R90,$S90,12)/12,6)+$B$4),DY90-$I90)))))</f>
        <v/>
      </c>
      <c r="EA90" s="68">
        <f>IF($U90=0,0,IF($F90=4,0,IF($F90=3,0,IF(OR(86&gt;$R90,DZ90&lt;=$I90),DZ90,DZ90-MIN(INT(ROUND(IF($F90=1,$C90*$J90,IF(HY90&gt;0,HY90*$K90,DZ90*$J90))*IF(86=$R90,$S90,12)/12,6)+$B$4),DZ90-$I90)))))</f>
        <v/>
      </c>
      <c r="EB90" s="68">
        <f>IF($U90=0,0,IF($F90=4,0,IF($F90=3,0,IF(OR(87&gt;$R90,EA90&lt;=$I90),EA90,EA90-MIN(INT(ROUND(IF($F90=1,$C90*$J90,IF(HZ90&gt;0,HZ90*$K90,EA90*$J90))*IF(87=$R90,$S90,12)/12,6)+$B$4),EA90-$I90)))))</f>
        <v/>
      </c>
      <c r="EC90" s="68">
        <f>IF($U90=0,0,IF($F90=4,0,IF($F90=3,0,IF(OR(88&gt;$R90,EB90&lt;=$I90),EB90,EB90-MIN(INT(ROUND(IF($F90=1,$C90*$J90,IF(IA90&gt;0,IA90*$K90,EB90*$J90))*IF(88=$R90,$S90,12)/12,6)+$B$4),EB90-$I90)))))</f>
        <v/>
      </c>
      <c r="ED90" s="68">
        <f>IF($U90=0,0,IF($F90=4,0,IF($F90=3,0,IF(OR(89&gt;$R90,EC90&lt;=$I90),EC90,EC90-MIN(INT(ROUND(IF($F90=1,$C90*$J90,IF(IB90&gt;0,IB90*$K90,EC90*$J90))*IF(89=$R90,$S90,12)/12,6)+$B$4),EC90-$I90)))))</f>
        <v/>
      </c>
      <c r="EE90" s="68">
        <f>IF($U90=0,0,IF($F90=4,0,IF($F90=3,0,IF(OR(90&gt;$R90,ED90&lt;=$I90),ED90,ED90-MIN(INT(ROUND(IF($F90=1,$C90*$J90,IF(IC90&gt;0,IC90*$K90,ED90*$J90))*IF(90=$R90,$S90,12)/12,6)+$B$4),ED90-$I90)))))</f>
        <v/>
      </c>
      <c r="EF90" s="68">
        <f>IF($U90=0,0,IF($F90=4,0,IF($F90=3,0,IF(OR(91&gt;$R90,EE90&lt;=$I90),EE90,EE90-MIN(INT(ROUND(IF($F90=1,$C90*$J90,IF(ID90&gt;0,ID90*$K90,EE90*$J90))*IF(91=$R90,$S90,12)/12,6)+$B$4),EE90-$I90)))))</f>
        <v/>
      </c>
      <c r="EG90" s="68">
        <f>IF($U90=0,0,IF($F90=4,0,IF($F90=3,0,IF(OR(92&gt;$R90,EF90&lt;=$I90),EF90,EF90-MIN(INT(ROUND(IF($F90=1,$C90*$J90,IF(IE90&gt;0,IE90*$K90,EF90*$J90))*IF(92=$R90,$S90,12)/12,6)+$B$4),EF90-$I90)))))</f>
        <v/>
      </c>
      <c r="EH90" s="68">
        <f>IF($U90=0,0,IF($F90=4,0,IF($F90=3,0,IF(OR(93&gt;$R90,EG90&lt;=$I90),EG90,EG90-MIN(INT(ROUND(IF($F90=1,$C90*$J90,IF(IF90&gt;0,IF90*$K90,EG90*$J90))*IF(93=$R90,$S90,12)/12,6)+$B$4),EG90-$I90)))))</f>
        <v/>
      </c>
      <c r="EI90" s="68">
        <f>IF($U90=0,0,IF($F90=4,0,IF($F90=3,0,IF(OR(94&gt;$R90,EH90&lt;=$I90),EH90,EH90-MIN(INT(ROUND(IF($F90=1,$C90*$J90,IF(IG90&gt;0,IG90*$K90,EH90*$J90))*IF(94=$R90,$S90,12)/12,6)+$B$4),EH90-$I90)))))</f>
        <v/>
      </c>
      <c r="EJ90" s="68">
        <f>IF($U90=0,0,IF($F90=4,0,IF($F90=3,0,IF(OR(95&gt;$R90,EI90&lt;=$I90),EI90,EI90-MIN(INT(ROUND(IF($F90=1,$C90*$J90,IF(IH90&gt;0,IH90*$K90,EI90*$J90))*IF(95=$R90,$S90,12)/12,6)+$B$4),EI90-$I90)))))</f>
        <v/>
      </c>
      <c r="EK90" s="68">
        <f>IF($U90=0,0,IF($F90=4,0,IF($F90=3,0,IF(OR(96&gt;$R90,EJ90&lt;=$I90),EJ90,EJ90-MIN(INT(ROUND(IF($F90=1,$C90*$J90,IF(II90&gt;0,II90*$K90,EJ90*$J90))*IF(96=$R90,$S90,12)/12,6)+$B$4),EJ90-$I90)))))</f>
        <v/>
      </c>
      <c r="EL90" s="68">
        <f>IF($U90=0,0,IF($F90=4,0,IF($F90=3,0,IF(OR(97&gt;$R90,EK90&lt;=$I90),EK90,EK90-MIN(INT(ROUND(IF($F90=1,$C90*$J90,IF(IJ90&gt;0,IJ90*$K90,EK90*$J90))*IF(97=$R90,$S90,12)/12,6)+$B$4),EK90-$I90)))))</f>
        <v/>
      </c>
      <c r="EM90" s="68">
        <f>IF($U90=0,0,IF($F90=4,0,IF($F90=3,0,IF(OR(98&gt;$R90,EL90&lt;=$I90),EL90,EL90-MIN(INT(ROUND(IF($F90=1,$C90*$J90,IF(IK90&gt;0,IK90*$K90,EL90*$J90))*IF(98=$R90,$S90,12)/12,6)+$B$4),EL90-$I90)))))</f>
        <v/>
      </c>
      <c r="EN90" s="68">
        <f>IF($U90=0,0,IF($F90=4,0,IF($F90=3,0,IF(OR(99&gt;$R90,EM90&lt;=$I90),EM90,EM90-MIN(INT(ROUND(IF($F90=1,$C90*$J90,IF(IL90&gt;0,IL90*$K90,EM90*$J90))*IF(99=$R90,$S90,12)/12,6)+$B$4),EM90-$I90)))))</f>
        <v/>
      </c>
      <c r="EO90" s="68">
        <f>IF($U90=0,0,IF($F90=4,0,IF($F90=3,0,IF(OR(100&gt;$R90,EN90&lt;=$I90),EN90,EN90-MIN(INT(ROUND(IF($F90=1,$C90*$J90,IF(IM90&gt;0,IM90*$K90,EN90*$J90))*IF(100=$R90,$S90,12)/12,6)+$B$4),EN90-$I90)))))</f>
        <v/>
      </c>
      <c r="EP90" s="68">
        <f>IF($U90=0,0,IF($F90=4,0,IF($F90=3,0,IF(OR(101&gt;$R90,EO90&lt;=$I90),EO90,EO90-MIN(INT(ROUND(IF($F90=1,$C90*$J90,IF(IN90&gt;0,IN90*$K90,EO90*$J90))*IF(101=$R90,$S90,12)/12,6)+$B$4),EO90-$I90)))))</f>
        <v/>
      </c>
      <c r="EQ90" s="68" t="n"/>
      <c r="ER90" s="68">
        <f>IF(OR($U90=0,$F90&lt;&gt;2),0,IF(ROUND(AS90*$J90,6)&lt;ROUND($M90,6),AS90,0))</f>
        <v/>
      </c>
      <c r="ES90" s="68">
        <f>IF(OR($U90=0,$F90&lt;&gt;2),0,IF(ER90&gt;0,ER90,IF(ROUND(AT90*$J90,6)&lt;ROUND($M90,6),AT90,0)))</f>
        <v/>
      </c>
      <c r="ET90" s="68">
        <f>IF(OR($U90=0,$F90&lt;&gt;2),0,IF(ES90&gt;0,ES90,IF(ROUND(AU90*$J90,6)&lt;ROUND($M90,6),AU90,0)))</f>
        <v/>
      </c>
      <c r="EU90" s="68">
        <f>IF(OR($U90=0,$F90&lt;&gt;2),0,IF(ET90&gt;0,ET90,IF(ROUND(AV90*$J90,6)&lt;ROUND($M90,6),AV90,0)))</f>
        <v/>
      </c>
      <c r="EV90" s="68">
        <f>IF(OR($U90=0,$F90&lt;&gt;2),0,IF(EU90&gt;0,EU90,IF(ROUND(AW90*$J90,6)&lt;ROUND($M90,6),AW90,0)))</f>
        <v/>
      </c>
      <c r="EW90" s="68">
        <f>IF(OR($U90=0,$F90&lt;&gt;2),0,IF(EV90&gt;0,EV90,IF(ROUND(AX90*$J90,6)&lt;ROUND($M90,6),AX90,0)))</f>
        <v/>
      </c>
      <c r="EX90" s="68">
        <f>IF(OR($U90=0,$F90&lt;&gt;2),0,IF(EW90&gt;0,EW90,IF(ROUND(AY90*$J90,6)&lt;ROUND($M90,6),AY90,0)))</f>
        <v/>
      </c>
      <c r="EY90" s="68">
        <f>IF(OR($U90=0,$F90&lt;&gt;2),0,IF(EX90&gt;0,EX90,IF(ROUND(AZ90*$J90,6)&lt;ROUND($M90,6),AZ90,0)))</f>
        <v/>
      </c>
      <c r="EZ90" s="68">
        <f>IF(OR($U90=0,$F90&lt;&gt;2),0,IF(EY90&gt;0,EY90,IF(ROUND(BA90*$J90,6)&lt;ROUND($M90,6),BA90,0)))</f>
        <v/>
      </c>
      <c r="FA90" s="68">
        <f>IF(OR($U90=0,$F90&lt;&gt;2),0,IF(EZ90&gt;0,EZ90,IF(ROUND(BB90*$J90,6)&lt;ROUND($M90,6),BB90,0)))</f>
        <v/>
      </c>
      <c r="FB90" s="68">
        <f>IF(OR($U90=0,$F90&lt;&gt;2),0,IF(FA90&gt;0,FA90,IF(ROUND(BC90*$J90,6)&lt;ROUND($M90,6),BC90,0)))</f>
        <v/>
      </c>
      <c r="FC90" s="68">
        <f>IF(OR($U90=0,$F90&lt;&gt;2),0,IF(FB90&gt;0,FB90,IF(ROUND(BD90*$J90,6)&lt;ROUND($M90,6),BD90,0)))</f>
        <v/>
      </c>
      <c r="FD90" s="68">
        <f>IF(OR($U90=0,$F90&lt;&gt;2),0,IF(FC90&gt;0,FC90,IF(ROUND(BE90*$J90,6)&lt;ROUND($M90,6),BE90,0)))</f>
        <v/>
      </c>
      <c r="FE90" s="68">
        <f>IF(OR($U90=0,$F90&lt;&gt;2),0,IF(FD90&gt;0,FD90,IF(ROUND(BF90*$J90,6)&lt;ROUND($M90,6),BF90,0)))</f>
        <v/>
      </c>
      <c r="FF90" s="68">
        <f>IF(OR($U90=0,$F90&lt;&gt;2),0,IF(FE90&gt;0,FE90,IF(ROUND(BG90*$J90,6)&lt;ROUND($M90,6),BG90,0)))</f>
        <v/>
      </c>
      <c r="FG90" s="68">
        <f>IF(OR($U90=0,$F90&lt;&gt;2),0,IF(FF90&gt;0,FF90,IF(ROUND(BH90*$J90,6)&lt;ROUND($M90,6),BH90,0)))</f>
        <v/>
      </c>
      <c r="FH90" s="68">
        <f>IF(OR($U90=0,$F90&lt;&gt;2),0,IF(FG90&gt;0,FG90,IF(ROUND(BI90*$J90,6)&lt;ROUND($M90,6),BI90,0)))</f>
        <v/>
      </c>
      <c r="FI90" s="68">
        <f>IF(OR($U90=0,$F90&lt;&gt;2),0,IF(FH90&gt;0,FH90,IF(ROUND(BJ90*$J90,6)&lt;ROUND($M90,6),BJ90,0)))</f>
        <v/>
      </c>
      <c r="FJ90" s="68">
        <f>IF(OR($U90=0,$F90&lt;&gt;2),0,IF(FI90&gt;0,FI90,IF(ROUND(BK90*$J90,6)&lt;ROUND($M90,6),BK90,0)))</f>
        <v/>
      </c>
      <c r="FK90" s="68">
        <f>IF(OR($U90=0,$F90&lt;&gt;2),0,IF(FJ90&gt;0,FJ90,IF(ROUND(BL90*$J90,6)&lt;ROUND($M90,6),BL90,0)))</f>
        <v/>
      </c>
      <c r="FL90" s="68">
        <f>IF(OR($U90=0,$F90&lt;&gt;2),0,IF(FK90&gt;0,FK90,IF(ROUND(BM90*$J90,6)&lt;ROUND($M90,6),BM90,0)))</f>
        <v/>
      </c>
      <c r="FM90" s="68">
        <f>IF(OR($U90=0,$F90&lt;&gt;2),0,IF(FL90&gt;0,FL90,IF(ROUND(BN90*$J90,6)&lt;ROUND($M90,6),BN90,0)))</f>
        <v/>
      </c>
      <c r="FN90" s="68">
        <f>IF(OR($U90=0,$F90&lt;&gt;2),0,IF(FM90&gt;0,FM90,IF(ROUND(BO90*$J90,6)&lt;ROUND($M90,6),BO90,0)))</f>
        <v/>
      </c>
      <c r="FO90" s="68">
        <f>IF(OR($U90=0,$F90&lt;&gt;2),0,IF(FN90&gt;0,FN90,IF(ROUND(BP90*$J90,6)&lt;ROUND($M90,6),BP90,0)))</f>
        <v/>
      </c>
      <c r="FP90" s="68">
        <f>IF(OR($U90=0,$F90&lt;&gt;2),0,IF(FO90&gt;0,FO90,IF(ROUND(BQ90*$J90,6)&lt;ROUND($M90,6),BQ90,0)))</f>
        <v/>
      </c>
      <c r="FQ90" s="68">
        <f>IF(OR($U90=0,$F90&lt;&gt;2),0,IF(FP90&gt;0,FP90,IF(ROUND(BR90*$J90,6)&lt;ROUND($M90,6),BR90,0)))</f>
        <v/>
      </c>
      <c r="FR90" s="68">
        <f>IF(OR($U90=0,$F90&lt;&gt;2),0,IF(FQ90&gt;0,FQ90,IF(ROUND(BS90*$J90,6)&lt;ROUND($M90,6),BS90,0)))</f>
        <v/>
      </c>
      <c r="FS90" s="68">
        <f>IF(OR($U90=0,$F90&lt;&gt;2),0,IF(FR90&gt;0,FR90,IF(ROUND(BT90*$J90,6)&lt;ROUND($M90,6),BT90,0)))</f>
        <v/>
      </c>
      <c r="FT90" s="68">
        <f>IF(OR($U90=0,$F90&lt;&gt;2),0,IF(FS90&gt;0,FS90,IF(ROUND(BU90*$J90,6)&lt;ROUND($M90,6),BU90,0)))</f>
        <v/>
      </c>
      <c r="FU90" s="68">
        <f>IF(OR($U90=0,$F90&lt;&gt;2),0,IF(FT90&gt;0,FT90,IF(ROUND(BV90*$J90,6)&lt;ROUND($M90,6),BV90,0)))</f>
        <v/>
      </c>
      <c r="FV90" s="68">
        <f>IF(OR($U90=0,$F90&lt;&gt;2),0,IF(FU90&gt;0,FU90,IF(ROUND(BW90*$J90,6)&lt;ROUND($M90,6),BW90,0)))</f>
        <v/>
      </c>
      <c r="FW90" s="68">
        <f>IF(OR($U90=0,$F90&lt;&gt;2),0,IF(FV90&gt;0,FV90,IF(ROUND(BX90*$J90,6)&lt;ROUND($M90,6),BX90,0)))</f>
        <v/>
      </c>
      <c r="FX90" s="68">
        <f>IF(OR($U90=0,$F90&lt;&gt;2),0,IF(FW90&gt;0,FW90,IF(ROUND(BY90*$J90,6)&lt;ROUND($M90,6),BY90,0)))</f>
        <v/>
      </c>
      <c r="FY90" s="68">
        <f>IF(OR($U90=0,$F90&lt;&gt;2),0,IF(FX90&gt;0,FX90,IF(ROUND(BZ90*$J90,6)&lt;ROUND($M90,6),BZ90,0)))</f>
        <v/>
      </c>
      <c r="FZ90" s="68">
        <f>IF(OR($U90=0,$F90&lt;&gt;2),0,IF(FY90&gt;0,FY90,IF(ROUND(CA90*$J90,6)&lt;ROUND($M90,6),CA90,0)))</f>
        <v/>
      </c>
      <c r="GA90" s="68">
        <f>IF(OR($U90=0,$F90&lt;&gt;2),0,IF(FZ90&gt;0,FZ90,IF(ROUND(CB90*$J90,6)&lt;ROUND($M90,6),CB90,0)))</f>
        <v/>
      </c>
      <c r="GB90" s="68">
        <f>IF(OR($U90=0,$F90&lt;&gt;2),0,IF(GA90&gt;0,GA90,IF(ROUND(CC90*$J90,6)&lt;ROUND($M90,6),CC90,0)))</f>
        <v/>
      </c>
      <c r="GC90" s="68">
        <f>IF(OR($U90=0,$F90&lt;&gt;2),0,IF(GB90&gt;0,GB90,IF(ROUND(CD90*$J90,6)&lt;ROUND($M90,6),CD90,0)))</f>
        <v/>
      </c>
      <c r="GD90" s="68">
        <f>IF(OR($U90=0,$F90&lt;&gt;2),0,IF(GC90&gt;0,GC90,IF(ROUND(CE90*$J90,6)&lt;ROUND($M90,6),CE90,0)))</f>
        <v/>
      </c>
      <c r="GE90" s="68">
        <f>IF(OR($U90=0,$F90&lt;&gt;2),0,IF(GD90&gt;0,GD90,IF(ROUND(CF90*$J90,6)&lt;ROUND($M90,6),CF90,0)))</f>
        <v/>
      </c>
      <c r="GF90" s="68">
        <f>IF(OR($U90=0,$F90&lt;&gt;2),0,IF(GE90&gt;0,GE90,IF(ROUND(CG90*$J90,6)&lt;ROUND($M90,6),CG90,0)))</f>
        <v/>
      </c>
      <c r="GG90" s="68">
        <f>IF(OR($U90=0,$F90&lt;&gt;2),0,IF(GF90&gt;0,GF90,IF(ROUND(CH90*$J90,6)&lt;ROUND($M90,6),CH90,0)))</f>
        <v/>
      </c>
      <c r="GH90" s="68">
        <f>IF(OR($U90=0,$F90&lt;&gt;2),0,IF(GG90&gt;0,GG90,IF(ROUND(CI90*$J90,6)&lt;ROUND($M90,6),CI90,0)))</f>
        <v/>
      </c>
      <c r="GI90" s="68">
        <f>IF(OR($U90=0,$F90&lt;&gt;2),0,IF(GH90&gt;0,GH90,IF(ROUND(CJ90*$J90,6)&lt;ROUND($M90,6),CJ90,0)))</f>
        <v/>
      </c>
      <c r="GJ90" s="68">
        <f>IF(OR($U90=0,$F90&lt;&gt;2),0,IF(GI90&gt;0,GI90,IF(ROUND(CK90*$J90,6)&lt;ROUND($M90,6),CK90,0)))</f>
        <v/>
      </c>
      <c r="GK90" s="68">
        <f>IF(OR($U90=0,$F90&lt;&gt;2),0,IF(GJ90&gt;0,GJ90,IF(ROUND(CL90*$J90,6)&lt;ROUND($M90,6),CL90,0)))</f>
        <v/>
      </c>
      <c r="GL90" s="68">
        <f>IF(OR($U90=0,$F90&lt;&gt;2),0,IF(GK90&gt;0,GK90,IF(ROUND(CM90*$J90,6)&lt;ROUND($M90,6),CM90,0)))</f>
        <v/>
      </c>
      <c r="GM90" s="68">
        <f>IF(OR($U90=0,$F90&lt;&gt;2),0,IF(GL90&gt;0,GL90,IF(ROUND(CN90*$J90,6)&lt;ROUND($M90,6),CN90,0)))</f>
        <v/>
      </c>
      <c r="GN90" s="68">
        <f>IF(OR($U90=0,$F90&lt;&gt;2),0,IF(GM90&gt;0,GM90,IF(ROUND(CO90*$J90,6)&lt;ROUND($M90,6),CO90,0)))</f>
        <v/>
      </c>
      <c r="GO90" s="68">
        <f>IF(OR($U90=0,$F90&lt;&gt;2),0,IF(GN90&gt;0,GN90,IF(ROUND(CP90*$J90,6)&lt;ROUND($M90,6),CP90,0)))</f>
        <v/>
      </c>
      <c r="GP90" s="68">
        <f>IF(OR($U90=0,$F90&lt;&gt;2),0,IF(GO90&gt;0,GO90,IF(ROUND(CQ90*$J90,6)&lt;ROUND($M90,6),CQ90,0)))</f>
        <v/>
      </c>
      <c r="GQ90" s="68">
        <f>IF(OR($U90=0,$F90&lt;&gt;2),0,IF(GP90&gt;0,GP90,IF(ROUND(CR90*$J90,6)&lt;ROUND($M90,6),CR90,0)))</f>
        <v/>
      </c>
      <c r="GR90" s="68">
        <f>IF(OR($U90=0,$F90&lt;&gt;2),0,IF(GQ90&gt;0,GQ90,IF(ROUND(CS90*$J90,6)&lt;ROUND($M90,6),CS90,0)))</f>
        <v/>
      </c>
      <c r="GS90" s="68">
        <f>IF(OR($U90=0,$F90&lt;&gt;2),0,IF(GR90&gt;0,GR90,IF(ROUND(CT90*$J90,6)&lt;ROUND($M90,6),CT90,0)))</f>
        <v/>
      </c>
      <c r="GT90" s="68">
        <f>IF(OR($U90=0,$F90&lt;&gt;2),0,IF(GS90&gt;0,GS90,IF(ROUND(CU90*$J90,6)&lt;ROUND($M90,6),CU90,0)))</f>
        <v/>
      </c>
      <c r="GU90" s="68">
        <f>IF(OR($U90=0,$F90&lt;&gt;2),0,IF(GT90&gt;0,GT90,IF(ROUND(CV90*$J90,6)&lt;ROUND($M90,6),CV90,0)))</f>
        <v/>
      </c>
      <c r="GV90" s="68">
        <f>IF(OR($U90=0,$F90&lt;&gt;2),0,IF(GU90&gt;0,GU90,IF(ROUND(CW90*$J90,6)&lt;ROUND($M90,6),CW90,0)))</f>
        <v/>
      </c>
      <c r="GW90" s="68">
        <f>IF(OR($U90=0,$F90&lt;&gt;2),0,IF(GV90&gt;0,GV90,IF(ROUND(CX90*$J90,6)&lt;ROUND($M90,6),CX90,0)))</f>
        <v/>
      </c>
      <c r="GX90" s="68">
        <f>IF(OR($U90=0,$F90&lt;&gt;2),0,IF(GW90&gt;0,GW90,IF(ROUND(CY90*$J90,6)&lt;ROUND($M90,6),CY90,0)))</f>
        <v/>
      </c>
      <c r="GY90" s="68">
        <f>IF(OR($U90=0,$F90&lt;&gt;2),0,IF(GX90&gt;0,GX90,IF(ROUND(CZ90*$J90,6)&lt;ROUND($M90,6),CZ90,0)))</f>
        <v/>
      </c>
      <c r="GZ90" s="68">
        <f>IF(OR($U90=0,$F90&lt;&gt;2),0,IF(GY90&gt;0,GY90,IF(ROUND(DA90*$J90,6)&lt;ROUND($M90,6),DA90,0)))</f>
        <v/>
      </c>
      <c r="HA90" s="68">
        <f>IF(OR($U90=0,$F90&lt;&gt;2),0,IF(GZ90&gt;0,GZ90,IF(ROUND(DB90*$J90,6)&lt;ROUND($M90,6),DB90,0)))</f>
        <v/>
      </c>
      <c r="HB90" s="68">
        <f>IF(OR($U90=0,$F90&lt;&gt;2),0,IF(HA90&gt;0,HA90,IF(ROUND(DC90*$J90,6)&lt;ROUND($M90,6),DC90,0)))</f>
        <v/>
      </c>
      <c r="HC90" s="68">
        <f>IF(OR($U90=0,$F90&lt;&gt;2),0,IF(HB90&gt;0,HB90,IF(ROUND(DD90*$J90,6)&lt;ROUND($M90,6),DD90,0)))</f>
        <v/>
      </c>
      <c r="HD90" s="68">
        <f>IF(OR($U90=0,$F90&lt;&gt;2),0,IF(HC90&gt;0,HC90,IF(ROUND(DE90*$J90,6)&lt;ROUND($M90,6),DE90,0)))</f>
        <v/>
      </c>
      <c r="HE90" s="68">
        <f>IF(OR($U90=0,$F90&lt;&gt;2),0,IF(HD90&gt;0,HD90,IF(ROUND(DF90*$J90,6)&lt;ROUND($M90,6),DF90,0)))</f>
        <v/>
      </c>
      <c r="HF90" s="68">
        <f>IF(OR($U90=0,$F90&lt;&gt;2),0,IF(HE90&gt;0,HE90,IF(ROUND(DG90*$J90,6)&lt;ROUND($M90,6),DG90,0)))</f>
        <v/>
      </c>
      <c r="HG90" s="68">
        <f>IF(OR($U90=0,$F90&lt;&gt;2),0,IF(HF90&gt;0,HF90,IF(ROUND(DH90*$J90,6)&lt;ROUND($M90,6),DH90,0)))</f>
        <v/>
      </c>
      <c r="HH90" s="68">
        <f>IF(OR($U90=0,$F90&lt;&gt;2),0,IF(HG90&gt;0,HG90,IF(ROUND(DI90*$J90,6)&lt;ROUND($M90,6),DI90,0)))</f>
        <v/>
      </c>
      <c r="HI90" s="68">
        <f>IF(OR($U90=0,$F90&lt;&gt;2),0,IF(HH90&gt;0,HH90,IF(ROUND(DJ90*$J90,6)&lt;ROUND($M90,6),DJ90,0)))</f>
        <v/>
      </c>
      <c r="HJ90" s="68">
        <f>IF(OR($U90=0,$F90&lt;&gt;2),0,IF(HI90&gt;0,HI90,IF(ROUND(DK90*$J90,6)&lt;ROUND($M90,6),DK90,0)))</f>
        <v/>
      </c>
      <c r="HK90" s="68">
        <f>IF(OR($U90=0,$F90&lt;&gt;2),0,IF(HJ90&gt;0,HJ90,IF(ROUND(DL90*$J90,6)&lt;ROUND($M90,6),DL90,0)))</f>
        <v/>
      </c>
      <c r="HL90" s="68">
        <f>IF(OR($U90=0,$F90&lt;&gt;2),0,IF(HK90&gt;0,HK90,IF(ROUND(DM90*$J90,6)&lt;ROUND($M90,6),DM90,0)))</f>
        <v/>
      </c>
      <c r="HM90" s="68">
        <f>IF(OR($U90=0,$F90&lt;&gt;2),0,IF(HL90&gt;0,HL90,IF(ROUND(DN90*$J90,6)&lt;ROUND($M90,6),DN90,0)))</f>
        <v/>
      </c>
      <c r="HN90" s="68">
        <f>IF(OR($U90=0,$F90&lt;&gt;2),0,IF(HM90&gt;0,HM90,IF(ROUND(DO90*$J90,6)&lt;ROUND($M90,6),DO90,0)))</f>
        <v/>
      </c>
      <c r="HO90" s="68">
        <f>IF(OR($U90=0,$F90&lt;&gt;2),0,IF(HN90&gt;0,HN90,IF(ROUND(DP90*$J90,6)&lt;ROUND($M90,6),DP90,0)))</f>
        <v/>
      </c>
      <c r="HP90" s="68">
        <f>IF(OR($U90=0,$F90&lt;&gt;2),0,IF(HO90&gt;0,HO90,IF(ROUND(DQ90*$J90,6)&lt;ROUND($M90,6),DQ90,0)))</f>
        <v/>
      </c>
      <c r="HQ90" s="68">
        <f>IF(OR($U90=0,$F90&lt;&gt;2),0,IF(HP90&gt;0,HP90,IF(ROUND(DR90*$J90,6)&lt;ROUND($M90,6),DR90,0)))</f>
        <v/>
      </c>
      <c r="HR90" s="68">
        <f>IF(OR($U90=0,$F90&lt;&gt;2),0,IF(HQ90&gt;0,HQ90,IF(ROUND(DS90*$J90,6)&lt;ROUND($M90,6),DS90,0)))</f>
        <v/>
      </c>
      <c r="HS90" s="68">
        <f>IF(OR($U90=0,$F90&lt;&gt;2),0,IF(HR90&gt;0,HR90,IF(ROUND(DT90*$J90,6)&lt;ROUND($M90,6),DT90,0)))</f>
        <v/>
      </c>
      <c r="HT90" s="68">
        <f>IF(OR($U90=0,$F90&lt;&gt;2),0,IF(HS90&gt;0,HS90,IF(ROUND(DU90*$J90,6)&lt;ROUND($M90,6),DU90,0)))</f>
        <v/>
      </c>
      <c r="HU90" s="68">
        <f>IF(OR($U90=0,$F90&lt;&gt;2),0,IF(HT90&gt;0,HT90,IF(ROUND(DV90*$J90,6)&lt;ROUND($M90,6),DV90,0)))</f>
        <v/>
      </c>
      <c r="HV90" s="68">
        <f>IF(OR($U90=0,$F90&lt;&gt;2),0,IF(HU90&gt;0,HU90,IF(ROUND(DW90*$J90,6)&lt;ROUND($M90,6),DW90,0)))</f>
        <v/>
      </c>
      <c r="HW90" s="68">
        <f>IF(OR($U90=0,$F90&lt;&gt;2),0,IF(HV90&gt;0,HV90,IF(ROUND(DX90*$J90,6)&lt;ROUND($M90,6),DX90,0)))</f>
        <v/>
      </c>
      <c r="HX90" s="68">
        <f>IF(OR($U90=0,$F90&lt;&gt;2),0,IF(HW90&gt;0,HW90,IF(ROUND(DY90*$J90,6)&lt;ROUND($M90,6),DY90,0)))</f>
        <v/>
      </c>
      <c r="HY90" s="68">
        <f>IF(OR($U90=0,$F90&lt;&gt;2),0,IF(HX90&gt;0,HX90,IF(ROUND(DZ90*$J90,6)&lt;ROUND($M90,6),DZ90,0)))</f>
        <v/>
      </c>
      <c r="HZ90" s="68">
        <f>IF(OR($U90=0,$F90&lt;&gt;2),0,IF(HY90&gt;0,HY90,IF(ROUND(EA90*$J90,6)&lt;ROUND($M90,6),EA90,0)))</f>
        <v/>
      </c>
      <c r="IA90" s="68">
        <f>IF(OR($U90=0,$F90&lt;&gt;2),0,IF(HZ90&gt;0,HZ90,IF(ROUND(EB90*$J90,6)&lt;ROUND($M90,6),EB90,0)))</f>
        <v/>
      </c>
      <c r="IB90" s="68">
        <f>IF(OR($U90=0,$F90&lt;&gt;2),0,IF(IA90&gt;0,IA90,IF(ROUND(EC90*$J90,6)&lt;ROUND($M90,6),EC90,0)))</f>
        <v/>
      </c>
      <c r="IC90" s="68">
        <f>IF(OR($U90=0,$F90&lt;&gt;2),0,IF(IB90&gt;0,IB90,IF(ROUND(ED90*$J90,6)&lt;ROUND($M90,6),ED90,0)))</f>
        <v/>
      </c>
      <c r="ID90" s="68">
        <f>IF(OR($U90=0,$F90&lt;&gt;2),0,IF(IC90&gt;0,IC90,IF(ROUND(EE90*$J90,6)&lt;ROUND($M90,6),EE90,0)))</f>
        <v/>
      </c>
      <c r="IE90" s="68">
        <f>IF(OR($U90=0,$F90&lt;&gt;2),0,IF(ID90&gt;0,ID90,IF(ROUND(EF90*$J90,6)&lt;ROUND($M90,6),EF90,0)))</f>
        <v/>
      </c>
      <c r="IF90" s="68">
        <f>IF(OR($U90=0,$F90&lt;&gt;2),0,IF(IE90&gt;0,IE90,IF(ROUND(EG90*$J90,6)&lt;ROUND($M90,6),EG90,0)))</f>
        <v/>
      </c>
      <c r="IG90" s="68">
        <f>IF(OR($U90=0,$F90&lt;&gt;2),0,IF(IF90&gt;0,IF90,IF(ROUND(EH90*$J90,6)&lt;ROUND($M90,6),EH90,0)))</f>
        <v/>
      </c>
      <c r="IH90" s="68">
        <f>IF(OR($U90=0,$F90&lt;&gt;2),0,IF(IG90&gt;0,IG90,IF(ROUND(EI90*$J90,6)&lt;ROUND($M90,6),EI90,0)))</f>
        <v/>
      </c>
      <c r="II90" s="68">
        <f>IF(OR($U90=0,$F90&lt;&gt;2),0,IF(IH90&gt;0,IH90,IF(ROUND(EJ90*$J90,6)&lt;ROUND($M90,6),EJ90,0)))</f>
        <v/>
      </c>
      <c r="IJ90" s="68">
        <f>IF(OR($U90=0,$F90&lt;&gt;2),0,IF(II90&gt;0,II90,IF(ROUND(EK90*$J90,6)&lt;ROUND($M90,6),EK90,0)))</f>
        <v/>
      </c>
      <c r="IK90" s="68">
        <f>IF(OR($U90=0,$F90&lt;&gt;2),0,IF(IJ90&gt;0,IJ90,IF(ROUND(EL90*$J90,6)&lt;ROUND($M90,6),EL90,0)))</f>
        <v/>
      </c>
      <c r="IL90" s="68">
        <f>IF(OR($U90=0,$F90&lt;&gt;2),0,IF(IK90&gt;0,IK90,IF(ROUND(EM90*$J90,6)&lt;ROUND($M90,6),EM90,0)))</f>
        <v/>
      </c>
      <c r="IM90" s="68">
        <f>IF(OR($U90=0,$F90&lt;&gt;2),0,IF(IL90&gt;0,IL90,IF(ROUND(EN90*$J90,6)&lt;ROUND($M90,6),EN90,0)))</f>
        <v/>
      </c>
      <c r="IN90" s="68">
        <f>IF(OR($U90=0,$F90&lt;&gt;2),0,IF(IM90&gt;0,IM90,IF(ROUND(EO90*$J90,6)&lt;ROUND($M90,6),EO90,0)))</f>
        <v/>
      </c>
    </row>
    <row r="91">
      <c r="A91" s="68" t="n">
        <v>86</v>
      </c>
      <c r="B91" s="68">
        <f>IF(OR(TRIM('固定資産台帳'!$B91)&lt;&gt;"",'固定資産台帳'!$E91&lt;&gt;"",'固定資産台帳'!$G91&lt;&gt;"",'固定資産台帳'!$H91&lt;&gt;""),1,0)</f>
        <v/>
      </c>
      <c r="C91" s="68">
        <f>IF(ISNUMBER('固定資産台帳'!$G91),MAX(ROUND('固定資産台帳'!$G91,0),0),0)</f>
        <v/>
      </c>
      <c r="D91" s="84">
        <f>IF(ISNUMBER('固定資産台帳'!$E91),INT('固定資産台帳'!$E91),0)</f>
        <v/>
      </c>
      <c r="E91" s="84">
        <f>IF(ISNUMBER('固定資産台帳'!$F91),INT('固定資産台帳'!$F91),$D91)</f>
        <v/>
      </c>
      <c r="F91" s="68">
        <f>IF('固定資産台帳'!$H91="定額法",1,IF(OR('固定資産台帳'!$H91="定率法",'固定資産台帳'!$H91="定率法（200%）",'固定資産台帳'!$H91="定率法（250%）"),2,IF('固定資産台帳'!$H91="一括償却（3年）",3,IF('固定資産台帳'!$H91="少額特例",4,0))))</f>
        <v/>
      </c>
      <c r="G91" s="68">
        <f>IF('固定資産台帳'!$H91="定率法（250%）",250,IF('固定資産台帳'!$H91="定率法（200%）",200,IF($D91&gt;=DATE(2012,4,1),200,250)))</f>
        <v/>
      </c>
      <c r="H91" s="68">
        <f>IF(ISNUMBER('固定資産台帳'!$I91),IF(AND('固定資産台帳'!$I91&gt;=2,'固定資産台帳'!$I91&lt;=100,'固定資産台帳'!$I91=INT('固定資産台帳'!$I91)),'固定資産台帳'!$I91,0),0)</f>
        <v/>
      </c>
      <c r="I91" s="68">
        <f>IF('固定資産台帳'!$C91="無形固定資産",0,1)</f>
        <v/>
      </c>
      <c r="J91" s="68">
        <f>IF(OR($H91=0,$F91=0,$F91&gt;2),0,IF($F91=1,INDEX('償却率表'!$B$6:$B$104,$H91-1),IF($G91=200,INDEX('償却率表'!$C$6:$C$104,$H91-1),INDEX('償却率表'!$F$6:$F$104,$H91-1))))</f>
        <v/>
      </c>
      <c r="K91" s="68">
        <f>IF(AND($F91=2,$H91&gt;0),IF($G91=200,INDEX('償却率表'!$D$6:$D$104,$H91-1),INDEX('償却率表'!$G$6:$G$104,$H91-1)),0)</f>
        <v/>
      </c>
      <c r="L91" s="68">
        <f>IF(AND($F91=2,$H91&gt;0),IF($G91=200,INDEX('償却率表'!$E$6:$E$104,$H91-1),INDEX('償却率表'!$H$6:$H$104,$H91-1)),0)</f>
        <v/>
      </c>
      <c r="M91" s="68">
        <f>$C91*$L91</f>
        <v/>
      </c>
      <c r="N91" s="68">
        <f>IF($B$1=1,1,IF('固定資産台帳'!$J91="",1,IF(ISNUMBER('固定資産台帳'!$J91),IF(AND('固定資産台帳'!$J91&gt;0,'固定資産台帳'!$J91&lt;=1),'固定資産台帳'!$J91,0),0)))</f>
        <v/>
      </c>
      <c r="O91" s="68">
        <f>IF($E91=0,0,YEAR($E91)-IF(MONTH($E91)&lt;$B$2,1,0))</f>
        <v/>
      </c>
      <c r="P91" s="68">
        <f>IF($E91=0,0,12-MOD(MONTH($E91)-$B$2,12))</f>
        <v/>
      </c>
      <c r="Q91" s="84">
        <f>IF(ISNUMBER('固定資産台帳'!$K91),INT('固定資産台帳'!$K91),0)</f>
        <v/>
      </c>
      <c r="R91" s="68">
        <f>IF(OR($Q91=0,$E91=0),999,YEAR($Q91)-IF(MONTH($Q91)&lt;$B$2,1,0)-$O91)</f>
        <v/>
      </c>
      <c r="S91" s="68">
        <f>IF($R91=999,0,MOD(MONTH($Q91)-$B$2,12)+1-IF($R91=0,12-$P91,0))</f>
        <v/>
      </c>
      <c r="T91" s="68">
        <f>IF($B91=0,0,IF($C91&lt;=0,1,IF($D91=0,2,IF($F91=0,3,IF(AND($F91&lt;=2,$H91=0),4,IF(AND($F91&lt;=2,$D91&lt;DATE(2007,4,1)),5,IF($E91&lt;$D91,6,IF(AND($Q91&gt;0,$Q91&lt;$E91),7,IF($N91=0,8,IF($B$3=0,9,0))))))))))</f>
        <v/>
      </c>
      <c r="U91" s="68">
        <f>IF(AND($B91=1,$T91=0),1,0)</f>
        <v/>
      </c>
      <c r="V91" s="68">
        <f>$B$3-$O91</f>
        <v/>
      </c>
      <c r="W91" s="68">
        <f>IF(AND($U91=1,$V91&gt;=0),1,0)</f>
        <v/>
      </c>
      <c r="X91" s="68">
        <f>IF($W91=0,0,IF($V91=0,$C91,INDEX($AS91:$EP91,MIN($V91,102))))</f>
        <v/>
      </c>
      <c r="Y91" s="68">
        <f>IF($W91=0,0,INDEX($AS91:$EP91,MIN($V91,101)+1))</f>
        <v/>
      </c>
      <c r="Z91" s="68">
        <f>$X91-$Y91</f>
        <v/>
      </c>
      <c r="AA91" s="68">
        <f>IF(AND($W91=1,$F91=2,$V91&gt;=1),INDEX($ER91:$IN91,MIN($V91,101)),0)</f>
        <v/>
      </c>
      <c r="AB91" s="68">
        <f>IF(OR($W91=0,$F91&gt;2,$Z91=0),0,IF($V91=0,IF($R91=0,$S91,$P91),IF($V91=$R91,$S91,12)))</f>
        <v/>
      </c>
      <c r="AC91" s="68">
        <f>IF($W91=0,0,INT(ROUND($Z91*$N91,6)+$B$4))</f>
        <v/>
      </c>
      <c r="AD91" s="68">
        <f>IF(AND($W91=1,$F91&lt;=2,$V91=$R91),1,0)</f>
        <v/>
      </c>
      <c r="AE91" s="68">
        <f>IF(AND($W91=1,$F91&lt;=2,$V91&gt;$R91),1,0)</f>
        <v/>
      </c>
      <c r="AF91" s="68">
        <f>IF(AND($W91=1,$AE91=0,OR($Z91&gt;0,$AD91=1)),1,0)</f>
        <v/>
      </c>
      <c r="AG91" s="68">
        <f>IF($AF91=1,SUM($AF$6:$AF91),0)</f>
        <v/>
      </c>
      <c r="AH91" s="68">
        <f>IF($T91=0,"",CHOOSE($T91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91" s="68">
        <f>IF(AND($F91=2,OR('固定資産台帳'!$C91="建物",'固定資産台帳'!$C91="無形固定資産",AND(OR('固定資産台帳'!$C91="建物附属設備",'固定資産台帳'!$C91="構築物"),$D91&gt;=DATE(2016,4,1)))),"この資産は定額法だけです（定率法は使えません）。","")&amp;IF(AND($F91=3,$C91&gt;=200000),"一括償却は20万円未満の資産だけです。","")&amp;IF(AND($F91=3,$B$1=0,$C91&lt;100000),"10万円未満は一括償却にせず、全額をその年の経費にします。","")&amp;IF(AND($F91=4,$C91&lt;100000),"10万円未満は少額特例ではなく、全額をその年の経費にします。","")&amp;IF(AND($F91=4,$D91&lt;DATE(2026,4,1),$C91&gt;=300000),"2026年3月31日までの取得で少額特例が使えるのは30万円未満です。","")&amp;IF(AND($F91=4,$D91&gt;=DATE(2026,4,1),$C91&gt;=400000),"少額特例は40万円未満の資産だけです。","")&amp;IF(AND($F91=4,OR($D91&lt;DATE(2006,4,1),$D91&gt;DATE(2029,3,31))),"少額特例は2006年4月1日〜2029年3月31日に取得した資産だけです。","")&amp;IF(AND($F91=2,$G91=250,$D91&gt;DATE(2012,12,31)),"250%定率法は2012年12月31日までの取得だけです。","")</f>
        <v/>
      </c>
      <c r="AJ91" s="68">
        <f>IF(AND($F91=2,'固定資産台帳'!$H91="定率法（200%）",$D91&lt;DATE(2012,4,1)),"2012年3月31日までの取得に200%を使うのは、経過措置の届出をした場合です。","")&amp;IF(AND($F91=2,'固定資産台帳'!$H91="定率法（250%）",$D91&gt;=DATE(2012,4,1),$D91&lt;=DATE(2012,12,31)),"2012年4〜12月の取得に250%を使うのは、経過措置を選んだ場合です。","")</f>
        <v/>
      </c>
      <c r="AK91" s="68">
        <f>IF($U91=0,"",IF($V91&lt;0,"表示している年より後に使い始める資産です。",IF($AE91=1,"売却・除却済みです。",IF($AD91=1,"この年に売却・除却。期末の帳簿価額 "&amp;TEXT($Y91,"#,##0")&amp;"円を帳簿から外します。",IF($F91=4,IF($V91=0,"少額特例：この年に全額を経費にします。","少額特例で経費にした資産です。"),IF($F91=3,IF($V91&gt;2,"一括償却は終わっています。","一括償却 "&amp;($V91+1)&amp;"年目（3年のうち）。"),IF($Z91=0,"償却済み（帳簿価額 "&amp;TEXT($Y91,"#,##0")&amp;"円）。",IF($AA91&gt;0,"改定償却率で計算（改定取得価額 "&amp;TEXT($AA91,"#,##0")&amp;"円）。",IF($V91=0,"この年に使い始め（"&amp;$AB91&amp;"か月分）。","")))))))))</f>
        <v/>
      </c>
      <c r="AL91" s="68">
        <f>IF(AND($U91=1,$F91=4,$V91=0),$C91,0)</f>
        <v/>
      </c>
      <c r="AM91" s="68">
        <f>IF($F91=2,INT(ROUND($M91,6)+$B$4),0)</f>
        <v/>
      </c>
      <c r="AN91" s="68">
        <f>IF($W91=0,0,IF($F91=2,IF($AA91&gt;0,$AA91,$X91),$C91))</f>
        <v/>
      </c>
      <c r="AO91" s="68">
        <f>IF($W91=0,"",IF($F91=3,"1/3",IF($F91=4,"―",IF($AA91&gt;0,$K91,$J91))))</f>
        <v/>
      </c>
      <c r="AP91" s="68" t="n"/>
      <c r="AQ91" s="68" t="n"/>
      <c r="AR91" s="68" t="n"/>
      <c r="AS91" s="68">
        <f>IF($U91=0,0,IF($F91=4,0,IF($F91=3,MAX($C91-INT(ROUND($C91/3,6)+$B$4),0),$C91-MIN(INT(ROUND($C91*$J91*IF($R91=0,$S91,$P91)/12,6)+$B$4),MAX($C91-$I91,0)))))</f>
        <v/>
      </c>
      <c r="AT91" s="68">
        <f>IF($U91=0,0,IF($F91=4,0,IF($F91=3,AS91-MIN(INT(ROUND($C91/3,6)+$B$4),AS91),IF(OR(1&gt;$R91,AS91&lt;=$I91),AS91,AS91-MIN(INT(ROUND(IF($F91=1,$C91*$J91,IF(ER91&gt;0,ER91*$K91,AS91*$J91))*IF(1=$R91,$S91,12)/12,6)+$B$4),AS91-$I91)))))</f>
        <v/>
      </c>
      <c r="AU91" s="68">
        <f>IF($U91=0,0,IF($F91=4,0,IF($F91=3,0,IF(OR(2&gt;$R91,AT91&lt;=$I91),AT91,AT91-MIN(INT(ROUND(IF($F91=1,$C91*$J91,IF(ES91&gt;0,ES91*$K91,AT91*$J91))*IF(2=$R91,$S91,12)/12,6)+$B$4),AT91-$I91)))))</f>
        <v/>
      </c>
      <c r="AV91" s="68">
        <f>IF($U91=0,0,IF($F91=4,0,IF($F91=3,0,IF(OR(3&gt;$R91,AU91&lt;=$I91),AU91,AU91-MIN(INT(ROUND(IF($F91=1,$C91*$J91,IF(ET91&gt;0,ET91*$K91,AU91*$J91))*IF(3=$R91,$S91,12)/12,6)+$B$4),AU91-$I91)))))</f>
        <v/>
      </c>
      <c r="AW91" s="68">
        <f>IF($U91=0,0,IF($F91=4,0,IF($F91=3,0,IF(OR(4&gt;$R91,AV91&lt;=$I91),AV91,AV91-MIN(INT(ROUND(IF($F91=1,$C91*$J91,IF(EU91&gt;0,EU91*$K91,AV91*$J91))*IF(4=$R91,$S91,12)/12,6)+$B$4),AV91-$I91)))))</f>
        <v/>
      </c>
      <c r="AX91" s="68">
        <f>IF($U91=0,0,IF($F91=4,0,IF($F91=3,0,IF(OR(5&gt;$R91,AW91&lt;=$I91),AW91,AW91-MIN(INT(ROUND(IF($F91=1,$C91*$J91,IF(EV91&gt;0,EV91*$K91,AW91*$J91))*IF(5=$R91,$S91,12)/12,6)+$B$4),AW91-$I91)))))</f>
        <v/>
      </c>
      <c r="AY91" s="68">
        <f>IF($U91=0,0,IF($F91=4,0,IF($F91=3,0,IF(OR(6&gt;$R91,AX91&lt;=$I91),AX91,AX91-MIN(INT(ROUND(IF($F91=1,$C91*$J91,IF(EW91&gt;0,EW91*$K91,AX91*$J91))*IF(6=$R91,$S91,12)/12,6)+$B$4),AX91-$I91)))))</f>
        <v/>
      </c>
      <c r="AZ91" s="68">
        <f>IF($U91=0,0,IF($F91=4,0,IF($F91=3,0,IF(OR(7&gt;$R91,AY91&lt;=$I91),AY91,AY91-MIN(INT(ROUND(IF($F91=1,$C91*$J91,IF(EX91&gt;0,EX91*$K91,AY91*$J91))*IF(7=$R91,$S91,12)/12,6)+$B$4),AY91-$I91)))))</f>
        <v/>
      </c>
      <c r="BA91" s="68">
        <f>IF($U91=0,0,IF($F91=4,0,IF($F91=3,0,IF(OR(8&gt;$R91,AZ91&lt;=$I91),AZ91,AZ91-MIN(INT(ROUND(IF($F91=1,$C91*$J91,IF(EY91&gt;0,EY91*$K91,AZ91*$J91))*IF(8=$R91,$S91,12)/12,6)+$B$4),AZ91-$I91)))))</f>
        <v/>
      </c>
      <c r="BB91" s="68">
        <f>IF($U91=0,0,IF($F91=4,0,IF($F91=3,0,IF(OR(9&gt;$R91,BA91&lt;=$I91),BA91,BA91-MIN(INT(ROUND(IF($F91=1,$C91*$J91,IF(EZ91&gt;0,EZ91*$K91,BA91*$J91))*IF(9=$R91,$S91,12)/12,6)+$B$4),BA91-$I91)))))</f>
        <v/>
      </c>
      <c r="BC91" s="68">
        <f>IF($U91=0,0,IF($F91=4,0,IF($F91=3,0,IF(OR(10&gt;$R91,BB91&lt;=$I91),BB91,BB91-MIN(INT(ROUND(IF($F91=1,$C91*$J91,IF(FA91&gt;0,FA91*$K91,BB91*$J91))*IF(10=$R91,$S91,12)/12,6)+$B$4),BB91-$I91)))))</f>
        <v/>
      </c>
      <c r="BD91" s="68">
        <f>IF($U91=0,0,IF($F91=4,0,IF($F91=3,0,IF(OR(11&gt;$R91,BC91&lt;=$I91),BC91,BC91-MIN(INT(ROUND(IF($F91=1,$C91*$J91,IF(FB91&gt;0,FB91*$K91,BC91*$J91))*IF(11=$R91,$S91,12)/12,6)+$B$4),BC91-$I91)))))</f>
        <v/>
      </c>
      <c r="BE91" s="68">
        <f>IF($U91=0,0,IF($F91=4,0,IF($F91=3,0,IF(OR(12&gt;$R91,BD91&lt;=$I91),BD91,BD91-MIN(INT(ROUND(IF($F91=1,$C91*$J91,IF(FC91&gt;0,FC91*$K91,BD91*$J91))*IF(12=$R91,$S91,12)/12,6)+$B$4),BD91-$I91)))))</f>
        <v/>
      </c>
      <c r="BF91" s="68">
        <f>IF($U91=0,0,IF($F91=4,0,IF($F91=3,0,IF(OR(13&gt;$R91,BE91&lt;=$I91),BE91,BE91-MIN(INT(ROUND(IF($F91=1,$C91*$J91,IF(FD91&gt;0,FD91*$K91,BE91*$J91))*IF(13=$R91,$S91,12)/12,6)+$B$4),BE91-$I91)))))</f>
        <v/>
      </c>
      <c r="BG91" s="68">
        <f>IF($U91=0,0,IF($F91=4,0,IF($F91=3,0,IF(OR(14&gt;$R91,BF91&lt;=$I91),BF91,BF91-MIN(INT(ROUND(IF($F91=1,$C91*$J91,IF(FE91&gt;0,FE91*$K91,BF91*$J91))*IF(14=$R91,$S91,12)/12,6)+$B$4),BF91-$I91)))))</f>
        <v/>
      </c>
      <c r="BH91" s="68">
        <f>IF($U91=0,0,IF($F91=4,0,IF($F91=3,0,IF(OR(15&gt;$R91,BG91&lt;=$I91),BG91,BG91-MIN(INT(ROUND(IF($F91=1,$C91*$J91,IF(FF91&gt;0,FF91*$K91,BG91*$J91))*IF(15=$R91,$S91,12)/12,6)+$B$4),BG91-$I91)))))</f>
        <v/>
      </c>
      <c r="BI91" s="68">
        <f>IF($U91=0,0,IF($F91=4,0,IF($F91=3,0,IF(OR(16&gt;$R91,BH91&lt;=$I91),BH91,BH91-MIN(INT(ROUND(IF($F91=1,$C91*$J91,IF(FG91&gt;0,FG91*$K91,BH91*$J91))*IF(16=$R91,$S91,12)/12,6)+$B$4),BH91-$I91)))))</f>
        <v/>
      </c>
      <c r="BJ91" s="68">
        <f>IF($U91=0,0,IF($F91=4,0,IF($F91=3,0,IF(OR(17&gt;$R91,BI91&lt;=$I91),BI91,BI91-MIN(INT(ROUND(IF($F91=1,$C91*$J91,IF(FH91&gt;0,FH91*$K91,BI91*$J91))*IF(17=$R91,$S91,12)/12,6)+$B$4),BI91-$I91)))))</f>
        <v/>
      </c>
      <c r="BK91" s="68">
        <f>IF($U91=0,0,IF($F91=4,0,IF($F91=3,0,IF(OR(18&gt;$R91,BJ91&lt;=$I91),BJ91,BJ91-MIN(INT(ROUND(IF($F91=1,$C91*$J91,IF(FI91&gt;0,FI91*$K91,BJ91*$J91))*IF(18=$R91,$S91,12)/12,6)+$B$4),BJ91-$I91)))))</f>
        <v/>
      </c>
      <c r="BL91" s="68">
        <f>IF($U91=0,0,IF($F91=4,0,IF($F91=3,0,IF(OR(19&gt;$R91,BK91&lt;=$I91),BK91,BK91-MIN(INT(ROUND(IF($F91=1,$C91*$J91,IF(FJ91&gt;0,FJ91*$K91,BK91*$J91))*IF(19=$R91,$S91,12)/12,6)+$B$4),BK91-$I91)))))</f>
        <v/>
      </c>
      <c r="BM91" s="68">
        <f>IF($U91=0,0,IF($F91=4,0,IF($F91=3,0,IF(OR(20&gt;$R91,BL91&lt;=$I91),BL91,BL91-MIN(INT(ROUND(IF($F91=1,$C91*$J91,IF(FK91&gt;0,FK91*$K91,BL91*$J91))*IF(20=$R91,$S91,12)/12,6)+$B$4),BL91-$I91)))))</f>
        <v/>
      </c>
      <c r="BN91" s="68">
        <f>IF($U91=0,0,IF($F91=4,0,IF($F91=3,0,IF(OR(21&gt;$R91,BM91&lt;=$I91),BM91,BM91-MIN(INT(ROUND(IF($F91=1,$C91*$J91,IF(FL91&gt;0,FL91*$K91,BM91*$J91))*IF(21=$R91,$S91,12)/12,6)+$B$4),BM91-$I91)))))</f>
        <v/>
      </c>
      <c r="BO91" s="68">
        <f>IF($U91=0,0,IF($F91=4,0,IF($F91=3,0,IF(OR(22&gt;$R91,BN91&lt;=$I91),BN91,BN91-MIN(INT(ROUND(IF($F91=1,$C91*$J91,IF(FM91&gt;0,FM91*$K91,BN91*$J91))*IF(22=$R91,$S91,12)/12,6)+$B$4),BN91-$I91)))))</f>
        <v/>
      </c>
      <c r="BP91" s="68">
        <f>IF($U91=0,0,IF($F91=4,0,IF($F91=3,0,IF(OR(23&gt;$R91,BO91&lt;=$I91),BO91,BO91-MIN(INT(ROUND(IF($F91=1,$C91*$J91,IF(FN91&gt;0,FN91*$K91,BO91*$J91))*IF(23=$R91,$S91,12)/12,6)+$B$4),BO91-$I91)))))</f>
        <v/>
      </c>
      <c r="BQ91" s="68">
        <f>IF($U91=0,0,IF($F91=4,0,IF($F91=3,0,IF(OR(24&gt;$R91,BP91&lt;=$I91),BP91,BP91-MIN(INT(ROUND(IF($F91=1,$C91*$J91,IF(FO91&gt;0,FO91*$K91,BP91*$J91))*IF(24=$R91,$S91,12)/12,6)+$B$4),BP91-$I91)))))</f>
        <v/>
      </c>
      <c r="BR91" s="68">
        <f>IF($U91=0,0,IF($F91=4,0,IF($F91=3,0,IF(OR(25&gt;$R91,BQ91&lt;=$I91),BQ91,BQ91-MIN(INT(ROUND(IF($F91=1,$C91*$J91,IF(FP91&gt;0,FP91*$K91,BQ91*$J91))*IF(25=$R91,$S91,12)/12,6)+$B$4),BQ91-$I91)))))</f>
        <v/>
      </c>
      <c r="BS91" s="68">
        <f>IF($U91=0,0,IF($F91=4,0,IF($F91=3,0,IF(OR(26&gt;$R91,BR91&lt;=$I91),BR91,BR91-MIN(INT(ROUND(IF($F91=1,$C91*$J91,IF(FQ91&gt;0,FQ91*$K91,BR91*$J91))*IF(26=$R91,$S91,12)/12,6)+$B$4),BR91-$I91)))))</f>
        <v/>
      </c>
      <c r="BT91" s="68">
        <f>IF($U91=0,0,IF($F91=4,0,IF($F91=3,0,IF(OR(27&gt;$R91,BS91&lt;=$I91),BS91,BS91-MIN(INT(ROUND(IF($F91=1,$C91*$J91,IF(FR91&gt;0,FR91*$K91,BS91*$J91))*IF(27=$R91,$S91,12)/12,6)+$B$4),BS91-$I91)))))</f>
        <v/>
      </c>
      <c r="BU91" s="68">
        <f>IF($U91=0,0,IF($F91=4,0,IF($F91=3,0,IF(OR(28&gt;$R91,BT91&lt;=$I91),BT91,BT91-MIN(INT(ROUND(IF($F91=1,$C91*$J91,IF(FS91&gt;0,FS91*$K91,BT91*$J91))*IF(28=$R91,$S91,12)/12,6)+$B$4),BT91-$I91)))))</f>
        <v/>
      </c>
      <c r="BV91" s="68">
        <f>IF($U91=0,0,IF($F91=4,0,IF($F91=3,0,IF(OR(29&gt;$R91,BU91&lt;=$I91),BU91,BU91-MIN(INT(ROUND(IF($F91=1,$C91*$J91,IF(FT91&gt;0,FT91*$K91,BU91*$J91))*IF(29=$R91,$S91,12)/12,6)+$B$4),BU91-$I91)))))</f>
        <v/>
      </c>
      <c r="BW91" s="68">
        <f>IF($U91=0,0,IF($F91=4,0,IF($F91=3,0,IF(OR(30&gt;$R91,BV91&lt;=$I91),BV91,BV91-MIN(INT(ROUND(IF($F91=1,$C91*$J91,IF(FU91&gt;0,FU91*$K91,BV91*$J91))*IF(30=$R91,$S91,12)/12,6)+$B$4),BV91-$I91)))))</f>
        <v/>
      </c>
      <c r="BX91" s="68">
        <f>IF($U91=0,0,IF($F91=4,0,IF($F91=3,0,IF(OR(31&gt;$R91,BW91&lt;=$I91),BW91,BW91-MIN(INT(ROUND(IF($F91=1,$C91*$J91,IF(FV91&gt;0,FV91*$K91,BW91*$J91))*IF(31=$R91,$S91,12)/12,6)+$B$4),BW91-$I91)))))</f>
        <v/>
      </c>
      <c r="BY91" s="68">
        <f>IF($U91=0,0,IF($F91=4,0,IF($F91=3,0,IF(OR(32&gt;$R91,BX91&lt;=$I91),BX91,BX91-MIN(INT(ROUND(IF($F91=1,$C91*$J91,IF(FW91&gt;0,FW91*$K91,BX91*$J91))*IF(32=$R91,$S91,12)/12,6)+$B$4),BX91-$I91)))))</f>
        <v/>
      </c>
      <c r="BZ91" s="68">
        <f>IF($U91=0,0,IF($F91=4,0,IF($F91=3,0,IF(OR(33&gt;$R91,BY91&lt;=$I91),BY91,BY91-MIN(INT(ROUND(IF($F91=1,$C91*$J91,IF(FX91&gt;0,FX91*$K91,BY91*$J91))*IF(33=$R91,$S91,12)/12,6)+$B$4),BY91-$I91)))))</f>
        <v/>
      </c>
      <c r="CA91" s="68">
        <f>IF($U91=0,0,IF($F91=4,0,IF($F91=3,0,IF(OR(34&gt;$R91,BZ91&lt;=$I91),BZ91,BZ91-MIN(INT(ROUND(IF($F91=1,$C91*$J91,IF(FY91&gt;0,FY91*$K91,BZ91*$J91))*IF(34=$R91,$S91,12)/12,6)+$B$4),BZ91-$I91)))))</f>
        <v/>
      </c>
      <c r="CB91" s="68">
        <f>IF($U91=0,0,IF($F91=4,0,IF($F91=3,0,IF(OR(35&gt;$R91,CA91&lt;=$I91),CA91,CA91-MIN(INT(ROUND(IF($F91=1,$C91*$J91,IF(FZ91&gt;0,FZ91*$K91,CA91*$J91))*IF(35=$R91,$S91,12)/12,6)+$B$4),CA91-$I91)))))</f>
        <v/>
      </c>
      <c r="CC91" s="68">
        <f>IF($U91=0,0,IF($F91=4,0,IF($F91=3,0,IF(OR(36&gt;$R91,CB91&lt;=$I91),CB91,CB91-MIN(INT(ROUND(IF($F91=1,$C91*$J91,IF(GA91&gt;0,GA91*$K91,CB91*$J91))*IF(36=$R91,$S91,12)/12,6)+$B$4),CB91-$I91)))))</f>
        <v/>
      </c>
      <c r="CD91" s="68">
        <f>IF($U91=0,0,IF($F91=4,0,IF($F91=3,0,IF(OR(37&gt;$R91,CC91&lt;=$I91),CC91,CC91-MIN(INT(ROUND(IF($F91=1,$C91*$J91,IF(GB91&gt;0,GB91*$K91,CC91*$J91))*IF(37=$R91,$S91,12)/12,6)+$B$4),CC91-$I91)))))</f>
        <v/>
      </c>
      <c r="CE91" s="68">
        <f>IF($U91=0,0,IF($F91=4,0,IF($F91=3,0,IF(OR(38&gt;$R91,CD91&lt;=$I91),CD91,CD91-MIN(INT(ROUND(IF($F91=1,$C91*$J91,IF(GC91&gt;0,GC91*$K91,CD91*$J91))*IF(38=$R91,$S91,12)/12,6)+$B$4),CD91-$I91)))))</f>
        <v/>
      </c>
      <c r="CF91" s="68">
        <f>IF($U91=0,0,IF($F91=4,0,IF($F91=3,0,IF(OR(39&gt;$R91,CE91&lt;=$I91),CE91,CE91-MIN(INT(ROUND(IF($F91=1,$C91*$J91,IF(GD91&gt;0,GD91*$K91,CE91*$J91))*IF(39=$R91,$S91,12)/12,6)+$B$4),CE91-$I91)))))</f>
        <v/>
      </c>
      <c r="CG91" s="68">
        <f>IF($U91=0,0,IF($F91=4,0,IF($F91=3,0,IF(OR(40&gt;$R91,CF91&lt;=$I91),CF91,CF91-MIN(INT(ROUND(IF($F91=1,$C91*$J91,IF(GE91&gt;0,GE91*$K91,CF91*$J91))*IF(40=$R91,$S91,12)/12,6)+$B$4),CF91-$I91)))))</f>
        <v/>
      </c>
      <c r="CH91" s="68">
        <f>IF($U91=0,0,IF($F91=4,0,IF($F91=3,0,IF(OR(41&gt;$R91,CG91&lt;=$I91),CG91,CG91-MIN(INT(ROUND(IF($F91=1,$C91*$J91,IF(GF91&gt;0,GF91*$K91,CG91*$J91))*IF(41=$R91,$S91,12)/12,6)+$B$4),CG91-$I91)))))</f>
        <v/>
      </c>
      <c r="CI91" s="68">
        <f>IF($U91=0,0,IF($F91=4,0,IF($F91=3,0,IF(OR(42&gt;$R91,CH91&lt;=$I91),CH91,CH91-MIN(INT(ROUND(IF($F91=1,$C91*$J91,IF(GG91&gt;0,GG91*$K91,CH91*$J91))*IF(42=$R91,$S91,12)/12,6)+$B$4),CH91-$I91)))))</f>
        <v/>
      </c>
      <c r="CJ91" s="68">
        <f>IF($U91=0,0,IF($F91=4,0,IF($F91=3,0,IF(OR(43&gt;$R91,CI91&lt;=$I91),CI91,CI91-MIN(INT(ROUND(IF($F91=1,$C91*$J91,IF(GH91&gt;0,GH91*$K91,CI91*$J91))*IF(43=$R91,$S91,12)/12,6)+$B$4),CI91-$I91)))))</f>
        <v/>
      </c>
      <c r="CK91" s="68">
        <f>IF($U91=0,0,IF($F91=4,0,IF($F91=3,0,IF(OR(44&gt;$R91,CJ91&lt;=$I91),CJ91,CJ91-MIN(INT(ROUND(IF($F91=1,$C91*$J91,IF(GI91&gt;0,GI91*$K91,CJ91*$J91))*IF(44=$R91,$S91,12)/12,6)+$B$4),CJ91-$I91)))))</f>
        <v/>
      </c>
      <c r="CL91" s="68">
        <f>IF($U91=0,0,IF($F91=4,0,IF($F91=3,0,IF(OR(45&gt;$R91,CK91&lt;=$I91),CK91,CK91-MIN(INT(ROUND(IF($F91=1,$C91*$J91,IF(GJ91&gt;0,GJ91*$K91,CK91*$J91))*IF(45=$R91,$S91,12)/12,6)+$B$4),CK91-$I91)))))</f>
        <v/>
      </c>
      <c r="CM91" s="68">
        <f>IF($U91=0,0,IF($F91=4,0,IF($F91=3,0,IF(OR(46&gt;$R91,CL91&lt;=$I91),CL91,CL91-MIN(INT(ROUND(IF($F91=1,$C91*$J91,IF(GK91&gt;0,GK91*$K91,CL91*$J91))*IF(46=$R91,$S91,12)/12,6)+$B$4),CL91-$I91)))))</f>
        <v/>
      </c>
      <c r="CN91" s="68">
        <f>IF($U91=0,0,IF($F91=4,0,IF($F91=3,0,IF(OR(47&gt;$R91,CM91&lt;=$I91),CM91,CM91-MIN(INT(ROUND(IF($F91=1,$C91*$J91,IF(GL91&gt;0,GL91*$K91,CM91*$J91))*IF(47=$R91,$S91,12)/12,6)+$B$4),CM91-$I91)))))</f>
        <v/>
      </c>
      <c r="CO91" s="68">
        <f>IF($U91=0,0,IF($F91=4,0,IF($F91=3,0,IF(OR(48&gt;$R91,CN91&lt;=$I91),CN91,CN91-MIN(INT(ROUND(IF($F91=1,$C91*$J91,IF(GM91&gt;0,GM91*$K91,CN91*$J91))*IF(48=$R91,$S91,12)/12,6)+$B$4),CN91-$I91)))))</f>
        <v/>
      </c>
      <c r="CP91" s="68">
        <f>IF($U91=0,0,IF($F91=4,0,IF($F91=3,0,IF(OR(49&gt;$R91,CO91&lt;=$I91),CO91,CO91-MIN(INT(ROUND(IF($F91=1,$C91*$J91,IF(GN91&gt;0,GN91*$K91,CO91*$J91))*IF(49=$R91,$S91,12)/12,6)+$B$4),CO91-$I91)))))</f>
        <v/>
      </c>
      <c r="CQ91" s="68">
        <f>IF($U91=0,0,IF($F91=4,0,IF($F91=3,0,IF(OR(50&gt;$R91,CP91&lt;=$I91),CP91,CP91-MIN(INT(ROUND(IF($F91=1,$C91*$J91,IF(GO91&gt;0,GO91*$K91,CP91*$J91))*IF(50=$R91,$S91,12)/12,6)+$B$4),CP91-$I91)))))</f>
        <v/>
      </c>
      <c r="CR91" s="68">
        <f>IF($U91=0,0,IF($F91=4,0,IF($F91=3,0,IF(OR(51&gt;$R91,CQ91&lt;=$I91),CQ91,CQ91-MIN(INT(ROUND(IF($F91=1,$C91*$J91,IF(GP91&gt;0,GP91*$K91,CQ91*$J91))*IF(51=$R91,$S91,12)/12,6)+$B$4),CQ91-$I91)))))</f>
        <v/>
      </c>
      <c r="CS91" s="68">
        <f>IF($U91=0,0,IF($F91=4,0,IF($F91=3,0,IF(OR(52&gt;$R91,CR91&lt;=$I91),CR91,CR91-MIN(INT(ROUND(IF($F91=1,$C91*$J91,IF(GQ91&gt;0,GQ91*$K91,CR91*$J91))*IF(52=$R91,$S91,12)/12,6)+$B$4),CR91-$I91)))))</f>
        <v/>
      </c>
      <c r="CT91" s="68">
        <f>IF($U91=0,0,IF($F91=4,0,IF($F91=3,0,IF(OR(53&gt;$R91,CS91&lt;=$I91),CS91,CS91-MIN(INT(ROUND(IF($F91=1,$C91*$J91,IF(GR91&gt;0,GR91*$K91,CS91*$J91))*IF(53=$R91,$S91,12)/12,6)+$B$4),CS91-$I91)))))</f>
        <v/>
      </c>
      <c r="CU91" s="68">
        <f>IF($U91=0,0,IF($F91=4,0,IF($F91=3,0,IF(OR(54&gt;$R91,CT91&lt;=$I91),CT91,CT91-MIN(INT(ROUND(IF($F91=1,$C91*$J91,IF(GS91&gt;0,GS91*$K91,CT91*$J91))*IF(54=$R91,$S91,12)/12,6)+$B$4),CT91-$I91)))))</f>
        <v/>
      </c>
      <c r="CV91" s="68">
        <f>IF($U91=0,0,IF($F91=4,0,IF($F91=3,0,IF(OR(55&gt;$R91,CU91&lt;=$I91),CU91,CU91-MIN(INT(ROUND(IF($F91=1,$C91*$J91,IF(GT91&gt;0,GT91*$K91,CU91*$J91))*IF(55=$R91,$S91,12)/12,6)+$B$4),CU91-$I91)))))</f>
        <v/>
      </c>
      <c r="CW91" s="68">
        <f>IF($U91=0,0,IF($F91=4,0,IF($F91=3,0,IF(OR(56&gt;$R91,CV91&lt;=$I91),CV91,CV91-MIN(INT(ROUND(IF($F91=1,$C91*$J91,IF(GU91&gt;0,GU91*$K91,CV91*$J91))*IF(56=$R91,$S91,12)/12,6)+$B$4),CV91-$I91)))))</f>
        <v/>
      </c>
      <c r="CX91" s="68">
        <f>IF($U91=0,0,IF($F91=4,0,IF($F91=3,0,IF(OR(57&gt;$R91,CW91&lt;=$I91),CW91,CW91-MIN(INT(ROUND(IF($F91=1,$C91*$J91,IF(GV91&gt;0,GV91*$K91,CW91*$J91))*IF(57=$R91,$S91,12)/12,6)+$B$4),CW91-$I91)))))</f>
        <v/>
      </c>
      <c r="CY91" s="68">
        <f>IF($U91=0,0,IF($F91=4,0,IF($F91=3,0,IF(OR(58&gt;$R91,CX91&lt;=$I91),CX91,CX91-MIN(INT(ROUND(IF($F91=1,$C91*$J91,IF(GW91&gt;0,GW91*$K91,CX91*$J91))*IF(58=$R91,$S91,12)/12,6)+$B$4),CX91-$I91)))))</f>
        <v/>
      </c>
      <c r="CZ91" s="68">
        <f>IF($U91=0,0,IF($F91=4,0,IF($F91=3,0,IF(OR(59&gt;$R91,CY91&lt;=$I91),CY91,CY91-MIN(INT(ROUND(IF($F91=1,$C91*$J91,IF(GX91&gt;0,GX91*$K91,CY91*$J91))*IF(59=$R91,$S91,12)/12,6)+$B$4),CY91-$I91)))))</f>
        <v/>
      </c>
      <c r="DA91" s="68">
        <f>IF($U91=0,0,IF($F91=4,0,IF($F91=3,0,IF(OR(60&gt;$R91,CZ91&lt;=$I91),CZ91,CZ91-MIN(INT(ROUND(IF($F91=1,$C91*$J91,IF(GY91&gt;0,GY91*$K91,CZ91*$J91))*IF(60=$R91,$S91,12)/12,6)+$B$4),CZ91-$I91)))))</f>
        <v/>
      </c>
      <c r="DB91" s="68">
        <f>IF($U91=0,0,IF($F91=4,0,IF($F91=3,0,IF(OR(61&gt;$R91,DA91&lt;=$I91),DA91,DA91-MIN(INT(ROUND(IF($F91=1,$C91*$J91,IF(GZ91&gt;0,GZ91*$K91,DA91*$J91))*IF(61=$R91,$S91,12)/12,6)+$B$4),DA91-$I91)))))</f>
        <v/>
      </c>
      <c r="DC91" s="68">
        <f>IF($U91=0,0,IF($F91=4,0,IF($F91=3,0,IF(OR(62&gt;$R91,DB91&lt;=$I91),DB91,DB91-MIN(INT(ROUND(IF($F91=1,$C91*$J91,IF(HA91&gt;0,HA91*$K91,DB91*$J91))*IF(62=$R91,$S91,12)/12,6)+$B$4),DB91-$I91)))))</f>
        <v/>
      </c>
      <c r="DD91" s="68">
        <f>IF($U91=0,0,IF($F91=4,0,IF($F91=3,0,IF(OR(63&gt;$R91,DC91&lt;=$I91),DC91,DC91-MIN(INT(ROUND(IF($F91=1,$C91*$J91,IF(HB91&gt;0,HB91*$K91,DC91*$J91))*IF(63=$R91,$S91,12)/12,6)+$B$4),DC91-$I91)))))</f>
        <v/>
      </c>
      <c r="DE91" s="68">
        <f>IF($U91=0,0,IF($F91=4,0,IF($F91=3,0,IF(OR(64&gt;$R91,DD91&lt;=$I91),DD91,DD91-MIN(INT(ROUND(IF($F91=1,$C91*$J91,IF(HC91&gt;0,HC91*$K91,DD91*$J91))*IF(64=$R91,$S91,12)/12,6)+$B$4),DD91-$I91)))))</f>
        <v/>
      </c>
      <c r="DF91" s="68">
        <f>IF($U91=0,0,IF($F91=4,0,IF($F91=3,0,IF(OR(65&gt;$R91,DE91&lt;=$I91),DE91,DE91-MIN(INT(ROUND(IF($F91=1,$C91*$J91,IF(HD91&gt;0,HD91*$K91,DE91*$J91))*IF(65=$R91,$S91,12)/12,6)+$B$4),DE91-$I91)))))</f>
        <v/>
      </c>
      <c r="DG91" s="68">
        <f>IF($U91=0,0,IF($F91=4,0,IF($F91=3,0,IF(OR(66&gt;$R91,DF91&lt;=$I91),DF91,DF91-MIN(INT(ROUND(IF($F91=1,$C91*$J91,IF(HE91&gt;0,HE91*$K91,DF91*$J91))*IF(66=$R91,$S91,12)/12,6)+$B$4),DF91-$I91)))))</f>
        <v/>
      </c>
      <c r="DH91" s="68">
        <f>IF($U91=0,0,IF($F91=4,0,IF($F91=3,0,IF(OR(67&gt;$R91,DG91&lt;=$I91),DG91,DG91-MIN(INT(ROUND(IF($F91=1,$C91*$J91,IF(HF91&gt;0,HF91*$K91,DG91*$J91))*IF(67=$R91,$S91,12)/12,6)+$B$4),DG91-$I91)))))</f>
        <v/>
      </c>
      <c r="DI91" s="68">
        <f>IF($U91=0,0,IF($F91=4,0,IF($F91=3,0,IF(OR(68&gt;$R91,DH91&lt;=$I91),DH91,DH91-MIN(INT(ROUND(IF($F91=1,$C91*$J91,IF(HG91&gt;0,HG91*$K91,DH91*$J91))*IF(68=$R91,$S91,12)/12,6)+$B$4),DH91-$I91)))))</f>
        <v/>
      </c>
      <c r="DJ91" s="68">
        <f>IF($U91=0,0,IF($F91=4,0,IF($F91=3,0,IF(OR(69&gt;$R91,DI91&lt;=$I91),DI91,DI91-MIN(INT(ROUND(IF($F91=1,$C91*$J91,IF(HH91&gt;0,HH91*$K91,DI91*$J91))*IF(69=$R91,$S91,12)/12,6)+$B$4),DI91-$I91)))))</f>
        <v/>
      </c>
      <c r="DK91" s="68">
        <f>IF($U91=0,0,IF($F91=4,0,IF($F91=3,0,IF(OR(70&gt;$R91,DJ91&lt;=$I91),DJ91,DJ91-MIN(INT(ROUND(IF($F91=1,$C91*$J91,IF(HI91&gt;0,HI91*$K91,DJ91*$J91))*IF(70=$R91,$S91,12)/12,6)+$B$4),DJ91-$I91)))))</f>
        <v/>
      </c>
      <c r="DL91" s="68">
        <f>IF($U91=0,0,IF($F91=4,0,IF($F91=3,0,IF(OR(71&gt;$R91,DK91&lt;=$I91),DK91,DK91-MIN(INT(ROUND(IF($F91=1,$C91*$J91,IF(HJ91&gt;0,HJ91*$K91,DK91*$J91))*IF(71=$R91,$S91,12)/12,6)+$B$4),DK91-$I91)))))</f>
        <v/>
      </c>
      <c r="DM91" s="68">
        <f>IF($U91=0,0,IF($F91=4,0,IF($F91=3,0,IF(OR(72&gt;$R91,DL91&lt;=$I91),DL91,DL91-MIN(INT(ROUND(IF($F91=1,$C91*$J91,IF(HK91&gt;0,HK91*$K91,DL91*$J91))*IF(72=$R91,$S91,12)/12,6)+$B$4),DL91-$I91)))))</f>
        <v/>
      </c>
      <c r="DN91" s="68">
        <f>IF($U91=0,0,IF($F91=4,0,IF($F91=3,0,IF(OR(73&gt;$R91,DM91&lt;=$I91),DM91,DM91-MIN(INT(ROUND(IF($F91=1,$C91*$J91,IF(HL91&gt;0,HL91*$K91,DM91*$J91))*IF(73=$R91,$S91,12)/12,6)+$B$4),DM91-$I91)))))</f>
        <v/>
      </c>
      <c r="DO91" s="68">
        <f>IF($U91=0,0,IF($F91=4,0,IF($F91=3,0,IF(OR(74&gt;$R91,DN91&lt;=$I91),DN91,DN91-MIN(INT(ROUND(IF($F91=1,$C91*$J91,IF(HM91&gt;0,HM91*$K91,DN91*$J91))*IF(74=$R91,$S91,12)/12,6)+$B$4),DN91-$I91)))))</f>
        <v/>
      </c>
      <c r="DP91" s="68">
        <f>IF($U91=0,0,IF($F91=4,0,IF($F91=3,0,IF(OR(75&gt;$R91,DO91&lt;=$I91),DO91,DO91-MIN(INT(ROUND(IF($F91=1,$C91*$J91,IF(HN91&gt;0,HN91*$K91,DO91*$J91))*IF(75=$R91,$S91,12)/12,6)+$B$4),DO91-$I91)))))</f>
        <v/>
      </c>
      <c r="DQ91" s="68">
        <f>IF($U91=0,0,IF($F91=4,0,IF($F91=3,0,IF(OR(76&gt;$R91,DP91&lt;=$I91),DP91,DP91-MIN(INT(ROUND(IF($F91=1,$C91*$J91,IF(HO91&gt;0,HO91*$K91,DP91*$J91))*IF(76=$R91,$S91,12)/12,6)+$B$4),DP91-$I91)))))</f>
        <v/>
      </c>
      <c r="DR91" s="68">
        <f>IF($U91=0,0,IF($F91=4,0,IF($F91=3,0,IF(OR(77&gt;$R91,DQ91&lt;=$I91),DQ91,DQ91-MIN(INT(ROUND(IF($F91=1,$C91*$J91,IF(HP91&gt;0,HP91*$K91,DQ91*$J91))*IF(77=$R91,$S91,12)/12,6)+$B$4),DQ91-$I91)))))</f>
        <v/>
      </c>
      <c r="DS91" s="68">
        <f>IF($U91=0,0,IF($F91=4,0,IF($F91=3,0,IF(OR(78&gt;$R91,DR91&lt;=$I91),DR91,DR91-MIN(INT(ROUND(IF($F91=1,$C91*$J91,IF(HQ91&gt;0,HQ91*$K91,DR91*$J91))*IF(78=$R91,$S91,12)/12,6)+$B$4),DR91-$I91)))))</f>
        <v/>
      </c>
      <c r="DT91" s="68">
        <f>IF($U91=0,0,IF($F91=4,0,IF($F91=3,0,IF(OR(79&gt;$R91,DS91&lt;=$I91),DS91,DS91-MIN(INT(ROUND(IF($F91=1,$C91*$J91,IF(HR91&gt;0,HR91*$K91,DS91*$J91))*IF(79=$R91,$S91,12)/12,6)+$B$4),DS91-$I91)))))</f>
        <v/>
      </c>
      <c r="DU91" s="68">
        <f>IF($U91=0,0,IF($F91=4,0,IF($F91=3,0,IF(OR(80&gt;$R91,DT91&lt;=$I91),DT91,DT91-MIN(INT(ROUND(IF($F91=1,$C91*$J91,IF(HS91&gt;0,HS91*$K91,DT91*$J91))*IF(80=$R91,$S91,12)/12,6)+$B$4),DT91-$I91)))))</f>
        <v/>
      </c>
      <c r="DV91" s="68">
        <f>IF($U91=0,0,IF($F91=4,0,IF($F91=3,0,IF(OR(81&gt;$R91,DU91&lt;=$I91),DU91,DU91-MIN(INT(ROUND(IF($F91=1,$C91*$J91,IF(HT91&gt;0,HT91*$K91,DU91*$J91))*IF(81=$R91,$S91,12)/12,6)+$B$4),DU91-$I91)))))</f>
        <v/>
      </c>
      <c r="DW91" s="68">
        <f>IF($U91=0,0,IF($F91=4,0,IF($F91=3,0,IF(OR(82&gt;$R91,DV91&lt;=$I91),DV91,DV91-MIN(INT(ROUND(IF($F91=1,$C91*$J91,IF(HU91&gt;0,HU91*$K91,DV91*$J91))*IF(82=$R91,$S91,12)/12,6)+$B$4),DV91-$I91)))))</f>
        <v/>
      </c>
      <c r="DX91" s="68">
        <f>IF($U91=0,0,IF($F91=4,0,IF($F91=3,0,IF(OR(83&gt;$R91,DW91&lt;=$I91),DW91,DW91-MIN(INT(ROUND(IF($F91=1,$C91*$J91,IF(HV91&gt;0,HV91*$K91,DW91*$J91))*IF(83=$R91,$S91,12)/12,6)+$B$4),DW91-$I91)))))</f>
        <v/>
      </c>
      <c r="DY91" s="68">
        <f>IF($U91=0,0,IF($F91=4,0,IF($F91=3,0,IF(OR(84&gt;$R91,DX91&lt;=$I91),DX91,DX91-MIN(INT(ROUND(IF($F91=1,$C91*$J91,IF(HW91&gt;0,HW91*$K91,DX91*$J91))*IF(84=$R91,$S91,12)/12,6)+$B$4),DX91-$I91)))))</f>
        <v/>
      </c>
      <c r="DZ91" s="68">
        <f>IF($U91=0,0,IF($F91=4,0,IF($F91=3,0,IF(OR(85&gt;$R91,DY91&lt;=$I91),DY91,DY91-MIN(INT(ROUND(IF($F91=1,$C91*$J91,IF(HX91&gt;0,HX91*$K91,DY91*$J91))*IF(85=$R91,$S91,12)/12,6)+$B$4),DY91-$I91)))))</f>
        <v/>
      </c>
      <c r="EA91" s="68">
        <f>IF($U91=0,0,IF($F91=4,0,IF($F91=3,0,IF(OR(86&gt;$R91,DZ91&lt;=$I91),DZ91,DZ91-MIN(INT(ROUND(IF($F91=1,$C91*$J91,IF(HY91&gt;0,HY91*$K91,DZ91*$J91))*IF(86=$R91,$S91,12)/12,6)+$B$4),DZ91-$I91)))))</f>
        <v/>
      </c>
      <c r="EB91" s="68">
        <f>IF($U91=0,0,IF($F91=4,0,IF($F91=3,0,IF(OR(87&gt;$R91,EA91&lt;=$I91),EA91,EA91-MIN(INT(ROUND(IF($F91=1,$C91*$J91,IF(HZ91&gt;0,HZ91*$K91,EA91*$J91))*IF(87=$R91,$S91,12)/12,6)+$B$4),EA91-$I91)))))</f>
        <v/>
      </c>
      <c r="EC91" s="68">
        <f>IF($U91=0,0,IF($F91=4,0,IF($F91=3,0,IF(OR(88&gt;$R91,EB91&lt;=$I91),EB91,EB91-MIN(INT(ROUND(IF($F91=1,$C91*$J91,IF(IA91&gt;0,IA91*$K91,EB91*$J91))*IF(88=$R91,$S91,12)/12,6)+$B$4),EB91-$I91)))))</f>
        <v/>
      </c>
      <c r="ED91" s="68">
        <f>IF($U91=0,0,IF($F91=4,0,IF($F91=3,0,IF(OR(89&gt;$R91,EC91&lt;=$I91),EC91,EC91-MIN(INT(ROUND(IF($F91=1,$C91*$J91,IF(IB91&gt;0,IB91*$K91,EC91*$J91))*IF(89=$R91,$S91,12)/12,6)+$B$4),EC91-$I91)))))</f>
        <v/>
      </c>
      <c r="EE91" s="68">
        <f>IF($U91=0,0,IF($F91=4,0,IF($F91=3,0,IF(OR(90&gt;$R91,ED91&lt;=$I91),ED91,ED91-MIN(INT(ROUND(IF($F91=1,$C91*$J91,IF(IC91&gt;0,IC91*$K91,ED91*$J91))*IF(90=$R91,$S91,12)/12,6)+$B$4),ED91-$I91)))))</f>
        <v/>
      </c>
      <c r="EF91" s="68">
        <f>IF($U91=0,0,IF($F91=4,0,IF($F91=3,0,IF(OR(91&gt;$R91,EE91&lt;=$I91),EE91,EE91-MIN(INT(ROUND(IF($F91=1,$C91*$J91,IF(ID91&gt;0,ID91*$K91,EE91*$J91))*IF(91=$R91,$S91,12)/12,6)+$B$4),EE91-$I91)))))</f>
        <v/>
      </c>
      <c r="EG91" s="68">
        <f>IF($U91=0,0,IF($F91=4,0,IF($F91=3,0,IF(OR(92&gt;$R91,EF91&lt;=$I91),EF91,EF91-MIN(INT(ROUND(IF($F91=1,$C91*$J91,IF(IE91&gt;0,IE91*$K91,EF91*$J91))*IF(92=$R91,$S91,12)/12,6)+$B$4),EF91-$I91)))))</f>
        <v/>
      </c>
      <c r="EH91" s="68">
        <f>IF($U91=0,0,IF($F91=4,0,IF($F91=3,0,IF(OR(93&gt;$R91,EG91&lt;=$I91),EG91,EG91-MIN(INT(ROUND(IF($F91=1,$C91*$J91,IF(IF91&gt;0,IF91*$K91,EG91*$J91))*IF(93=$R91,$S91,12)/12,6)+$B$4),EG91-$I91)))))</f>
        <v/>
      </c>
      <c r="EI91" s="68">
        <f>IF($U91=0,0,IF($F91=4,0,IF($F91=3,0,IF(OR(94&gt;$R91,EH91&lt;=$I91),EH91,EH91-MIN(INT(ROUND(IF($F91=1,$C91*$J91,IF(IG91&gt;0,IG91*$K91,EH91*$J91))*IF(94=$R91,$S91,12)/12,6)+$B$4),EH91-$I91)))))</f>
        <v/>
      </c>
      <c r="EJ91" s="68">
        <f>IF($U91=0,0,IF($F91=4,0,IF($F91=3,0,IF(OR(95&gt;$R91,EI91&lt;=$I91),EI91,EI91-MIN(INT(ROUND(IF($F91=1,$C91*$J91,IF(IH91&gt;0,IH91*$K91,EI91*$J91))*IF(95=$R91,$S91,12)/12,6)+$B$4),EI91-$I91)))))</f>
        <v/>
      </c>
      <c r="EK91" s="68">
        <f>IF($U91=0,0,IF($F91=4,0,IF($F91=3,0,IF(OR(96&gt;$R91,EJ91&lt;=$I91),EJ91,EJ91-MIN(INT(ROUND(IF($F91=1,$C91*$J91,IF(II91&gt;0,II91*$K91,EJ91*$J91))*IF(96=$R91,$S91,12)/12,6)+$B$4),EJ91-$I91)))))</f>
        <v/>
      </c>
      <c r="EL91" s="68">
        <f>IF($U91=0,0,IF($F91=4,0,IF($F91=3,0,IF(OR(97&gt;$R91,EK91&lt;=$I91),EK91,EK91-MIN(INT(ROUND(IF($F91=1,$C91*$J91,IF(IJ91&gt;0,IJ91*$K91,EK91*$J91))*IF(97=$R91,$S91,12)/12,6)+$B$4),EK91-$I91)))))</f>
        <v/>
      </c>
      <c r="EM91" s="68">
        <f>IF($U91=0,0,IF($F91=4,0,IF($F91=3,0,IF(OR(98&gt;$R91,EL91&lt;=$I91),EL91,EL91-MIN(INT(ROUND(IF($F91=1,$C91*$J91,IF(IK91&gt;0,IK91*$K91,EL91*$J91))*IF(98=$R91,$S91,12)/12,6)+$B$4),EL91-$I91)))))</f>
        <v/>
      </c>
      <c r="EN91" s="68">
        <f>IF($U91=0,0,IF($F91=4,0,IF($F91=3,0,IF(OR(99&gt;$R91,EM91&lt;=$I91),EM91,EM91-MIN(INT(ROUND(IF($F91=1,$C91*$J91,IF(IL91&gt;0,IL91*$K91,EM91*$J91))*IF(99=$R91,$S91,12)/12,6)+$B$4),EM91-$I91)))))</f>
        <v/>
      </c>
      <c r="EO91" s="68">
        <f>IF($U91=0,0,IF($F91=4,0,IF($F91=3,0,IF(OR(100&gt;$R91,EN91&lt;=$I91),EN91,EN91-MIN(INT(ROUND(IF($F91=1,$C91*$J91,IF(IM91&gt;0,IM91*$K91,EN91*$J91))*IF(100=$R91,$S91,12)/12,6)+$B$4),EN91-$I91)))))</f>
        <v/>
      </c>
      <c r="EP91" s="68">
        <f>IF($U91=0,0,IF($F91=4,0,IF($F91=3,0,IF(OR(101&gt;$R91,EO91&lt;=$I91),EO91,EO91-MIN(INT(ROUND(IF($F91=1,$C91*$J91,IF(IN91&gt;0,IN91*$K91,EO91*$J91))*IF(101=$R91,$S91,12)/12,6)+$B$4),EO91-$I91)))))</f>
        <v/>
      </c>
      <c r="EQ91" s="68" t="n"/>
      <c r="ER91" s="68">
        <f>IF(OR($U91=0,$F91&lt;&gt;2),0,IF(ROUND(AS91*$J91,6)&lt;ROUND($M91,6),AS91,0))</f>
        <v/>
      </c>
      <c r="ES91" s="68">
        <f>IF(OR($U91=0,$F91&lt;&gt;2),0,IF(ER91&gt;0,ER91,IF(ROUND(AT91*$J91,6)&lt;ROUND($M91,6),AT91,0)))</f>
        <v/>
      </c>
      <c r="ET91" s="68">
        <f>IF(OR($U91=0,$F91&lt;&gt;2),0,IF(ES91&gt;0,ES91,IF(ROUND(AU91*$J91,6)&lt;ROUND($M91,6),AU91,0)))</f>
        <v/>
      </c>
      <c r="EU91" s="68">
        <f>IF(OR($U91=0,$F91&lt;&gt;2),0,IF(ET91&gt;0,ET91,IF(ROUND(AV91*$J91,6)&lt;ROUND($M91,6),AV91,0)))</f>
        <v/>
      </c>
      <c r="EV91" s="68">
        <f>IF(OR($U91=0,$F91&lt;&gt;2),0,IF(EU91&gt;0,EU91,IF(ROUND(AW91*$J91,6)&lt;ROUND($M91,6),AW91,0)))</f>
        <v/>
      </c>
      <c r="EW91" s="68">
        <f>IF(OR($U91=0,$F91&lt;&gt;2),0,IF(EV91&gt;0,EV91,IF(ROUND(AX91*$J91,6)&lt;ROUND($M91,6),AX91,0)))</f>
        <v/>
      </c>
      <c r="EX91" s="68">
        <f>IF(OR($U91=0,$F91&lt;&gt;2),0,IF(EW91&gt;0,EW91,IF(ROUND(AY91*$J91,6)&lt;ROUND($M91,6),AY91,0)))</f>
        <v/>
      </c>
      <c r="EY91" s="68">
        <f>IF(OR($U91=0,$F91&lt;&gt;2),0,IF(EX91&gt;0,EX91,IF(ROUND(AZ91*$J91,6)&lt;ROUND($M91,6),AZ91,0)))</f>
        <v/>
      </c>
      <c r="EZ91" s="68">
        <f>IF(OR($U91=0,$F91&lt;&gt;2),0,IF(EY91&gt;0,EY91,IF(ROUND(BA91*$J91,6)&lt;ROUND($M91,6),BA91,0)))</f>
        <v/>
      </c>
      <c r="FA91" s="68">
        <f>IF(OR($U91=0,$F91&lt;&gt;2),0,IF(EZ91&gt;0,EZ91,IF(ROUND(BB91*$J91,6)&lt;ROUND($M91,6),BB91,0)))</f>
        <v/>
      </c>
      <c r="FB91" s="68">
        <f>IF(OR($U91=0,$F91&lt;&gt;2),0,IF(FA91&gt;0,FA91,IF(ROUND(BC91*$J91,6)&lt;ROUND($M91,6),BC91,0)))</f>
        <v/>
      </c>
      <c r="FC91" s="68">
        <f>IF(OR($U91=0,$F91&lt;&gt;2),0,IF(FB91&gt;0,FB91,IF(ROUND(BD91*$J91,6)&lt;ROUND($M91,6),BD91,0)))</f>
        <v/>
      </c>
      <c r="FD91" s="68">
        <f>IF(OR($U91=0,$F91&lt;&gt;2),0,IF(FC91&gt;0,FC91,IF(ROUND(BE91*$J91,6)&lt;ROUND($M91,6),BE91,0)))</f>
        <v/>
      </c>
      <c r="FE91" s="68">
        <f>IF(OR($U91=0,$F91&lt;&gt;2),0,IF(FD91&gt;0,FD91,IF(ROUND(BF91*$J91,6)&lt;ROUND($M91,6),BF91,0)))</f>
        <v/>
      </c>
      <c r="FF91" s="68">
        <f>IF(OR($U91=0,$F91&lt;&gt;2),0,IF(FE91&gt;0,FE91,IF(ROUND(BG91*$J91,6)&lt;ROUND($M91,6),BG91,0)))</f>
        <v/>
      </c>
      <c r="FG91" s="68">
        <f>IF(OR($U91=0,$F91&lt;&gt;2),0,IF(FF91&gt;0,FF91,IF(ROUND(BH91*$J91,6)&lt;ROUND($M91,6),BH91,0)))</f>
        <v/>
      </c>
      <c r="FH91" s="68">
        <f>IF(OR($U91=0,$F91&lt;&gt;2),0,IF(FG91&gt;0,FG91,IF(ROUND(BI91*$J91,6)&lt;ROUND($M91,6),BI91,0)))</f>
        <v/>
      </c>
      <c r="FI91" s="68">
        <f>IF(OR($U91=0,$F91&lt;&gt;2),0,IF(FH91&gt;0,FH91,IF(ROUND(BJ91*$J91,6)&lt;ROUND($M91,6),BJ91,0)))</f>
        <v/>
      </c>
      <c r="FJ91" s="68">
        <f>IF(OR($U91=0,$F91&lt;&gt;2),0,IF(FI91&gt;0,FI91,IF(ROUND(BK91*$J91,6)&lt;ROUND($M91,6),BK91,0)))</f>
        <v/>
      </c>
      <c r="FK91" s="68">
        <f>IF(OR($U91=0,$F91&lt;&gt;2),0,IF(FJ91&gt;0,FJ91,IF(ROUND(BL91*$J91,6)&lt;ROUND($M91,6),BL91,0)))</f>
        <v/>
      </c>
      <c r="FL91" s="68">
        <f>IF(OR($U91=0,$F91&lt;&gt;2),0,IF(FK91&gt;0,FK91,IF(ROUND(BM91*$J91,6)&lt;ROUND($M91,6),BM91,0)))</f>
        <v/>
      </c>
      <c r="FM91" s="68">
        <f>IF(OR($U91=0,$F91&lt;&gt;2),0,IF(FL91&gt;0,FL91,IF(ROUND(BN91*$J91,6)&lt;ROUND($M91,6),BN91,0)))</f>
        <v/>
      </c>
      <c r="FN91" s="68">
        <f>IF(OR($U91=0,$F91&lt;&gt;2),0,IF(FM91&gt;0,FM91,IF(ROUND(BO91*$J91,6)&lt;ROUND($M91,6),BO91,0)))</f>
        <v/>
      </c>
      <c r="FO91" s="68">
        <f>IF(OR($U91=0,$F91&lt;&gt;2),0,IF(FN91&gt;0,FN91,IF(ROUND(BP91*$J91,6)&lt;ROUND($M91,6),BP91,0)))</f>
        <v/>
      </c>
      <c r="FP91" s="68">
        <f>IF(OR($U91=0,$F91&lt;&gt;2),0,IF(FO91&gt;0,FO91,IF(ROUND(BQ91*$J91,6)&lt;ROUND($M91,6),BQ91,0)))</f>
        <v/>
      </c>
      <c r="FQ91" s="68">
        <f>IF(OR($U91=0,$F91&lt;&gt;2),0,IF(FP91&gt;0,FP91,IF(ROUND(BR91*$J91,6)&lt;ROUND($M91,6),BR91,0)))</f>
        <v/>
      </c>
      <c r="FR91" s="68">
        <f>IF(OR($U91=0,$F91&lt;&gt;2),0,IF(FQ91&gt;0,FQ91,IF(ROUND(BS91*$J91,6)&lt;ROUND($M91,6),BS91,0)))</f>
        <v/>
      </c>
      <c r="FS91" s="68">
        <f>IF(OR($U91=0,$F91&lt;&gt;2),0,IF(FR91&gt;0,FR91,IF(ROUND(BT91*$J91,6)&lt;ROUND($M91,6),BT91,0)))</f>
        <v/>
      </c>
      <c r="FT91" s="68">
        <f>IF(OR($U91=0,$F91&lt;&gt;2),0,IF(FS91&gt;0,FS91,IF(ROUND(BU91*$J91,6)&lt;ROUND($M91,6),BU91,0)))</f>
        <v/>
      </c>
      <c r="FU91" s="68">
        <f>IF(OR($U91=0,$F91&lt;&gt;2),0,IF(FT91&gt;0,FT91,IF(ROUND(BV91*$J91,6)&lt;ROUND($M91,6),BV91,0)))</f>
        <v/>
      </c>
      <c r="FV91" s="68">
        <f>IF(OR($U91=0,$F91&lt;&gt;2),0,IF(FU91&gt;0,FU91,IF(ROUND(BW91*$J91,6)&lt;ROUND($M91,6),BW91,0)))</f>
        <v/>
      </c>
      <c r="FW91" s="68">
        <f>IF(OR($U91=0,$F91&lt;&gt;2),0,IF(FV91&gt;0,FV91,IF(ROUND(BX91*$J91,6)&lt;ROUND($M91,6),BX91,0)))</f>
        <v/>
      </c>
      <c r="FX91" s="68">
        <f>IF(OR($U91=0,$F91&lt;&gt;2),0,IF(FW91&gt;0,FW91,IF(ROUND(BY91*$J91,6)&lt;ROUND($M91,6),BY91,0)))</f>
        <v/>
      </c>
      <c r="FY91" s="68">
        <f>IF(OR($U91=0,$F91&lt;&gt;2),0,IF(FX91&gt;0,FX91,IF(ROUND(BZ91*$J91,6)&lt;ROUND($M91,6),BZ91,0)))</f>
        <v/>
      </c>
      <c r="FZ91" s="68">
        <f>IF(OR($U91=0,$F91&lt;&gt;2),0,IF(FY91&gt;0,FY91,IF(ROUND(CA91*$J91,6)&lt;ROUND($M91,6),CA91,0)))</f>
        <v/>
      </c>
      <c r="GA91" s="68">
        <f>IF(OR($U91=0,$F91&lt;&gt;2),0,IF(FZ91&gt;0,FZ91,IF(ROUND(CB91*$J91,6)&lt;ROUND($M91,6),CB91,0)))</f>
        <v/>
      </c>
      <c r="GB91" s="68">
        <f>IF(OR($U91=0,$F91&lt;&gt;2),0,IF(GA91&gt;0,GA91,IF(ROUND(CC91*$J91,6)&lt;ROUND($M91,6),CC91,0)))</f>
        <v/>
      </c>
      <c r="GC91" s="68">
        <f>IF(OR($U91=0,$F91&lt;&gt;2),0,IF(GB91&gt;0,GB91,IF(ROUND(CD91*$J91,6)&lt;ROUND($M91,6),CD91,0)))</f>
        <v/>
      </c>
      <c r="GD91" s="68">
        <f>IF(OR($U91=0,$F91&lt;&gt;2),0,IF(GC91&gt;0,GC91,IF(ROUND(CE91*$J91,6)&lt;ROUND($M91,6),CE91,0)))</f>
        <v/>
      </c>
      <c r="GE91" s="68">
        <f>IF(OR($U91=0,$F91&lt;&gt;2),0,IF(GD91&gt;0,GD91,IF(ROUND(CF91*$J91,6)&lt;ROUND($M91,6),CF91,0)))</f>
        <v/>
      </c>
      <c r="GF91" s="68">
        <f>IF(OR($U91=0,$F91&lt;&gt;2),0,IF(GE91&gt;0,GE91,IF(ROUND(CG91*$J91,6)&lt;ROUND($M91,6),CG91,0)))</f>
        <v/>
      </c>
      <c r="GG91" s="68">
        <f>IF(OR($U91=0,$F91&lt;&gt;2),0,IF(GF91&gt;0,GF91,IF(ROUND(CH91*$J91,6)&lt;ROUND($M91,6),CH91,0)))</f>
        <v/>
      </c>
      <c r="GH91" s="68">
        <f>IF(OR($U91=0,$F91&lt;&gt;2),0,IF(GG91&gt;0,GG91,IF(ROUND(CI91*$J91,6)&lt;ROUND($M91,6),CI91,0)))</f>
        <v/>
      </c>
      <c r="GI91" s="68">
        <f>IF(OR($U91=0,$F91&lt;&gt;2),0,IF(GH91&gt;0,GH91,IF(ROUND(CJ91*$J91,6)&lt;ROUND($M91,6),CJ91,0)))</f>
        <v/>
      </c>
      <c r="GJ91" s="68">
        <f>IF(OR($U91=0,$F91&lt;&gt;2),0,IF(GI91&gt;0,GI91,IF(ROUND(CK91*$J91,6)&lt;ROUND($M91,6),CK91,0)))</f>
        <v/>
      </c>
      <c r="GK91" s="68">
        <f>IF(OR($U91=0,$F91&lt;&gt;2),0,IF(GJ91&gt;0,GJ91,IF(ROUND(CL91*$J91,6)&lt;ROUND($M91,6),CL91,0)))</f>
        <v/>
      </c>
      <c r="GL91" s="68">
        <f>IF(OR($U91=0,$F91&lt;&gt;2),0,IF(GK91&gt;0,GK91,IF(ROUND(CM91*$J91,6)&lt;ROUND($M91,6),CM91,0)))</f>
        <v/>
      </c>
      <c r="GM91" s="68">
        <f>IF(OR($U91=0,$F91&lt;&gt;2),0,IF(GL91&gt;0,GL91,IF(ROUND(CN91*$J91,6)&lt;ROUND($M91,6),CN91,0)))</f>
        <v/>
      </c>
      <c r="GN91" s="68">
        <f>IF(OR($U91=0,$F91&lt;&gt;2),0,IF(GM91&gt;0,GM91,IF(ROUND(CO91*$J91,6)&lt;ROUND($M91,6),CO91,0)))</f>
        <v/>
      </c>
      <c r="GO91" s="68">
        <f>IF(OR($U91=0,$F91&lt;&gt;2),0,IF(GN91&gt;0,GN91,IF(ROUND(CP91*$J91,6)&lt;ROUND($M91,6),CP91,0)))</f>
        <v/>
      </c>
      <c r="GP91" s="68">
        <f>IF(OR($U91=0,$F91&lt;&gt;2),0,IF(GO91&gt;0,GO91,IF(ROUND(CQ91*$J91,6)&lt;ROUND($M91,6),CQ91,0)))</f>
        <v/>
      </c>
      <c r="GQ91" s="68">
        <f>IF(OR($U91=0,$F91&lt;&gt;2),0,IF(GP91&gt;0,GP91,IF(ROUND(CR91*$J91,6)&lt;ROUND($M91,6),CR91,0)))</f>
        <v/>
      </c>
      <c r="GR91" s="68">
        <f>IF(OR($U91=0,$F91&lt;&gt;2),0,IF(GQ91&gt;0,GQ91,IF(ROUND(CS91*$J91,6)&lt;ROUND($M91,6),CS91,0)))</f>
        <v/>
      </c>
      <c r="GS91" s="68">
        <f>IF(OR($U91=0,$F91&lt;&gt;2),0,IF(GR91&gt;0,GR91,IF(ROUND(CT91*$J91,6)&lt;ROUND($M91,6),CT91,0)))</f>
        <v/>
      </c>
      <c r="GT91" s="68">
        <f>IF(OR($U91=0,$F91&lt;&gt;2),0,IF(GS91&gt;0,GS91,IF(ROUND(CU91*$J91,6)&lt;ROUND($M91,6),CU91,0)))</f>
        <v/>
      </c>
      <c r="GU91" s="68">
        <f>IF(OR($U91=0,$F91&lt;&gt;2),0,IF(GT91&gt;0,GT91,IF(ROUND(CV91*$J91,6)&lt;ROUND($M91,6),CV91,0)))</f>
        <v/>
      </c>
      <c r="GV91" s="68">
        <f>IF(OR($U91=0,$F91&lt;&gt;2),0,IF(GU91&gt;0,GU91,IF(ROUND(CW91*$J91,6)&lt;ROUND($M91,6),CW91,0)))</f>
        <v/>
      </c>
      <c r="GW91" s="68">
        <f>IF(OR($U91=0,$F91&lt;&gt;2),0,IF(GV91&gt;0,GV91,IF(ROUND(CX91*$J91,6)&lt;ROUND($M91,6),CX91,0)))</f>
        <v/>
      </c>
      <c r="GX91" s="68">
        <f>IF(OR($U91=0,$F91&lt;&gt;2),0,IF(GW91&gt;0,GW91,IF(ROUND(CY91*$J91,6)&lt;ROUND($M91,6),CY91,0)))</f>
        <v/>
      </c>
      <c r="GY91" s="68">
        <f>IF(OR($U91=0,$F91&lt;&gt;2),0,IF(GX91&gt;0,GX91,IF(ROUND(CZ91*$J91,6)&lt;ROUND($M91,6),CZ91,0)))</f>
        <v/>
      </c>
      <c r="GZ91" s="68">
        <f>IF(OR($U91=0,$F91&lt;&gt;2),0,IF(GY91&gt;0,GY91,IF(ROUND(DA91*$J91,6)&lt;ROUND($M91,6),DA91,0)))</f>
        <v/>
      </c>
      <c r="HA91" s="68">
        <f>IF(OR($U91=0,$F91&lt;&gt;2),0,IF(GZ91&gt;0,GZ91,IF(ROUND(DB91*$J91,6)&lt;ROUND($M91,6),DB91,0)))</f>
        <v/>
      </c>
      <c r="HB91" s="68">
        <f>IF(OR($U91=0,$F91&lt;&gt;2),0,IF(HA91&gt;0,HA91,IF(ROUND(DC91*$J91,6)&lt;ROUND($M91,6),DC91,0)))</f>
        <v/>
      </c>
      <c r="HC91" s="68">
        <f>IF(OR($U91=0,$F91&lt;&gt;2),0,IF(HB91&gt;0,HB91,IF(ROUND(DD91*$J91,6)&lt;ROUND($M91,6),DD91,0)))</f>
        <v/>
      </c>
      <c r="HD91" s="68">
        <f>IF(OR($U91=0,$F91&lt;&gt;2),0,IF(HC91&gt;0,HC91,IF(ROUND(DE91*$J91,6)&lt;ROUND($M91,6),DE91,0)))</f>
        <v/>
      </c>
      <c r="HE91" s="68">
        <f>IF(OR($U91=0,$F91&lt;&gt;2),0,IF(HD91&gt;0,HD91,IF(ROUND(DF91*$J91,6)&lt;ROUND($M91,6),DF91,0)))</f>
        <v/>
      </c>
      <c r="HF91" s="68">
        <f>IF(OR($U91=0,$F91&lt;&gt;2),0,IF(HE91&gt;0,HE91,IF(ROUND(DG91*$J91,6)&lt;ROUND($M91,6),DG91,0)))</f>
        <v/>
      </c>
      <c r="HG91" s="68">
        <f>IF(OR($U91=0,$F91&lt;&gt;2),0,IF(HF91&gt;0,HF91,IF(ROUND(DH91*$J91,6)&lt;ROUND($M91,6),DH91,0)))</f>
        <v/>
      </c>
      <c r="HH91" s="68">
        <f>IF(OR($U91=0,$F91&lt;&gt;2),0,IF(HG91&gt;0,HG91,IF(ROUND(DI91*$J91,6)&lt;ROUND($M91,6),DI91,0)))</f>
        <v/>
      </c>
      <c r="HI91" s="68">
        <f>IF(OR($U91=0,$F91&lt;&gt;2),0,IF(HH91&gt;0,HH91,IF(ROUND(DJ91*$J91,6)&lt;ROUND($M91,6),DJ91,0)))</f>
        <v/>
      </c>
      <c r="HJ91" s="68">
        <f>IF(OR($U91=0,$F91&lt;&gt;2),0,IF(HI91&gt;0,HI91,IF(ROUND(DK91*$J91,6)&lt;ROUND($M91,6),DK91,0)))</f>
        <v/>
      </c>
      <c r="HK91" s="68">
        <f>IF(OR($U91=0,$F91&lt;&gt;2),0,IF(HJ91&gt;0,HJ91,IF(ROUND(DL91*$J91,6)&lt;ROUND($M91,6),DL91,0)))</f>
        <v/>
      </c>
      <c r="HL91" s="68">
        <f>IF(OR($U91=0,$F91&lt;&gt;2),0,IF(HK91&gt;0,HK91,IF(ROUND(DM91*$J91,6)&lt;ROUND($M91,6),DM91,0)))</f>
        <v/>
      </c>
      <c r="HM91" s="68">
        <f>IF(OR($U91=0,$F91&lt;&gt;2),0,IF(HL91&gt;0,HL91,IF(ROUND(DN91*$J91,6)&lt;ROUND($M91,6),DN91,0)))</f>
        <v/>
      </c>
      <c r="HN91" s="68">
        <f>IF(OR($U91=0,$F91&lt;&gt;2),0,IF(HM91&gt;0,HM91,IF(ROUND(DO91*$J91,6)&lt;ROUND($M91,6),DO91,0)))</f>
        <v/>
      </c>
      <c r="HO91" s="68">
        <f>IF(OR($U91=0,$F91&lt;&gt;2),0,IF(HN91&gt;0,HN91,IF(ROUND(DP91*$J91,6)&lt;ROUND($M91,6),DP91,0)))</f>
        <v/>
      </c>
      <c r="HP91" s="68">
        <f>IF(OR($U91=0,$F91&lt;&gt;2),0,IF(HO91&gt;0,HO91,IF(ROUND(DQ91*$J91,6)&lt;ROUND($M91,6),DQ91,0)))</f>
        <v/>
      </c>
      <c r="HQ91" s="68">
        <f>IF(OR($U91=0,$F91&lt;&gt;2),0,IF(HP91&gt;0,HP91,IF(ROUND(DR91*$J91,6)&lt;ROUND($M91,6),DR91,0)))</f>
        <v/>
      </c>
      <c r="HR91" s="68">
        <f>IF(OR($U91=0,$F91&lt;&gt;2),0,IF(HQ91&gt;0,HQ91,IF(ROUND(DS91*$J91,6)&lt;ROUND($M91,6),DS91,0)))</f>
        <v/>
      </c>
      <c r="HS91" s="68">
        <f>IF(OR($U91=0,$F91&lt;&gt;2),0,IF(HR91&gt;0,HR91,IF(ROUND(DT91*$J91,6)&lt;ROUND($M91,6),DT91,0)))</f>
        <v/>
      </c>
      <c r="HT91" s="68">
        <f>IF(OR($U91=0,$F91&lt;&gt;2),0,IF(HS91&gt;0,HS91,IF(ROUND(DU91*$J91,6)&lt;ROUND($M91,6),DU91,0)))</f>
        <v/>
      </c>
      <c r="HU91" s="68">
        <f>IF(OR($U91=0,$F91&lt;&gt;2),0,IF(HT91&gt;0,HT91,IF(ROUND(DV91*$J91,6)&lt;ROUND($M91,6),DV91,0)))</f>
        <v/>
      </c>
      <c r="HV91" s="68">
        <f>IF(OR($U91=0,$F91&lt;&gt;2),0,IF(HU91&gt;0,HU91,IF(ROUND(DW91*$J91,6)&lt;ROUND($M91,6),DW91,0)))</f>
        <v/>
      </c>
      <c r="HW91" s="68">
        <f>IF(OR($U91=0,$F91&lt;&gt;2),0,IF(HV91&gt;0,HV91,IF(ROUND(DX91*$J91,6)&lt;ROUND($M91,6),DX91,0)))</f>
        <v/>
      </c>
      <c r="HX91" s="68">
        <f>IF(OR($U91=0,$F91&lt;&gt;2),0,IF(HW91&gt;0,HW91,IF(ROUND(DY91*$J91,6)&lt;ROUND($M91,6),DY91,0)))</f>
        <v/>
      </c>
      <c r="HY91" s="68">
        <f>IF(OR($U91=0,$F91&lt;&gt;2),0,IF(HX91&gt;0,HX91,IF(ROUND(DZ91*$J91,6)&lt;ROUND($M91,6),DZ91,0)))</f>
        <v/>
      </c>
      <c r="HZ91" s="68">
        <f>IF(OR($U91=0,$F91&lt;&gt;2),0,IF(HY91&gt;0,HY91,IF(ROUND(EA91*$J91,6)&lt;ROUND($M91,6),EA91,0)))</f>
        <v/>
      </c>
      <c r="IA91" s="68">
        <f>IF(OR($U91=0,$F91&lt;&gt;2),0,IF(HZ91&gt;0,HZ91,IF(ROUND(EB91*$J91,6)&lt;ROUND($M91,6),EB91,0)))</f>
        <v/>
      </c>
      <c r="IB91" s="68">
        <f>IF(OR($U91=0,$F91&lt;&gt;2),0,IF(IA91&gt;0,IA91,IF(ROUND(EC91*$J91,6)&lt;ROUND($M91,6),EC91,0)))</f>
        <v/>
      </c>
      <c r="IC91" s="68">
        <f>IF(OR($U91=0,$F91&lt;&gt;2),0,IF(IB91&gt;0,IB91,IF(ROUND(ED91*$J91,6)&lt;ROUND($M91,6),ED91,0)))</f>
        <v/>
      </c>
      <c r="ID91" s="68">
        <f>IF(OR($U91=0,$F91&lt;&gt;2),0,IF(IC91&gt;0,IC91,IF(ROUND(EE91*$J91,6)&lt;ROUND($M91,6),EE91,0)))</f>
        <v/>
      </c>
      <c r="IE91" s="68">
        <f>IF(OR($U91=0,$F91&lt;&gt;2),0,IF(ID91&gt;0,ID91,IF(ROUND(EF91*$J91,6)&lt;ROUND($M91,6),EF91,0)))</f>
        <v/>
      </c>
      <c r="IF91" s="68">
        <f>IF(OR($U91=0,$F91&lt;&gt;2),0,IF(IE91&gt;0,IE91,IF(ROUND(EG91*$J91,6)&lt;ROUND($M91,6),EG91,0)))</f>
        <v/>
      </c>
      <c r="IG91" s="68">
        <f>IF(OR($U91=0,$F91&lt;&gt;2),0,IF(IF91&gt;0,IF91,IF(ROUND(EH91*$J91,6)&lt;ROUND($M91,6),EH91,0)))</f>
        <v/>
      </c>
      <c r="IH91" s="68">
        <f>IF(OR($U91=0,$F91&lt;&gt;2),0,IF(IG91&gt;0,IG91,IF(ROUND(EI91*$J91,6)&lt;ROUND($M91,6),EI91,0)))</f>
        <v/>
      </c>
      <c r="II91" s="68">
        <f>IF(OR($U91=0,$F91&lt;&gt;2),0,IF(IH91&gt;0,IH91,IF(ROUND(EJ91*$J91,6)&lt;ROUND($M91,6),EJ91,0)))</f>
        <v/>
      </c>
      <c r="IJ91" s="68">
        <f>IF(OR($U91=0,$F91&lt;&gt;2),0,IF(II91&gt;0,II91,IF(ROUND(EK91*$J91,6)&lt;ROUND($M91,6),EK91,0)))</f>
        <v/>
      </c>
      <c r="IK91" s="68">
        <f>IF(OR($U91=0,$F91&lt;&gt;2),0,IF(IJ91&gt;0,IJ91,IF(ROUND(EL91*$J91,6)&lt;ROUND($M91,6),EL91,0)))</f>
        <v/>
      </c>
      <c r="IL91" s="68">
        <f>IF(OR($U91=0,$F91&lt;&gt;2),0,IF(IK91&gt;0,IK91,IF(ROUND(EM91*$J91,6)&lt;ROUND($M91,6),EM91,0)))</f>
        <v/>
      </c>
      <c r="IM91" s="68">
        <f>IF(OR($U91=0,$F91&lt;&gt;2),0,IF(IL91&gt;0,IL91,IF(ROUND(EN91*$J91,6)&lt;ROUND($M91,6),EN91,0)))</f>
        <v/>
      </c>
      <c r="IN91" s="68">
        <f>IF(OR($U91=0,$F91&lt;&gt;2),0,IF(IM91&gt;0,IM91,IF(ROUND(EO91*$J91,6)&lt;ROUND($M91,6),EO91,0)))</f>
        <v/>
      </c>
    </row>
    <row r="92">
      <c r="A92" s="68" t="n">
        <v>87</v>
      </c>
      <c r="B92" s="68">
        <f>IF(OR(TRIM('固定資産台帳'!$B92)&lt;&gt;"",'固定資産台帳'!$E92&lt;&gt;"",'固定資産台帳'!$G92&lt;&gt;"",'固定資産台帳'!$H92&lt;&gt;""),1,0)</f>
        <v/>
      </c>
      <c r="C92" s="68">
        <f>IF(ISNUMBER('固定資産台帳'!$G92),MAX(ROUND('固定資産台帳'!$G92,0),0),0)</f>
        <v/>
      </c>
      <c r="D92" s="84">
        <f>IF(ISNUMBER('固定資産台帳'!$E92),INT('固定資産台帳'!$E92),0)</f>
        <v/>
      </c>
      <c r="E92" s="84">
        <f>IF(ISNUMBER('固定資産台帳'!$F92),INT('固定資産台帳'!$F92),$D92)</f>
        <v/>
      </c>
      <c r="F92" s="68">
        <f>IF('固定資産台帳'!$H92="定額法",1,IF(OR('固定資産台帳'!$H92="定率法",'固定資産台帳'!$H92="定率法（200%）",'固定資産台帳'!$H92="定率法（250%）"),2,IF('固定資産台帳'!$H92="一括償却（3年）",3,IF('固定資産台帳'!$H92="少額特例",4,0))))</f>
        <v/>
      </c>
      <c r="G92" s="68">
        <f>IF('固定資産台帳'!$H92="定率法（250%）",250,IF('固定資産台帳'!$H92="定率法（200%）",200,IF($D92&gt;=DATE(2012,4,1),200,250)))</f>
        <v/>
      </c>
      <c r="H92" s="68">
        <f>IF(ISNUMBER('固定資産台帳'!$I92),IF(AND('固定資産台帳'!$I92&gt;=2,'固定資産台帳'!$I92&lt;=100,'固定資産台帳'!$I92=INT('固定資産台帳'!$I92)),'固定資産台帳'!$I92,0),0)</f>
        <v/>
      </c>
      <c r="I92" s="68">
        <f>IF('固定資産台帳'!$C92="無形固定資産",0,1)</f>
        <v/>
      </c>
      <c r="J92" s="68">
        <f>IF(OR($H92=0,$F92=0,$F92&gt;2),0,IF($F92=1,INDEX('償却率表'!$B$6:$B$104,$H92-1),IF($G92=200,INDEX('償却率表'!$C$6:$C$104,$H92-1),INDEX('償却率表'!$F$6:$F$104,$H92-1))))</f>
        <v/>
      </c>
      <c r="K92" s="68">
        <f>IF(AND($F92=2,$H92&gt;0),IF($G92=200,INDEX('償却率表'!$D$6:$D$104,$H92-1),INDEX('償却率表'!$G$6:$G$104,$H92-1)),0)</f>
        <v/>
      </c>
      <c r="L92" s="68">
        <f>IF(AND($F92=2,$H92&gt;0),IF($G92=200,INDEX('償却率表'!$E$6:$E$104,$H92-1),INDEX('償却率表'!$H$6:$H$104,$H92-1)),0)</f>
        <v/>
      </c>
      <c r="M92" s="68">
        <f>$C92*$L92</f>
        <v/>
      </c>
      <c r="N92" s="68">
        <f>IF($B$1=1,1,IF('固定資産台帳'!$J92="",1,IF(ISNUMBER('固定資産台帳'!$J92),IF(AND('固定資産台帳'!$J92&gt;0,'固定資産台帳'!$J92&lt;=1),'固定資産台帳'!$J92,0),0)))</f>
        <v/>
      </c>
      <c r="O92" s="68">
        <f>IF($E92=0,0,YEAR($E92)-IF(MONTH($E92)&lt;$B$2,1,0))</f>
        <v/>
      </c>
      <c r="P92" s="68">
        <f>IF($E92=0,0,12-MOD(MONTH($E92)-$B$2,12))</f>
        <v/>
      </c>
      <c r="Q92" s="84">
        <f>IF(ISNUMBER('固定資産台帳'!$K92),INT('固定資産台帳'!$K92),0)</f>
        <v/>
      </c>
      <c r="R92" s="68">
        <f>IF(OR($Q92=0,$E92=0),999,YEAR($Q92)-IF(MONTH($Q92)&lt;$B$2,1,0)-$O92)</f>
        <v/>
      </c>
      <c r="S92" s="68">
        <f>IF($R92=999,0,MOD(MONTH($Q92)-$B$2,12)+1-IF($R92=0,12-$P92,0))</f>
        <v/>
      </c>
      <c r="T92" s="68">
        <f>IF($B92=0,0,IF($C92&lt;=0,1,IF($D92=0,2,IF($F92=0,3,IF(AND($F92&lt;=2,$H92=0),4,IF(AND($F92&lt;=2,$D92&lt;DATE(2007,4,1)),5,IF($E92&lt;$D92,6,IF(AND($Q92&gt;0,$Q92&lt;$E92),7,IF($N92=0,8,IF($B$3=0,9,0))))))))))</f>
        <v/>
      </c>
      <c r="U92" s="68">
        <f>IF(AND($B92=1,$T92=0),1,0)</f>
        <v/>
      </c>
      <c r="V92" s="68">
        <f>$B$3-$O92</f>
        <v/>
      </c>
      <c r="W92" s="68">
        <f>IF(AND($U92=1,$V92&gt;=0),1,0)</f>
        <v/>
      </c>
      <c r="X92" s="68">
        <f>IF($W92=0,0,IF($V92=0,$C92,INDEX($AS92:$EP92,MIN($V92,102))))</f>
        <v/>
      </c>
      <c r="Y92" s="68">
        <f>IF($W92=0,0,INDEX($AS92:$EP92,MIN($V92,101)+1))</f>
        <v/>
      </c>
      <c r="Z92" s="68">
        <f>$X92-$Y92</f>
        <v/>
      </c>
      <c r="AA92" s="68">
        <f>IF(AND($W92=1,$F92=2,$V92&gt;=1),INDEX($ER92:$IN92,MIN($V92,101)),0)</f>
        <v/>
      </c>
      <c r="AB92" s="68">
        <f>IF(OR($W92=0,$F92&gt;2,$Z92=0),0,IF($V92=0,IF($R92=0,$S92,$P92),IF($V92=$R92,$S92,12)))</f>
        <v/>
      </c>
      <c r="AC92" s="68">
        <f>IF($W92=0,0,INT(ROUND($Z92*$N92,6)+$B$4))</f>
        <v/>
      </c>
      <c r="AD92" s="68">
        <f>IF(AND($W92=1,$F92&lt;=2,$V92=$R92),1,0)</f>
        <v/>
      </c>
      <c r="AE92" s="68">
        <f>IF(AND($W92=1,$F92&lt;=2,$V92&gt;$R92),1,0)</f>
        <v/>
      </c>
      <c r="AF92" s="68">
        <f>IF(AND($W92=1,$AE92=0,OR($Z92&gt;0,$AD92=1)),1,0)</f>
        <v/>
      </c>
      <c r="AG92" s="68">
        <f>IF($AF92=1,SUM($AF$6:$AF92),0)</f>
        <v/>
      </c>
      <c r="AH92" s="68">
        <f>IF($T92=0,"",CHOOSE($T92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92" s="68">
        <f>IF(AND($F92=2,OR('固定資産台帳'!$C92="建物",'固定資産台帳'!$C92="無形固定資産",AND(OR('固定資産台帳'!$C92="建物附属設備",'固定資産台帳'!$C92="構築物"),$D92&gt;=DATE(2016,4,1)))),"この資産は定額法だけです（定率法は使えません）。","")&amp;IF(AND($F92=3,$C92&gt;=200000),"一括償却は20万円未満の資産だけです。","")&amp;IF(AND($F92=3,$B$1=0,$C92&lt;100000),"10万円未満は一括償却にせず、全額をその年の経費にします。","")&amp;IF(AND($F92=4,$C92&lt;100000),"10万円未満は少額特例ではなく、全額をその年の経費にします。","")&amp;IF(AND($F92=4,$D92&lt;DATE(2026,4,1),$C92&gt;=300000),"2026年3月31日までの取得で少額特例が使えるのは30万円未満です。","")&amp;IF(AND($F92=4,$D92&gt;=DATE(2026,4,1),$C92&gt;=400000),"少額特例は40万円未満の資産だけです。","")&amp;IF(AND($F92=4,OR($D92&lt;DATE(2006,4,1),$D92&gt;DATE(2029,3,31))),"少額特例は2006年4月1日〜2029年3月31日に取得した資産だけです。","")&amp;IF(AND($F92=2,$G92=250,$D92&gt;DATE(2012,12,31)),"250%定率法は2012年12月31日までの取得だけです。","")</f>
        <v/>
      </c>
      <c r="AJ92" s="68">
        <f>IF(AND($F92=2,'固定資産台帳'!$H92="定率法（200%）",$D92&lt;DATE(2012,4,1)),"2012年3月31日までの取得に200%を使うのは、経過措置の届出をした場合です。","")&amp;IF(AND($F92=2,'固定資産台帳'!$H92="定率法（250%）",$D92&gt;=DATE(2012,4,1),$D92&lt;=DATE(2012,12,31)),"2012年4〜12月の取得に250%を使うのは、経過措置を選んだ場合です。","")</f>
        <v/>
      </c>
      <c r="AK92" s="68">
        <f>IF($U92=0,"",IF($V92&lt;0,"表示している年より後に使い始める資産です。",IF($AE92=1,"売却・除却済みです。",IF($AD92=1,"この年に売却・除却。期末の帳簿価額 "&amp;TEXT($Y92,"#,##0")&amp;"円を帳簿から外します。",IF($F92=4,IF($V92=0,"少額特例：この年に全額を経費にします。","少額特例で経費にした資産です。"),IF($F92=3,IF($V92&gt;2,"一括償却は終わっています。","一括償却 "&amp;($V92+1)&amp;"年目（3年のうち）。"),IF($Z92=0,"償却済み（帳簿価額 "&amp;TEXT($Y92,"#,##0")&amp;"円）。",IF($AA92&gt;0,"改定償却率で計算（改定取得価額 "&amp;TEXT($AA92,"#,##0")&amp;"円）。",IF($V92=0,"この年に使い始め（"&amp;$AB92&amp;"か月分）。","")))))))))</f>
        <v/>
      </c>
      <c r="AL92" s="68">
        <f>IF(AND($U92=1,$F92=4,$V92=0),$C92,0)</f>
        <v/>
      </c>
      <c r="AM92" s="68">
        <f>IF($F92=2,INT(ROUND($M92,6)+$B$4),0)</f>
        <v/>
      </c>
      <c r="AN92" s="68">
        <f>IF($W92=0,0,IF($F92=2,IF($AA92&gt;0,$AA92,$X92),$C92))</f>
        <v/>
      </c>
      <c r="AO92" s="68">
        <f>IF($W92=0,"",IF($F92=3,"1/3",IF($F92=4,"―",IF($AA92&gt;0,$K92,$J92))))</f>
        <v/>
      </c>
      <c r="AP92" s="68" t="n"/>
      <c r="AQ92" s="68" t="n"/>
      <c r="AR92" s="68" t="n"/>
      <c r="AS92" s="68">
        <f>IF($U92=0,0,IF($F92=4,0,IF($F92=3,MAX($C92-INT(ROUND($C92/3,6)+$B$4),0),$C92-MIN(INT(ROUND($C92*$J92*IF($R92=0,$S92,$P92)/12,6)+$B$4),MAX($C92-$I92,0)))))</f>
        <v/>
      </c>
      <c r="AT92" s="68">
        <f>IF($U92=0,0,IF($F92=4,0,IF($F92=3,AS92-MIN(INT(ROUND($C92/3,6)+$B$4),AS92),IF(OR(1&gt;$R92,AS92&lt;=$I92),AS92,AS92-MIN(INT(ROUND(IF($F92=1,$C92*$J92,IF(ER92&gt;0,ER92*$K92,AS92*$J92))*IF(1=$R92,$S92,12)/12,6)+$B$4),AS92-$I92)))))</f>
        <v/>
      </c>
      <c r="AU92" s="68">
        <f>IF($U92=0,0,IF($F92=4,0,IF($F92=3,0,IF(OR(2&gt;$R92,AT92&lt;=$I92),AT92,AT92-MIN(INT(ROUND(IF($F92=1,$C92*$J92,IF(ES92&gt;0,ES92*$K92,AT92*$J92))*IF(2=$R92,$S92,12)/12,6)+$B$4),AT92-$I92)))))</f>
        <v/>
      </c>
      <c r="AV92" s="68">
        <f>IF($U92=0,0,IF($F92=4,0,IF($F92=3,0,IF(OR(3&gt;$R92,AU92&lt;=$I92),AU92,AU92-MIN(INT(ROUND(IF($F92=1,$C92*$J92,IF(ET92&gt;0,ET92*$K92,AU92*$J92))*IF(3=$R92,$S92,12)/12,6)+$B$4),AU92-$I92)))))</f>
        <v/>
      </c>
      <c r="AW92" s="68">
        <f>IF($U92=0,0,IF($F92=4,0,IF($F92=3,0,IF(OR(4&gt;$R92,AV92&lt;=$I92),AV92,AV92-MIN(INT(ROUND(IF($F92=1,$C92*$J92,IF(EU92&gt;0,EU92*$K92,AV92*$J92))*IF(4=$R92,$S92,12)/12,6)+$B$4),AV92-$I92)))))</f>
        <v/>
      </c>
      <c r="AX92" s="68">
        <f>IF($U92=0,0,IF($F92=4,0,IF($F92=3,0,IF(OR(5&gt;$R92,AW92&lt;=$I92),AW92,AW92-MIN(INT(ROUND(IF($F92=1,$C92*$J92,IF(EV92&gt;0,EV92*$K92,AW92*$J92))*IF(5=$R92,$S92,12)/12,6)+$B$4),AW92-$I92)))))</f>
        <v/>
      </c>
      <c r="AY92" s="68">
        <f>IF($U92=0,0,IF($F92=4,0,IF($F92=3,0,IF(OR(6&gt;$R92,AX92&lt;=$I92),AX92,AX92-MIN(INT(ROUND(IF($F92=1,$C92*$J92,IF(EW92&gt;0,EW92*$K92,AX92*$J92))*IF(6=$R92,$S92,12)/12,6)+$B$4),AX92-$I92)))))</f>
        <v/>
      </c>
      <c r="AZ92" s="68">
        <f>IF($U92=0,0,IF($F92=4,0,IF($F92=3,0,IF(OR(7&gt;$R92,AY92&lt;=$I92),AY92,AY92-MIN(INT(ROUND(IF($F92=1,$C92*$J92,IF(EX92&gt;0,EX92*$K92,AY92*$J92))*IF(7=$R92,$S92,12)/12,6)+$B$4),AY92-$I92)))))</f>
        <v/>
      </c>
      <c r="BA92" s="68">
        <f>IF($U92=0,0,IF($F92=4,0,IF($F92=3,0,IF(OR(8&gt;$R92,AZ92&lt;=$I92),AZ92,AZ92-MIN(INT(ROUND(IF($F92=1,$C92*$J92,IF(EY92&gt;0,EY92*$K92,AZ92*$J92))*IF(8=$R92,$S92,12)/12,6)+$B$4),AZ92-$I92)))))</f>
        <v/>
      </c>
      <c r="BB92" s="68">
        <f>IF($U92=0,0,IF($F92=4,0,IF($F92=3,0,IF(OR(9&gt;$R92,BA92&lt;=$I92),BA92,BA92-MIN(INT(ROUND(IF($F92=1,$C92*$J92,IF(EZ92&gt;0,EZ92*$K92,BA92*$J92))*IF(9=$R92,$S92,12)/12,6)+$B$4),BA92-$I92)))))</f>
        <v/>
      </c>
      <c r="BC92" s="68">
        <f>IF($U92=0,0,IF($F92=4,0,IF($F92=3,0,IF(OR(10&gt;$R92,BB92&lt;=$I92),BB92,BB92-MIN(INT(ROUND(IF($F92=1,$C92*$J92,IF(FA92&gt;0,FA92*$K92,BB92*$J92))*IF(10=$R92,$S92,12)/12,6)+$B$4),BB92-$I92)))))</f>
        <v/>
      </c>
      <c r="BD92" s="68">
        <f>IF($U92=0,0,IF($F92=4,0,IF($F92=3,0,IF(OR(11&gt;$R92,BC92&lt;=$I92),BC92,BC92-MIN(INT(ROUND(IF($F92=1,$C92*$J92,IF(FB92&gt;0,FB92*$K92,BC92*$J92))*IF(11=$R92,$S92,12)/12,6)+$B$4),BC92-$I92)))))</f>
        <v/>
      </c>
      <c r="BE92" s="68">
        <f>IF($U92=0,0,IF($F92=4,0,IF($F92=3,0,IF(OR(12&gt;$R92,BD92&lt;=$I92),BD92,BD92-MIN(INT(ROUND(IF($F92=1,$C92*$J92,IF(FC92&gt;0,FC92*$K92,BD92*$J92))*IF(12=$R92,$S92,12)/12,6)+$B$4),BD92-$I92)))))</f>
        <v/>
      </c>
      <c r="BF92" s="68">
        <f>IF($U92=0,0,IF($F92=4,0,IF($F92=3,0,IF(OR(13&gt;$R92,BE92&lt;=$I92),BE92,BE92-MIN(INT(ROUND(IF($F92=1,$C92*$J92,IF(FD92&gt;0,FD92*$K92,BE92*$J92))*IF(13=$R92,$S92,12)/12,6)+$B$4),BE92-$I92)))))</f>
        <v/>
      </c>
      <c r="BG92" s="68">
        <f>IF($U92=0,0,IF($F92=4,0,IF($F92=3,0,IF(OR(14&gt;$R92,BF92&lt;=$I92),BF92,BF92-MIN(INT(ROUND(IF($F92=1,$C92*$J92,IF(FE92&gt;0,FE92*$K92,BF92*$J92))*IF(14=$R92,$S92,12)/12,6)+$B$4),BF92-$I92)))))</f>
        <v/>
      </c>
      <c r="BH92" s="68">
        <f>IF($U92=0,0,IF($F92=4,0,IF($F92=3,0,IF(OR(15&gt;$R92,BG92&lt;=$I92),BG92,BG92-MIN(INT(ROUND(IF($F92=1,$C92*$J92,IF(FF92&gt;0,FF92*$K92,BG92*$J92))*IF(15=$R92,$S92,12)/12,6)+$B$4),BG92-$I92)))))</f>
        <v/>
      </c>
      <c r="BI92" s="68">
        <f>IF($U92=0,0,IF($F92=4,0,IF($F92=3,0,IF(OR(16&gt;$R92,BH92&lt;=$I92),BH92,BH92-MIN(INT(ROUND(IF($F92=1,$C92*$J92,IF(FG92&gt;0,FG92*$K92,BH92*$J92))*IF(16=$R92,$S92,12)/12,6)+$B$4),BH92-$I92)))))</f>
        <v/>
      </c>
      <c r="BJ92" s="68">
        <f>IF($U92=0,0,IF($F92=4,0,IF($F92=3,0,IF(OR(17&gt;$R92,BI92&lt;=$I92),BI92,BI92-MIN(INT(ROUND(IF($F92=1,$C92*$J92,IF(FH92&gt;0,FH92*$K92,BI92*$J92))*IF(17=$R92,$S92,12)/12,6)+$B$4),BI92-$I92)))))</f>
        <v/>
      </c>
      <c r="BK92" s="68">
        <f>IF($U92=0,0,IF($F92=4,0,IF($F92=3,0,IF(OR(18&gt;$R92,BJ92&lt;=$I92),BJ92,BJ92-MIN(INT(ROUND(IF($F92=1,$C92*$J92,IF(FI92&gt;0,FI92*$K92,BJ92*$J92))*IF(18=$R92,$S92,12)/12,6)+$B$4),BJ92-$I92)))))</f>
        <v/>
      </c>
      <c r="BL92" s="68">
        <f>IF($U92=0,0,IF($F92=4,0,IF($F92=3,0,IF(OR(19&gt;$R92,BK92&lt;=$I92),BK92,BK92-MIN(INT(ROUND(IF($F92=1,$C92*$J92,IF(FJ92&gt;0,FJ92*$K92,BK92*$J92))*IF(19=$R92,$S92,12)/12,6)+$B$4),BK92-$I92)))))</f>
        <v/>
      </c>
      <c r="BM92" s="68">
        <f>IF($U92=0,0,IF($F92=4,0,IF($F92=3,0,IF(OR(20&gt;$R92,BL92&lt;=$I92),BL92,BL92-MIN(INT(ROUND(IF($F92=1,$C92*$J92,IF(FK92&gt;0,FK92*$K92,BL92*$J92))*IF(20=$R92,$S92,12)/12,6)+$B$4),BL92-$I92)))))</f>
        <v/>
      </c>
      <c r="BN92" s="68">
        <f>IF($U92=0,0,IF($F92=4,0,IF($F92=3,0,IF(OR(21&gt;$R92,BM92&lt;=$I92),BM92,BM92-MIN(INT(ROUND(IF($F92=1,$C92*$J92,IF(FL92&gt;0,FL92*$K92,BM92*$J92))*IF(21=$R92,$S92,12)/12,6)+$B$4),BM92-$I92)))))</f>
        <v/>
      </c>
      <c r="BO92" s="68">
        <f>IF($U92=0,0,IF($F92=4,0,IF($F92=3,0,IF(OR(22&gt;$R92,BN92&lt;=$I92),BN92,BN92-MIN(INT(ROUND(IF($F92=1,$C92*$J92,IF(FM92&gt;0,FM92*$K92,BN92*$J92))*IF(22=$R92,$S92,12)/12,6)+$B$4),BN92-$I92)))))</f>
        <v/>
      </c>
      <c r="BP92" s="68">
        <f>IF($U92=0,0,IF($F92=4,0,IF($F92=3,0,IF(OR(23&gt;$R92,BO92&lt;=$I92),BO92,BO92-MIN(INT(ROUND(IF($F92=1,$C92*$J92,IF(FN92&gt;0,FN92*$K92,BO92*$J92))*IF(23=$R92,$S92,12)/12,6)+$B$4),BO92-$I92)))))</f>
        <v/>
      </c>
      <c r="BQ92" s="68">
        <f>IF($U92=0,0,IF($F92=4,0,IF($F92=3,0,IF(OR(24&gt;$R92,BP92&lt;=$I92),BP92,BP92-MIN(INT(ROUND(IF($F92=1,$C92*$J92,IF(FO92&gt;0,FO92*$K92,BP92*$J92))*IF(24=$R92,$S92,12)/12,6)+$B$4),BP92-$I92)))))</f>
        <v/>
      </c>
      <c r="BR92" s="68">
        <f>IF($U92=0,0,IF($F92=4,0,IF($F92=3,0,IF(OR(25&gt;$R92,BQ92&lt;=$I92),BQ92,BQ92-MIN(INT(ROUND(IF($F92=1,$C92*$J92,IF(FP92&gt;0,FP92*$K92,BQ92*$J92))*IF(25=$R92,$S92,12)/12,6)+$B$4),BQ92-$I92)))))</f>
        <v/>
      </c>
      <c r="BS92" s="68">
        <f>IF($U92=0,0,IF($F92=4,0,IF($F92=3,0,IF(OR(26&gt;$R92,BR92&lt;=$I92),BR92,BR92-MIN(INT(ROUND(IF($F92=1,$C92*$J92,IF(FQ92&gt;0,FQ92*$K92,BR92*$J92))*IF(26=$R92,$S92,12)/12,6)+$B$4),BR92-$I92)))))</f>
        <v/>
      </c>
      <c r="BT92" s="68">
        <f>IF($U92=0,0,IF($F92=4,0,IF($F92=3,0,IF(OR(27&gt;$R92,BS92&lt;=$I92),BS92,BS92-MIN(INT(ROUND(IF($F92=1,$C92*$J92,IF(FR92&gt;0,FR92*$K92,BS92*$J92))*IF(27=$R92,$S92,12)/12,6)+$B$4),BS92-$I92)))))</f>
        <v/>
      </c>
      <c r="BU92" s="68">
        <f>IF($U92=0,0,IF($F92=4,0,IF($F92=3,0,IF(OR(28&gt;$R92,BT92&lt;=$I92),BT92,BT92-MIN(INT(ROUND(IF($F92=1,$C92*$J92,IF(FS92&gt;0,FS92*$K92,BT92*$J92))*IF(28=$R92,$S92,12)/12,6)+$B$4),BT92-$I92)))))</f>
        <v/>
      </c>
      <c r="BV92" s="68">
        <f>IF($U92=0,0,IF($F92=4,0,IF($F92=3,0,IF(OR(29&gt;$R92,BU92&lt;=$I92),BU92,BU92-MIN(INT(ROUND(IF($F92=1,$C92*$J92,IF(FT92&gt;0,FT92*$K92,BU92*$J92))*IF(29=$R92,$S92,12)/12,6)+$B$4),BU92-$I92)))))</f>
        <v/>
      </c>
      <c r="BW92" s="68">
        <f>IF($U92=0,0,IF($F92=4,0,IF($F92=3,0,IF(OR(30&gt;$R92,BV92&lt;=$I92),BV92,BV92-MIN(INT(ROUND(IF($F92=1,$C92*$J92,IF(FU92&gt;0,FU92*$K92,BV92*$J92))*IF(30=$R92,$S92,12)/12,6)+$B$4),BV92-$I92)))))</f>
        <v/>
      </c>
      <c r="BX92" s="68">
        <f>IF($U92=0,0,IF($F92=4,0,IF($F92=3,0,IF(OR(31&gt;$R92,BW92&lt;=$I92),BW92,BW92-MIN(INT(ROUND(IF($F92=1,$C92*$J92,IF(FV92&gt;0,FV92*$K92,BW92*$J92))*IF(31=$R92,$S92,12)/12,6)+$B$4),BW92-$I92)))))</f>
        <v/>
      </c>
      <c r="BY92" s="68">
        <f>IF($U92=0,0,IF($F92=4,0,IF($F92=3,0,IF(OR(32&gt;$R92,BX92&lt;=$I92),BX92,BX92-MIN(INT(ROUND(IF($F92=1,$C92*$J92,IF(FW92&gt;0,FW92*$K92,BX92*$J92))*IF(32=$R92,$S92,12)/12,6)+$B$4),BX92-$I92)))))</f>
        <v/>
      </c>
      <c r="BZ92" s="68">
        <f>IF($U92=0,0,IF($F92=4,0,IF($F92=3,0,IF(OR(33&gt;$R92,BY92&lt;=$I92),BY92,BY92-MIN(INT(ROUND(IF($F92=1,$C92*$J92,IF(FX92&gt;0,FX92*$K92,BY92*$J92))*IF(33=$R92,$S92,12)/12,6)+$B$4),BY92-$I92)))))</f>
        <v/>
      </c>
      <c r="CA92" s="68">
        <f>IF($U92=0,0,IF($F92=4,0,IF($F92=3,0,IF(OR(34&gt;$R92,BZ92&lt;=$I92),BZ92,BZ92-MIN(INT(ROUND(IF($F92=1,$C92*$J92,IF(FY92&gt;0,FY92*$K92,BZ92*$J92))*IF(34=$R92,$S92,12)/12,6)+$B$4),BZ92-$I92)))))</f>
        <v/>
      </c>
      <c r="CB92" s="68">
        <f>IF($U92=0,0,IF($F92=4,0,IF($F92=3,0,IF(OR(35&gt;$R92,CA92&lt;=$I92),CA92,CA92-MIN(INT(ROUND(IF($F92=1,$C92*$J92,IF(FZ92&gt;0,FZ92*$K92,CA92*$J92))*IF(35=$R92,$S92,12)/12,6)+$B$4),CA92-$I92)))))</f>
        <v/>
      </c>
      <c r="CC92" s="68">
        <f>IF($U92=0,0,IF($F92=4,0,IF($F92=3,0,IF(OR(36&gt;$R92,CB92&lt;=$I92),CB92,CB92-MIN(INT(ROUND(IF($F92=1,$C92*$J92,IF(GA92&gt;0,GA92*$K92,CB92*$J92))*IF(36=$R92,$S92,12)/12,6)+$B$4),CB92-$I92)))))</f>
        <v/>
      </c>
      <c r="CD92" s="68">
        <f>IF($U92=0,0,IF($F92=4,0,IF($F92=3,0,IF(OR(37&gt;$R92,CC92&lt;=$I92),CC92,CC92-MIN(INT(ROUND(IF($F92=1,$C92*$J92,IF(GB92&gt;0,GB92*$K92,CC92*$J92))*IF(37=$R92,$S92,12)/12,6)+$B$4),CC92-$I92)))))</f>
        <v/>
      </c>
      <c r="CE92" s="68">
        <f>IF($U92=0,0,IF($F92=4,0,IF($F92=3,0,IF(OR(38&gt;$R92,CD92&lt;=$I92),CD92,CD92-MIN(INT(ROUND(IF($F92=1,$C92*$J92,IF(GC92&gt;0,GC92*$K92,CD92*$J92))*IF(38=$R92,$S92,12)/12,6)+$B$4),CD92-$I92)))))</f>
        <v/>
      </c>
      <c r="CF92" s="68">
        <f>IF($U92=0,0,IF($F92=4,0,IF($F92=3,0,IF(OR(39&gt;$R92,CE92&lt;=$I92),CE92,CE92-MIN(INT(ROUND(IF($F92=1,$C92*$J92,IF(GD92&gt;0,GD92*$K92,CE92*$J92))*IF(39=$R92,$S92,12)/12,6)+$B$4),CE92-$I92)))))</f>
        <v/>
      </c>
      <c r="CG92" s="68">
        <f>IF($U92=0,0,IF($F92=4,0,IF($F92=3,0,IF(OR(40&gt;$R92,CF92&lt;=$I92),CF92,CF92-MIN(INT(ROUND(IF($F92=1,$C92*$J92,IF(GE92&gt;0,GE92*$K92,CF92*$J92))*IF(40=$R92,$S92,12)/12,6)+$B$4),CF92-$I92)))))</f>
        <v/>
      </c>
      <c r="CH92" s="68">
        <f>IF($U92=0,0,IF($F92=4,0,IF($F92=3,0,IF(OR(41&gt;$R92,CG92&lt;=$I92),CG92,CG92-MIN(INT(ROUND(IF($F92=1,$C92*$J92,IF(GF92&gt;0,GF92*$K92,CG92*$J92))*IF(41=$R92,$S92,12)/12,6)+$B$4),CG92-$I92)))))</f>
        <v/>
      </c>
      <c r="CI92" s="68">
        <f>IF($U92=0,0,IF($F92=4,0,IF($F92=3,0,IF(OR(42&gt;$R92,CH92&lt;=$I92),CH92,CH92-MIN(INT(ROUND(IF($F92=1,$C92*$J92,IF(GG92&gt;0,GG92*$K92,CH92*$J92))*IF(42=$R92,$S92,12)/12,6)+$B$4),CH92-$I92)))))</f>
        <v/>
      </c>
      <c r="CJ92" s="68">
        <f>IF($U92=0,0,IF($F92=4,0,IF($F92=3,0,IF(OR(43&gt;$R92,CI92&lt;=$I92),CI92,CI92-MIN(INT(ROUND(IF($F92=1,$C92*$J92,IF(GH92&gt;0,GH92*$K92,CI92*$J92))*IF(43=$R92,$S92,12)/12,6)+$B$4),CI92-$I92)))))</f>
        <v/>
      </c>
      <c r="CK92" s="68">
        <f>IF($U92=0,0,IF($F92=4,0,IF($F92=3,0,IF(OR(44&gt;$R92,CJ92&lt;=$I92),CJ92,CJ92-MIN(INT(ROUND(IF($F92=1,$C92*$J92,IF(GI92&gt;0,GI92*$K92,CJ92*$J92))*IF(44=$R92,$S92,12)/12,6)+$B$4),CJ92-$I92)))))</f>
        <v/>
      </c>
      <c r="CL92" s="68">
        <f>IF($U92=0,0,IF($F92=4,0,IF($F92=3,0,IF(OR(45&gt;$R92,CK92&lt;=$I92),CK92,CK92-MIN(INT(ROUND(IF($F92=1,$C92*$J92,IF(GJ92&gt;0,GJ92*$K92,CK92*$J92))*IF(45=$R92,$S92,12)/12,6)+$B$4),CK92-$I92)))))</f>
        <v/>
      </c>
      <c r="CM92" s="68">
        <f>IF($U92=0,0,IF($F92=4,0,IF($F92=3,0,IF(OR(46&gt;$R92,CL92&lt;=$I92),CL92,CL92-MIN(INT(ROUND(IF($F92=1,$C92*$J92,IF(GK92&gt;0,GK92*$K92,CL92*$J92))*IF(46=$R92,$S92,12)/12,6)+$B$4),CL92-$I92)))))</f>
        <v/>
      </c>
      <c r="CN92" s="68">
        <f>IF($U92=0,0,IF($F92=4,0,IF($F92=3,0,IF(OR(47&gt;$R92,CM92&lt;=$I92),CM92,CM92-MIN(INT(ROUND(IF($F92=1,$C92*$J92,IF(GL92&gt;0,GL92*$K92,CM92*$J92))*IF(47=$R92,$S92,12)/12,6)+$B$4),CM92-$I92)))))</f>
        <v/>
      </c>
      <c r="CO92" s="68">
        <f>IF($U92=0,0,IF($F92=4,0,IF($F92=3,0,IF(OR(48&gt;$R92,CN92&lt;=$I92),CN92,CN92-MIN(INT(ROUND(IF($F92=1,$C92*$J92,IF(GM92&gt;0,GM92*$K92,CN92*$J92))*IF(48=$R92,$S92,12)/12,6)+$B$4),CN92-$I92)))))</f>
        <v/>
      </c>
      <c r="CP92" s="68">
        <f>IF($U92=0,0,IF($F92=4,0,IF($F92=3,0,IF(OR(49&gt;$R92,CO92&lt;=$I92),CO92,CO92-MIN(INT(ROUND(IF($F92=1,$C92*$J92,IF(GN92&gt;0,GN92*$K92,CO92*$J92))*IF(49=$R92,$S92,12)/12,6)+$B$4),CO92-$I92)))))</f>
        <v/>
      </c>
      <c r="CQ92" s="68">
        <f>IF($U92=0,0,IF($F92=4,0,IF($F92=3,0,IF(OR(50&gt;$R92,CP92&lt;=$I92),CP92,CP92-MIN(INT(ROUND(IF($F92=1,$C92*$J92,IF(GO92&gt;0,GO92*$K92,CP92*$J92))*IF(50=$R92,$S92,12)/12,6)+$B$4),CP92-$I92)))))</f>
        <v/>
      </c>
      <c r="CR92" s="68">
        <f>IF($U92=0,0,IF($F92=4,0,IF($F92=3,0,IF(OR(51&gt;$R92,CQ92&lt;=$I92),CQ92,CQ92-MIN(INT(ROUND(IF($F92=1,$C92*$J92,IF(GP92&gt;0,GP92*$K92,CQ92*$J92))*IF(51=$R92,$S92,12)/12,6)+$B$4),CQ92-$I92)))))</f>
        <v/>
      </c>
      <c r="CS92" s="68">
        <f>IF($U92=0,0,IF($F92=4,0,IF($F92=3,0,IF(OR(52&gt;$R92,CR92&lt;=$I92),CR92,CR92-MIN(INT(ROUND(IF($F92=1,$C92*$J92,IF(GQ92&gt;0,GQ92*$K92,CR92*$J92))*IF(52=$R92,$S92,12)/12,6)+$B$4),CR92-$I92)))))</f>
        <v/>
      </c>
      <c r="CT92" s="68">
        <f>IF($U92=0,0,IF($F92=4,0,IF($F92=3,0,IF(OR(53&gt;$R92,CS92&lt;=$I92),CS92,CS92-MIN(INT(ROUND(IF($F92=1,$C92*$J92,IF(GR92&gt;0,GR92*$K92,CS92*$J92))*IF(53=$R92,$S92,12)/12,6)+$B$4),CS92-$I92)))))</f>
        <v/>
      </c>
      <c r="CU92" s="68">
        <f>IF($U92=0,0,IF($F92=4,0,IF($F92=3,0,IF(OR(54&gt;$R92,CT92&lt;=$I92),CT92,CT92-MIN(INT(ROUND(IF($F92=1,$C92*$J92,IF(GS92&gt;0,GS92*$K92,CT92*$J92))*IF(54=$R92,$S92,12)/12,6)+$B$4),CT92-$I92)))))</f>
        <v/>
      </c>
      <c r="CV92" s="68">
        <f>IF($U92=0,0,IF($F92=4,0,IF($F92=3,0,IF(OR(55&gt;$R92,CU92&lt;=$I92),CU92,CU92-MIN(INT(ROUND(IF($F92=1,$C92*$J92,IF(GT92&gt;0,GT92*$K92,CU92*$J92))*IF(55=$R92,$S92,12)/12,6)+$B$4),CU92-$I92)))))</f>
        <v/>
      </c>
      <c r="CW92" s="68">
        <f>IF($U92=0,0,IF($F92=4,0,IF($F92=3,0,IF(OR(56&gt;$R92,CV92&lt;=$I92),CV92,CV92-MIN(INT(ROUND(IF($F92=1,$C92*$J92,IF(GU92&gt;0,GU92*$K92,CV92*$J92))*IF(56=$R92,$S92,12)/12,6)+$B$4),CV92-$I92)))))</f>
        <v/>
      </c>
      <c r="CX92" s="68">
        <f>IF($U92=0,0,IF($F92=4,0,IF($F92=3,0,IF(OR(57&gt;$R92,CW92&lt;=$I92),CW92,CW92-MIN(INT(ROUND(IF($F92=1,$C92*$J92,IF(GV92&gt;0,GV92*$K92,CW92*$J92))*IF(57=$R92,$S92,12)/12,6)+$B$4),CW92-$I92)))))</f>
        <v/>
      </c>
      <c r="CY92" s="68">
        <f>IF($U92=0,0,IF($F92=4,0,IF($F92=3,0,IF(OR(58&gt;$R92,CX92&lt;=$I92),CX92,CX92-MIN(INT(ROUND(IF($F92=1,$C92*$J92,IF(GW92&gt;0,GW92*$K92,CX92*$J92))*IF(58=$R92,$S92,12)/12,6)+$B$4),CX92-$I92)))))</f>
        <v/>
      </c>
      <c r="CZ92" s="68">
        <f>IF($U92=0,0,IF($F92=4,0,IF($F92=3,0,IF(OR(59&gt;$R92,CY92&lt;=$I92),CY92,CY92-MIN(INT(ROUND(IF($F92=1,$C92*$J92,IF(GX92&gt;0,GX92*$K92,CY92*$J92))*IF(59=$R92,$S92,12)/12,6)+$B$4),CY92-$I92)))))</f>
        <v/>
      </c>
      <c r="DA92" s="68">
        <f>IF($U92=0,0,IF($F92=4,0,IF($F92=3,0,IF(OR(60&gt;$R92,CZ92&lt;=$I92),CZ92,CZ92-MIN(INT(ROUND(IF($F92=1,$C92*$J92,IF(GY92&gt;0,GY92*$K92,CZ92*$J92))*IF(60=$R92,$S92,12)/12,6)+$B$4),CZ92-$I92)))))</f>
        <v/>
      </c>
      <c r="DB92" s="68">
        <f>IF($U92=0,0,IF($F92=4,0,IF($F92=3,0,IF(OR(61&gt;$R92,DA92&lt;=$I92),DA92,DA92-MIN(INT(ROUND(IF($F92=1,$C92*$J92,IF(GZ92&gt;0,GZ92*$K92,DA92*$J92))*IF(61=$R92,$S92,12)/12,6)+$B$4),DA92-$I92)))))</f>
        <v/>
      </c>
      <c r="DC92" s="68">
        <f>IF($U92=0,0,IF($F92=4,0,IF($F92=3,0,IF(OR(62&gt;$R92,DB92&lt;=$I92),DB92,DB92-MIN(INT(ROUND(IF($F92=1,$C92*$J92,IF(HA92&gt;0,HA92*$K92,DB92*$J92))*IF(62=$R92,$S92,12)/12,6)+$B$4),DB92-$I92)))))</f>
        <v/>
      </c>
      <c r="DD92" s="68">
        <f>IF($U92=0,0,IF($F92=4,0,IF($F92=3,0,IF(OR(63&gt;$R92,DC92&lt;=$I92),DC92,DC92-MIN(INT(ROUND(IF($F92=1,$C92*$J92,IF(HB92&gt;0,HB92*$K92,DC92*$J92))*IF(63=$R92,$S92,12)/12,6)+$B$4),DC92-$I92)))))</f>
        <v/>
      </c>
      <c r="DE92" s="68">
        <f>IF($U92=0,0,IF($F92=4,0,IF($F92=3,0,IF(OR(64&gt;$R92,DD92&lt;=$I92),DD92,DD92-MIN(INT(ROUND(IF($F92=1,$C92*$J92,IF(HC92&gt;0,HC92*$K92,DD92*$J92))*IF(64=$R92,$S92,12)/12,6)+$B$4),DD92-$I92)))))</f>
        <v/>
      </c>
      <c r="DF92" s="68">
        <f>IF($U92=0,0,IF($F92=4,0,IF($F92=3,0,IF(OR(65&gt;$R92,DE92&lt;=$I92),DE92,DE92-MIN(INT(ROUND(IF($F92=1,$C92*$J92,IF(HD92&gt;0,HD92*$K92,DE92*$J92))*IF(65=$R92,$S92,12)/12,6)+$B$4),DE92-$I92)))))</f>
        <v/>
      </c>
      <c r="DG92" s="68">
        <f>IF($U92=0,0,IF($F92=4,0,IF($F92=3,0,IF(OR(66&gt;$R92,DF92&lt;=$I92),DF92,DF92-MIN(INT(ROUND(IF($F92=1,$C92*$J92,IF(HE92&gt;0,HE92*$K92,DF92*$J92))*IF(66=$R92,$S92,12)/12,6)+$B$4),DF92-$I92)))))</f>
        <v/>
      </c>
      <c r="DH92" s="68">
        <f>IF($U92=0,0,IF($F92=4,0,IF($F92=3,0,IF(OR(67&gt;$R92,DG92&lt;=$I92),DG92,DG92-MIN(INT(ROUND(IF($F92=1,$C92*$J92,IF(HF92&gt;0,HF92*$K92,DG92*$J92))*IF(67=$R92,$S92,12)/12,6)+$B$4),DG92-$I92)))))</f>
        <v/>
      </c>
      <c r="DI92" s="68">
        <f>IF($U92=0,0,IF($F92=4,0,IF($F92=3,0,IF(OR(68&gt;$R92,DH92&lt;=$I92),DH92,DH92-MIN(INT(ROUND(IF($F92=1,$C92*$J92,IF(HG92&gt;0,HG92*$K92,DH92*$J92))*IF(68=$R92,$S92,12)/12,6)+$B$4),DH92-$I92)))))</f>
        <v/>
      </c>
      <c r="DJ92" s="68">
        <f>IF($U92=0,0,IF($F92=4,0,IF($F92=3,0,IF(OR(69&gt;$R92,DI92&lt;=$I92),DI92,DI92-MIN(INT(ROUND(IF($F92=1,$C92*$J92,IF(HH92&gt;0,HH92*$K92,DI92*$J92))*IF(69=$R92,$S92,12)/12,6)+$B$4),DI92-$I92)))))</f>
        <v/>
      </c>
      <c r="DK92" s="68">
        <f>IF($U92=0,0,IF($F92=4,0,IF($F92=3,0,IF(OR(70&gt;$R92,DJ92&lt;=$I92),DJ92,DJ92-MIN(INT(ROUND(IF($F92=1,$C92*$J92,IF(HI92&gt;0,HI92*$K92,DJ92*$J92))*IF(70=$R92,$S92,12)/12,6)+$B$4),DJ92-$I92)))))</f>
        <v/>
      </c>
      <c r="DL92" s="68">
        <f>IF($U92=0,0,IF($F92=4,0,IF($F92=3,0,IF(OR(71&gt;$R92,DK92&lt;=$I92),DK92,DK92-MIN(INT(ROUND(IF($F92=1,$C92*$J92,IF(HJ92&gt;0,HJ92*$K92,DK92*$J92))*IF(71=$R92,$S92,12)/12,6)+$B$4),DK92-$I92)))))</f>
        <v/>
      </c>
      <c r="DM92" s="68">
        <f>IF($U92=0,0,IF($F92=4,0,IF($F92=3,0,IF(OR(72&gt;$R92,DL92&lt;=$I92),DL92,DL92-MIN(INT(ROUND(IF($F92=1,$C92*$J92,IF(HK92&gt;0,HK92*$K92,DL92*$J92))*IF(72=$R92,$S92,12)/12,6)+$B$4),DL92-$I92)))))</f>
        <v/>
      </c>
      <c r="DN92" s="68">
        <f>IF($U92=0,0,IF($F92=4,0,IF($F92=3,0,IF(OR(73&gt;$R92,DM92&lt;=$I92),DM92,DM92-MIN(INT(ROUND(IF($F92=1,$C92*$J92,IF(HL92&gt;0,HL92*$K92,DM92*$J92))*IF(73=$R92,$S92,12)/12,6)+$B$4),DM92-$I92)))))</f>
        <v/>
      </c>
      <c r="DO92" s="68">
        <f>IF($U92=0,0,IF($F92=4,0,IF($F92=3,0,IF(OR(74&gt;$R92,DN92&lt;=$I92),DN92,DN92-MIN(INT(ROUND(IF($F92=1,$C92*$J92,IF(HM92&gt;0,HM92*$K92,DN92*$J92))*IF(74=$R92,$S92,12)/12,6)+$B$4),DN92-$I92)))))</f>
        <v/>
      </c>
      <c r="DP92" s="68">
        <f>IF($U92=0,0,IF($F92=4,0,IF($F92=3,0,IF(OR(75&gt;$R92,DO92&lt;=$I92),DO92,DO92-MIN(INT(ROUND(IF($F92=1,$C92*$J92,IF(HN92&gt;0,HN92*$K92,DO92*$J92))*IF(75=$R92,$S92,12)/12,6)+$B$4),DO92-$I92)))))</f>
        <v/>
      </c>
      <c r="DQ92" s="68">
        <f>IF($U92=0,0,IF($F92=4,0,IF($F92=3,0,IF(OR(76&gt;$R92,DP92&lt;=$I92),DP92,DP92-MIN(INT(ROUND(IF($F92=1,$C92*$J92,IF(HO92&gt;0,HO92*$K92,DP92*$J92))*IF(76=$R92,$S92,12)/12,6)+$B$4),DP92-$I92)))))</f>
        <v/>
      </c>
      <c r="DR92" s="68">
        <f>IF($U92=0,0,IF($F92=4,0,IF($F92=3,0,IF(OR(77&gt;$R92,DQ92&lt;=$I92),DQ92,DQ92-MIN(INT(ROUND(IF($F92=1,$C92*$J92,IF(HP92&gt;0,HP92*$K92,DQ92*$J92))*IF(77=$R92,$S92,12)/12,6)+$B$4),DQ92-$I92)))))</f>
        <v/>
      </c>
      <c r="DS92" s="68">
        <f>IF($U92=0,0,IF($F92=4,0,IF($F92=3,0,IF(OR(78&gt;$R92,DR92&lt;=$I92),DR92,DR92-MIN(INT(ROUND(IF($F92=1,$C92*$J92,IF(HQ92&gt;0,HQ92*$K92,DR92*$J92))*IF(78=$R92,$S92,12)/12,6)+$B$4),DR92-$I92)))))</f>
        <v/>
      </c>
      <c r="DT92" s="68">
        <f>IF($U92=0,0,IF($F92=4,0,IF($F92=3,0,IF(OR(79&gt;$R92,DS92&lt;=$I92),DS92,DS92-MIN(INT(ROUND(IF($F92=1,$C92*$J92,IF(HR92&gt;0,HR92*$K92,DS92*$J92))*IF(79=$R92,$S92,12)/12,6)+$B$4),DS92-$I92)))))</f>
        <v/>
      </c>
      <c r="DU92" s="68">
        <f>IF($U92=0,0,IF($F92=4,0,IF($F92=3,0,IF(OR(80&gt;$R92,DT92&lt;=$I92),DT92,DT92-MIN(INT(ROUND(IF($F92=1,$C92*$J92,IF(HS92&gt;0,HS92*$K92,DT92*$J92))*IF(80=$R92,$S92,12)/12,6)+$B$4),DT92-$I92)))))</f>
        <v/>
      </c>
      <c r="DV92" s="68">
        <f>IF($U92=0,0,IF($F92=4,0,IF($F92=3,0,IF(OR(81&gt;$R92,DU92&lt;=$I92),DU92,DU92-MIN(INT(ROUND(IF($F92=1,$C92*$J92,IF(HT92&gt;0,HT92*$K92,DU92*$J92))*IF(81=$R92,$S92,12)/12,6)+$B$4),DU92-$I92)))))</f>
        <v/>
      </c>
      <c r="DW92" s="68">
        <f>IF($U92=0,0,IF($F92=4,0,IF($F92=3,0,IF(OR(82&gt;$R92,DV92&lt;=$I92),DV92,DV92-MIN(INT(ROUND(IF($F92=1,$C92*$J92,IF(HU92&gt;0,HU92*$K92,DV92*$J92))*IF(82=$R92,$S92,12)/12,6)+$B$4),DV92-$I92)))))</f>
        <v/>
      </c>
      <c r="DX92" s="68">
        <f>IF($U92=0,0,IF($F92=4,0,IF($F92=3,0,IF(OR(83&gt;$R92,DW92&lt;=$I92),DW92,DW92-MIN(INT(ROUND(IF($F92=1,$C92*$J92,IF(HV92&gt;0,HV92*$K92,DW92*$J92))*IF(83=$R92,$S92,12)/12,6)+$B$4),DW92-$I92)))))</f>
        <v/>
      </c>
      <c r="DY92" s="68">
        <f>IF($U92=0,0,IF($F92=4,0,IF($F92=3,0,IF(OR(84&gt;$R92,DX92&lt;=$I92),DX92,DX92-MIN(INT(ROUND(IF($F92=1,$C92*$J92,IF(HW92&gt;0,HW92*$K92,DX92*$J92))*IF(84=$R92,$S92,12)/12,6)+$B$4),DX92-$I92)))))</f>
        <v/>
      </c>
      <c r="DZ92" s="68">
        <f>IF($U92=0,0,IF($F92=4,0,IF($F92=3,0,IF(OR(85&gt;$R92,DY92&lt;=$I92),DY92,DY92-MIN(INT(ROUND(IF($F92=1,$C92*$J92,IF(HX92&gt;0,HX92*$K92,DY92*$J92))*IF(85=$R92,$S92,12)/12,6)+$B$4),DY92-$I92)))))</f>
        <v/>
      </c>
      <c r="EA92" s="68">
        <f>IF($U92=0,0,IF($F92=4,0,IF($F92=3,0,IF(OR(86&gt;$R92,DZ92&lt;=$I92),DZ92,DZ92-MIN(INT(ROUND(IF($F92=1,$C92*$J92,IF(HY92&gt;0,HY92*$K92,DZ92*$J92))*IF(86=$R92,$S92,12)/12,6)+$B$4),DZ92-$I92)))))</f>
        <v/>
      </c>
      <c r="EB92" s="68">
        <f>IF($U92=0,0,IF($F92=4,0,IF($F92=3,0,IF(OR(87&gt;$R92,EA92&lt;=$I92),EA92,EA92-MIN(INT(ROUND(IF($F92=1,$C92*$J92,IF(HZ92&gt;0,HZ92*$K92,EA92*$J92))*IF(87=$R92,$S92,12)/12,6)+$B$4),EA92-$I92)))))</f>
        <v/>
      </c>
      <c r="EC92" s="68">
        <f>IF($U92=0,0,IF($F92=4,0,IF($F92=3,0,IF(OR(88&gt;$R92,EB92&lt;=$I92),EB92,EB92-MIN(INT(ROUND(IF($F92=1,$C92*$J92,IF(IA92&gt;0,IA92*$K92,EB92*$J92))*IF(88=$R92,$S92,12)/12,6)+$B$4),EB92-$I92)))))</f>
        <v/>
      </c>
      <c r="ED92" s="68">
        <f>IF($U92=0,0,IF($F92=4,0,IF($F92=3,0,IF(OR(89&gt;$R92,EC92&lt;=$I92),EC92,EC92-MIN(INT(ROUND(IF($F92=1,$C92*$J92,IF(IB92&gt;0,IB92*$K92,EC92*$J92))*IF(89=$R92,$S92,12)/12,6)+$B$4),EC92-$I92)))))</f>
        <v/>
      </c>
      <c r="EE92" s="68">
        <f>IF($U92=0,0,IF($F92=4,0,IF($F92=3,0,IF(OR(90&gt;$R92,ED92&lt;=$I92),ED92,ED92-MIN(INT(ROUND(IF($F92=1,$C92*$J92,IF(IC92&gt;0,IC92*$K92,ED92*$J92))*IF(90=$R92,$S92,12)/12,6)+$B$4),ED92-$I92)))))</f>
        <v/>
      </c>
      <c r="EF92" s="68">
        <f>IF($U92=0,0,IF($F92=4,0,IF($F92=3,0,IF(OR(91&gt;$R92,EE92&lt;=$I92),EE92,EE92-MIN(INT(ROUND(IF($F92=1,$C92*$J92,IF(ID92&gt;0,ID92*$K92,EE92*$J92))*IF(91=$R92,$S92,12)/12,6)+$B$4),EE92-$I92)))))</f>
        <v/>
      </c>
      <c r="EG92" s="68">
        <f>IF($U92=0,0,IF($F92=4,0,IF($F92=3,0,IF(OR(92&gt;$R92,EF92&lt;=$I92),EF92,EF92-MIN(INT(ROUND(IF($F92=1,$C92*$J92,IF(IE92&gt;0,IE92*$K92,EF92*$J92))*IF(92=$R92,$S92,12)/12,6)+$B$4),EF92-$I92)))))</f>
        <v/>
      </c>
      <c r="EH92" s="68">
        <f>IF($U92=0,0,IF($F92=4,0,IF($F92=3,0,IF(OR(93&gt;$R92,EG92&lt;=$I92),EG92,EG92-MIN(INT(ROUND(IF($F92=1,$C92*$J92,IF(IF92&gt;0,IF92*$K92,EG92*$J92))*IF(93=$R92,$S92,12)/12,6)+$B$4),EG92-$I92)))))</f>
        <v/>
      </c>
      <c r="EI92" s="68">
        <f>IF($U92=0,0,IF($F92=4,0,IF($F92=3,0,IF(OR(94&gt;$R92,EH92&lt;=$I92),EH92,EH92-MIN(INT(ROUND(IF($F92=1,$C92*$J92,IF(IG92&gt;0,IG92*$K92,EH92*$J92))*IF(94=$R92,$S92,12)/12,6)+$B$4),EH92-$I92)))))</f>
        <v/>
      </c>
      <c r="EJ92" s="68">
        <f>IF($U92=0,0,IF($F92=4,0,IF($F92=3,0,IF(OR(95&gt;$R92,EI92&lt;=$I92),EI92,EI92-MIN(INT(ROUND(IF($F92=1,$C92*$J92,IF(IH92&gt;0,IH92*$K92,EI92*$J92))*IF(95=$R92,$S92,12)/12,6)+$B$4),EI92-$I92)))))</f>
        <v/>
      </c>
      <c r="EK92" s="68">
        <f>IF($U92=0,0,IF($F92=4,0,IF($F92=3,0,IF(OR(96&gt;$R92,EJ92&lt;=$I92),EJ92,EJ92-MIN(INT(ROUND(IF($F92=1,$C92*$J92,IF(II92&gt;0,II92*$K92,EJ92*$J92))*IF(96=$R92,$S92,12)/12,6)+$B$4),EJ92-$I92)))))</f>
        <v/>
      </c>
      <c r="EL92" s="68">
        <f>IF($U92=0,0,IF($F92=4,0,IF($F92=3,0,IF(OR(97&gt;$R92,EK92&lt;=$I92),EK92,EK92-MIN(INT(ROUND(IF($F92=1,$C92*$J92,IF(IJ92&gt;0,IJ92*$K92,EK92*$J92))*IF(97=$R92,$S92,12)/12,6)+$B$4),EK92-$I92)))))</f>
        <v/>
      </c>
      <c r="EM92" s="68">
        <f>IF($U92=0,0,IF($F92=4,0,IF($F92=3,0,IF(OR(98&gt;$R92,EL92&lt;=$I92),EL92,EL92-MIN(INT(ROUND(IF($F92=1,$C92*$J92,IF(IK92&gt;0,IK92*$K92,EL92*$J92))*IF(98=$R92,$S92,12)/12,6)+$B$4),EL92-$I92)))))</f>
        <v/>
      </c>
      <c r="EN92" s="68">
        <f>IF($U92=0,0,IF($F92=4,0,IF($F92=3,0,IF(OR(99&gt;$R92,EM92&lt;=$I92),EM92,EM92-MIN(INT(ROUND(IF($F92=1,$C92*$J92,IF(IL92&gt;0,IL92*$K92,EM92*$J92))*IF(99=$R92,$S92,12)/12,6)+$B$4),EM92-$I92)))))</f>
        <v/>
      </c>
      <c r="EO92" s="68">
        <f>IF($U92=0,0,IF($F92=4,0,IF($F92=3,0,IF(OR(100&gt;$R92,EN92&lt;=$I92),EN92,EN92-MIN(INT(ROUND(IF($F92=1,$C92*$J92,IF(IM92&gt;0,IM92*$K92,EN92*$J92))*IF(100=$R92,$S92,12)/12,6)+$B$4),EN92-$I92)))))</f>
        <v/>
      </c>
      <c r="EP92" s="68">
        <f>IF($U92=0,0,IF($F92=4,0,IF($F92=3,0,IF(OR(101&gt;$R92,EO92&lt;=$I92),EO92,EO92-MIN(INT(ROUND(IF($F92=1,$C92*$J92,IF(IN92&gt;0,IN92*$K92,EO92*$J92))*IF(101=$R92,$S92,12)/12,6)+$B$4),EO92-$I92)))))</f>
        <v/>
      </c>
      <c r="EQ92" s="68" t="n"/>
      <c r="ER92" s="68">
        <f>IF(OR($U92=0,$F92&lt;&gt;2),0,IF(ROUND(AS92*$J92,6)&lt;ROUND($M92,6),AS92,0))</f>
        <v/>
      </c>
      <c r="ES92" s="68">
        <f>IF(OR($U92=0,$F92&lt;&gt;2),0,IF(ER92&gt;0,ER92,IF(ROUND(AT92*$J92,6)&lt;ROUND($M92,6),AT92,0)))</f>
        <v/>
      </c>
      <c r="ET92" s="68">
        <f>IF(OR($U92=0,$F92&lt;&gt;2),0,IF(ES92&gt;0,ES92,IF(ROUND(AU92*$J92,6)&lt;ROUND($M92,6),AU92,0)))</f>
        <v/>
      </c>
      <c r="EU92" s="68">
        <f>IF(OR($U92=0,$F92&lt;&gt;2),0,IF(ET92&gt;0,ET92,IF(ROUND(AV92*$J92,6)&lt;ROUND($M92,6),AV92,0)))</f>
        <v/>
      </c>
      <c r="EV92" s="68">
        <f>IF(OR($U92=0,$F92&lt;&gt;2),0,IF(EU92&gt;0,EU92,IF(ROUND(AW92*$J92,6)&lt;ROUND($M92,6),AW92,0)))</f>
        <v/>
      </c>
      <c r="EW92" s="68">
        <f>IF(OR($U92=0,$F92&lt;&gt;2),0,IF(EV92&gt;0,EV92,IF(ROUND(AX92*$J92,6)&lt;ROUND($M92,6),AX92,0)))</f>
        <v/>
      </c>
      <c r="EX92" s="68">
        <f>IF(OR($U92=0,$F92&lt;&gt;2),0,IF(EW92&gt;0,EW92,IF(ROUND(AY92*$J92,6)&lt;ROUND($M92,6),AY92,0)))</f>
        <v/>
      </c>
      <c r="EY92" s="68">
        <f>IF(OR($U92=0,$F92&lt;&gt;2),0,IF(EX92&gt;0,EX92,IF(ROUND(AZ92*$J92,6)&lt;ROUND($M92,6),AZ92,0)))</f>
        <v/>
      </c>
      <c r="EZ92" s="68">
        <f>IF(OR($U92=0,$F92&lt;&gt;2),0,IF(EY92&gt;0,EY92,IF(ROUND(BA92*$J92,6)&lt;ROUND($M92,6),BA92,0)))</f>
        <v/>
      </c>
      <c r="FA92" s="68">
        <f>IF(OR($U92=0,$F92&lt;&gt;2),0,IF(EZ92&gt;0,EZ92,IF(ROUND(BB92*$J92,6)&lt;ROUND($M92,6),BB92,0)))</f>
        <v/>
      </c>
      <c r="FB92" s="68">
        <f>IF(OR($U92=0,$F92&lt;&gt;2),0,IF(FA92&gt;0,FA92,IF(ROUND(BC92*$J92,6)&lt;ROUND($M92,6),BC92,0)))</f>
        <v/>
      </c>
      <c r="FC92" s="68">
        <f>IF(OR($U92=0,$F92&lt;&gt;2),0,IF(FB92&gt;0,FB92,IF(ROUND(BD92*$J92,6)&lt;ROUND($M92,6),BD92,0)))</f>
        <v/>
      </c>
      <c r="FD92" s="68">
        <f>IF(OR($U92=0,$F92&lt;&gt;2),0,IF(FC92&gt;0,FC92,IF(ROUND(BE92*$J92,6)&lt;ROUND($M92,6),BE92,0)))</f>
        <v/>
      </c>
      <c r="FE92" s="68">
        <f>IF(OR($U92=0,$F92&lt;&gt;2),0,IF(FD92&gt;0,FD92,IF(ROUND(BF92*$J92,6)&lt;ROUND($M92,6),BF92,0)))</f>
        <v/>
      </c>
      <c r="FF92" s="68">
        <f>IF(OR($U92=0,$F92&lt;&gt;2),0,IF(FE92&gt;0,FE92,IF(ROUND(BG92*$J92,6)&lt;ROUND($M92,6),BG92,0)))</f>
        <v/>
      </c>
      <c r="FG92" s="68">
        <f>IF(OR($U92=0,$F92&lt;&gt;2),0,IF(FF92&gt;0,FF92,IF(ROUND(BH92*$J92,6)&lt;ROUND($M92,6),BH92,0)))</f>
        <v/>
      </c>
      <c r="FH92" s="68">
        <f>IF(OR($U92=0,$F92&lt;&gt;2),0,IF(FG92&gt;0,FG92,IF(ROUND(BI92*$J92,6)&lt;ROUND($M92,6),BI92,0)))</f>
        <v/>
      </c>
      <c r="FI92" s="68">
        <f>IF(OR($U92=0,$F92&lt;&gt;2),0,IF(FH92&gt;0,FH92,IF(ROUND(BJ92*$J92,6)&lt;ROUND($M92,6),BJ92,0)))</f>
        <v/>
      </c>
      <c r="FJ92" s="68">
        <f>IF(OR($U92=0,$F92&lt;&gt;2),0,IF(FI92&gt;0,FI92,IF(ROUND(BK92*$J92,6)&lt;ROUND($M92,6),BK92,0)))</f>
        <v/>
      </c>
      <c r="FK92" s="68">
        <f>IF(OR($U92=0,$F92&lt;&gt;2),0,IF(FJ92&gt;0,FJ92,IF(ROUND(BL92*$J92,6)&lt;ROUND($M92,6),BL92,0)))</f>
        <v/>
      </c>
      <c r="FL92" s="68">
        <f>IF(OR($U92=0,$F92&lt;&gt;2),0,IF(FK92&gt;0,FK92,IF(ROUND(BM92*$J92,6)&lt;ROUND($M92,6),BM92,0)))</f>
        <v/>
      </c>
      <c r="FM92" s="68">
        <f>IF(OR($U92=0,$F92&lt;&gt;2),0,IF(FL92&gt;0,FL92,IF(ROUND(BN92*$J92,6)&lt;ROUND($M92,6),BN92,0)))</f>
        <v/>
      </c>
      <c r="FN92" s="68">
        <f>IF(OR($U92=0,$F92&lt;&gt;2),0,IF(FM92&gt;0,FM92,IF(ROUND(BO92*$J92,6)&lt;ROUND($M92,6),BO92,0)))</f>
        <v/>
      </c>
      <c r="FO92" s="68">
        <f>IF(OR($U92=0,$F92&lt;&gt;2),0,IF(FN92&gt;0,FN92,IF(ROUND(BP92*$J92,6)&lt;ROUND($M92,6),BP92,0)))</f>
        <v/>
      </c>
      <c r="FP92" s="68">
        <f>IF(OR($U92=0,$F92&lt;&gt;2),0,IF(FO92&gt;0,FO92,IF(ROUND(BQ92*$J92,6)&lt;ROUND($M92,6),BQ92,0)))</f>
        <v/>
      </c>
      <c r="FQ92" s="68">
        <f>IF(OR($U92=0,$F92&lt;&gt;2),0,IF(FP92&gt;0,FP92,IF(ROUND(BR92*$J92,6)&lt;ROUND($M92,6),BR92,0)))</f>
        <v/>
      </c>
      <c r="FR92" s="68">
        <f>IF(OR($U92=0,$F92&lt;&gt;2),0,IF(FQ92&gt;0,FQ92,IF(ROUND(BS92*$J92,6)&lt;ROUND($M92,6),BS92,0)))</f>
        <v/>
      </c>
      <c r="FS92" s="68">
        <f>IF(OR($U92=0,$F92&lt;&gt;2),0,IF(FR92&gt;0,FR92,IF(ROUND(BT92*$J92,6)&lt;ROUND($M92,6),BT92,0)))</f>
        <v/>
      </c>
      <c r="FT92" s="68">
        <f>IF(OR($U92=0,$F92&lt;&gt;2),0,IF(FS92&gt;0,FS92,IF(ROUND(BU92*$J92,6)&lt;ROUND($M92,6),BU92,0)))</f>
        <v/>
      </c>
      <c r="FU92" s="68">
        <f>IF(OR($U92=0,$F92&lt;&gt;2),0,IF(FT92&gt;0,FT92,IF(ROUND(BV92*$J92,6)&lt;ROUND($M92,6),BV92,0)))</f>
        <v/>
      </c>
      <c r="FV92" s="68">
        <f>IF(OR($U92=0,$F92&lt;&gt;2),0,IF(FU92&gt;0,FU92,IF(ROUND(BW92*$J92,6)&lt;ROUND($M92,6),BW92,0)))</f>
        <v/>
      </c>
      <c r="FW92" s="68">
        <f>IF(OR($U92=0,$F92&lt;&gt;2),0,IF(FV92&gt;0,FV92,IF(ROUND(BX92*$J92,6)&lt;ROUND($M92,6),BX92,0)))</f>
        <v/>
      </c>
      <c r="FX92" s="68">
        <f>IF(OR($U92=0,$F92&lt;&gt;2),0,IF(FW92&gt;0,FW92,IF(ROUND(BY92*$J92,6)&lt;ROUND($M92,6),BY92,0)))</f>
        <v/>
      </c>
      <c r="FY92" s="68">
        <f>IF(OR($U92=0,$F92&lt;&gt;2),0,IF(FX92&gt;0,FX92,IF(ROUND(BZ92*$J92,6)&lt;ROUND($M92,6),BZ92,0)))</f>
        <v/>
      </c>
      <c r="FZ92" s="68">
        <f>IF(OR($U92=0,$F92&lt;&gt;2),0,IF(FY92&gt;0,FY92,IF(ROUND(CA92*$J92,6)&lt;ROUND($M92,6),CA92,0)))</f>
        <v/>
      </c>
      <c r="GA92" s="68">
        <f>IF(OR($U92=0,$F92&lt;&gt;2),0,IF(FZ92&gt;0,FZ92,IF(ROUND(CB92*$J92,6)&lt;ROUND($M92,6),CB92,0)))</f>
        <v/>
      </c>
      <c r="GB92" s="68">
        <f>IF(OR($U92=0,$F92&lt;&gt;2),0,IF(GA92&gt;0,GA92,IF(ROUND(CC92*$J92,6)&lt;ROUND($M92,6),CC92,0)))</f>
        <v/>
      </c>
      <c r="GC92" s="68">
        <f>IF(OR($U92=0,$F92&lt;&gt;2),0,IF(GB92&gt;0,GB92,IF(ROUND(CD92*$J92,6)&lt;ROUND($M92,6),CD92,0)))</f>
        <v/>
      </c>
      <c r="GD92" s="68">
        <f>IF(OR($U92=0,$F92&lt;&gt;2),0,IF(GC92&gt;0,GC92,IF(ROUND(CE92*$J92,6)&lt;ROUND($M92,6),CE92,0)))</f>
        <v/>
      </c>
      <c r="GE92" s="68">
        <f>IF(OR($U92=0,$F92&lt;&gt;2),0,IF(GD92&gt;0,GD92,IF(ROUND(CF92*$J92,6)&lt;ROUND($M92,6),CF92,0)))</f>
        <v/>
      </c>
      <c r="GF92" s="68">
        <f>IF(OR($U92=0,$F92&lt;&gt;2),0,IF(GE92&gt;0,GE92,IF(ROUND(CG92*$J92,6)&lt;ROUND($M92,6),CG92,0)))</f>
        <v/>
      </c>
      <c r="GG92" s="68">
        <f>IF(OR($U92=0,$F92&lt;&gt;2),0,IF(GF92&gt;0,GF92,IF(ROUND(CH92*$J92,6)&lt;ROUND($M92,6),CH92,0)))</f>
        <v/>
      </c>
      <c r="GH92" s="68">
        <f>IF(OR($U92=0,$F92&lt;&gt;2),0,IF(GG92&gt;0,GG92,IF(ROUND(CI92*$J92,6)&lt;ROUND($M92,6),CI92,0)))</f>
        <v/>
      </c>
      <c r="GI92" s="68">
        <f>IF(OR($U92=0,$F92&lt;&gt;2),0,IF(GH92&gt;0,GH92,IF(ROUND(CJ92*$J92,6)&lt;ROUND($M92,6),CJ92,0)))</f>
        <v/>
      </c>
      <c r="GJ92" s="68">
        <f>IF(OR($U92=0,$F92&lt;&gt;2),0,IF(GI92&gt;0,GI92,IF(ROUND(CK92*$J92,6)&lt;ROUND($M92,6),CK92,0)))</f>
        <v/>
      </c>
      <c r="GK92" s="68">
        <f>IF(OR($U92=0,$F92&lt;&gt;2),0,IF(GJ92&gt;0,GJ92,IF(ROUND(CL92*$J92,6)&lt;ROUND($M92,6),CL92,0)))</f>
        <v/>
      </c>
      <c r="GL92" s="68">
        <f>IF(OR($U92=0,$F92&lt;&gt;2),0,IF(GK92&gt;0,GK92,IF(ROUND(CM92*$J92,6)&lt;ROUND($M92,6),CM92,0)))</f>
        <v/>
      </c>
      <c r="GM92" s="68">
        <f>IF(OR($U92=0,$F92&lt;&gt;2),0,IF(GL92&gt;0,GL92,IF(ROUND(CN92*$J92,6)&lt;ROUND($M92,6),CN92,0)))</f>
        <v/>
      </c>
      <c r="GN92" s="68">
        <f>IF(OR($U92=0,$F92&lt;&gt;2),0,IF(GM92&gt;0,GM92,IF(ROUND(CO92*$J92,6)&lt;ROUND($M92,6),CO92,0)))</f>
        <v/>
      </c>
      <c r="GO92" s="68">
        <f>IF(OR($U92=0,$F92&lt;&gt;2),0,IF(GN92&gt;0,GN92,IF(ROUND(CP92*$J92,6)&lt;ROUND($M92,6),CP92,0)))</f>
        <v/>
      </c>
      <c r="GP92" s="68">
        <f>IF(OR($U92=0,$F92&lt;&gt;2),0,IF(GO92&gt;0,GO92,IF(ROUND(CQ92*$J92,6)&lt;ROUND($M92,6),CQ92,0)))</f>
        <v/>
      </c>
      <c r="GQ92" s="68">
        <f>IF(OR($U92=0,$F92&lt;&gt;2),0,IF(GP92&gt;0,GP92,IF(ROUND(CR92*$J92,6)&lt;ROUND($M92,6),CR92,0)))</f>
        <v/>
      </c>
      <c r="GR92" s="68">
        <f>IF(OR($U92=0,$F92&lt;&gt;2),0,IF(GQ92&gt;0,GQ92,IF(ROUND(CS92*$J92,6)&lt;ROUND($M92,6),CS92,0)))</f>
        <v/>
      </c>
      <c r="GS92" s="68">
        <f>IF(OR($U92=0,$F92&lt;&gt;2),0,IF(GR92&gt;0,GR92,IF(ROUND(CT92*$J92,6)&lt;ROUND($M92,6),CT92,0)))</f>
        <v/>
      </c>
      <c r="GT92" s="68">
        <f>IF(OR($U92=0,$F92&lt;&gt;2),0,IF(GS92&gt;0,GS92,IF(ROUND(CU92*$J92,6)&lt;ROUND($M92,6),CU92,0)))</f>
        <v/>
      </c>
      <c r="GU92" s="68">
        <f>IF(OR($U92=0,$F92&lt;&gt;2),0,IF(GT92&gt;0,GT92,IF(ROUND(CV92*$J92,6)&lt;ROUND($M92,6),CV92,0)))</f>
        <v/>
      </c>
      <c r="GV92" s="68">
        <f>IF(OR($U92=0,$F92&lt;&gt;2),0,IF(GU92&gt;0,GU92,IF(ROUND(CW92*$J92,6)&lt;ROUND($M92,6),CW92,0)))</f>
        <v/>
      </c>
      <c r="GW92" s="68">
        <f>IF(OR($U92=0,$F92&lt;&gt;2),0,IF(GV92&gt;0,GV92,IF(ROUND(CX92*$J92,6)&lt;ROUND($M92,6),CX92,0)))</f>
        <v/>
      </c>
      <c r="GX92" s="68">
        <f>IF(OR($U92=0,$F92&lt;&gt;2),0,IF(GW92&gt;0,GW92,IF(ROUND(CY92*$J92,6)&lt;ROUND($M92,6),CY92,0)))</f>
        <v/>
      </c>
      <c r="GY92" s="68">
        <f>IF(OR($U92=0,$F92&lt;&gt;2),0,IF(GX92&gt;0,GX92,IF(ROUND(CZ92*$J92,6)&lt;ROUND($M92,6),CZ92,0)))</f>
        <v/>
      </c>
      <c r="GZ92" s="68">
        <f>IF(OR($U92=0,$F92&lt;&gt;2),0,IF(GY92&gt;0,GY92,IF(ROUND(DA92*$J92,6)&lt;ROUND($M92,6),DA92,0)))</f>
        <v/>
      </c>
      <c r="HA92" s="68">
        <f>IF(OR($U92=0,$F92&lt;&gt;2),0,IF(GZ92&gt;0,GZ92,IF(ROUND(DB92*$J92,6)&lt;ROUND($M92,6),DB92,0)))</f>
        <v/>
      </c>
      <c r="HB92" s="68">
        <f>IF(OR($U92=0,$F92&lt;&gt;2),0,IF(HA92&gt;0,HA92,IF(ROUND(DC92*$J92,6)&lt;ROUND($M92,6),DC92,0)))</f>
        <v/>
      </c>
      <c r="HC92" s="68">
        <f>IF(OR($U92=0,$F92&lt;&gt;2),0,IF(HB92&gt;0,HB92,IF(ROUND(DD92*$J92,6)&lt;ROUND($M92,6),DD92,0)))</f>
        <v/>
      </c>
      <c r="HD92" s="68">
        <f>IF(OR($U92=0,$F92&lt;&gt;2),0,IF(HC92&gt;0,HC92,IF(ROUND(DE92*$J92,6)&lt;ROUND($M92,6),DE92,0)))</f>
        <v/>
      </c>
      <c r="HE92" s="68">
        <f>IF(OR($U92=0,$F92&lt;&gt;2),0,IF(HD92&gt;0,HD92,IF(ROUND(DF92*$J92,6)&lt;ROUND($M92,6),DF92,0)))</f>
        <v/>
      </c>
      <c r="HF92" s="68">
        <f>IF(OR($U92=0,$F92&lt;&gt;2),0,IF(HE92&gt;0,HE92,IF(ROUND(DG92*$J92,6)&lt;ROUND($M92,6),DG92,0)))</f>
        <v/>
      </c>
      <c r="HG92" s="68">
        <f>IF(OR($U92=0,$F92&lt;&gt;2),0,IF(HF92&gt;0,HF92,IF(ROUND(DH92*$J92,6)&lt;ROUND($M92,6),DH92,0)))</f>
        <v/>
      </c>
      <c r="HH92" s="68">
        <f>IF(OR($U92=0,$F92&lt;&gt;2),0,IF(HG92&gt;0,HG92,IF(ROUND(DI92*$J92,6)&lt;ROUND($M92,6),DI92,0)))</f>
        <v/>
      </c>
      <c r="HI92" s="68">
        <f>IF(OR($U92=0,$F92&lt;&gt;2),0,IF(HH92&gt;0,HH92,IF(ROUND(DJ92*$J92,6)&lt;ROUND($M92,6),DJ92,0)))</f>
        <v/>
      </c>
      <c r="HJ92" s="68">
        <f>IF(OR($U92=0,$F92&lt;&gt;2),0,IF(HI92&gt;0,HI92,IF(ROUND(DK92*$J92,6)&lt;ROUND($M92,6),DK92,0)))</f>
        <v/>
      </c>
      <c r="HK92" s="68">
        <f>IF(OR($U92=0,$F92&lt;&gt;2),0,IF(HJ92&gt;0,HJ92,IF(ROUND(DL92*$J92,6)&lt;ROUND($M92,6),DL92,0)))</f>
        <v/>
      </c>
      <c r="HL92" s="68">
        <f>IF(OR($U92=0,$F92&lt;&gt;2),0,IF(HK92&gt;0,HK92,IF(ROUND(DM92*$J92,6)&lt;ROUND($M92,6),DM92,0)))</f>
        <v/>
      </c>
      <c r="HM92" s="68">
        <f>IF(OR($U92=0,$F92&lt;&gt;2),0,IF(HL92&gt;0,HL92,IF(ROUND(DN92*$J92,6)&lt;ROUND($M92,6),DN92,0)))</f>
        <v/>
      </c>
      <c r="HN92" s="68">
        <f>IF(OR($U92=0,$F92&lt;&gt;2),0,IF(HM92&gt;0,HM92,IF(ROUND(DO92*$J92,6)&lt;ROUND($M92,6),DO92,0)))</f>
        <v/>
      </c>
      <c r="HO92" s="68">
        <f>IF(OR($U92=0,$F92&lt;&gt;2),0,IF(HN92&gt;0,HN92,IF(ROUND(DP92*$J92,6)&lt;ROUND($M92,6),DP92,0)))</f>
        <v/>
      </c>
      <c r="HP92" s="68">
        <f>IF(OR($U92=0,$F92&lt;&gt;2),0,IF(HO92&gt;0,HO92,IF(ROUND(DQ92*$J92,6)&lt;ROUND($M92,6),DQ92,0)))</f>
        <v/>
      </c>
      <c r="HQ92" s="68">
        <f>IF(OR($U92=0,$F92&lt;&gt;2),0,IF(HP92&gt;0,HP92,IF(ROUND(DR92*$J92,6)&lt;ROUND($M92,6),DR92,0)))</f>
        <v/>
      </c>
      <c r="HR92" s="68">
        <f>IF(OR($U92=0,$F92&lt;&gt;2),0,IF(HQ92&gt;0,HQ92,IF(ROUND(DS92*$J92,6)&lt;ROUND($M92,6),DS92,0)))</f>
        <v/>
      </c>
      <c r="HS92" s="68">
        <f>IF(OR($U92=0,$F92&lt;&gt;2),0,IF(HR92&gt;0,HR92,IF(ROUND(DT92*$J92,6)&lt;ROUND($M92,6),DT92,0)))</f>
        <v/>
      </c>
      <c r="HT92" s="68">
        <f>IF(OR($U92=0,$F92&lt;&gt;2),0,IF(HS92&gt;0,HS92,IF(ROUND(DU92*$J92,6)&lt;ROUND($M92,6),DU92,0)))</f>
        <v/>
      </c>
      <c r="HU92" s="68">
        <f>IF(OR($U92=0,$F92&lt;&gt;2),0,IF(HT92&gt;0,HT92,IF(ROUND(DV92*$J92,6)&lt;ROUND($M92,6),DV92,0)))</f>
        <v/>
      </c>
      <c r="HV92" s="68">
        <f>IF(OR($U92=0,$F92&lt;&gt;2),0,IF(HU92&gt;0,HU92,IF(ROUND(DW92*$J92,6)&lt;ROUND($M92,6),DW92,0)))</f>
        <v/>
      </c>
      <c r="HW92" s="68">
        <f>IF(OR($U92=0,$F92&lt;&gt;2),0,IF(HV92&gt;0,HV92,IF(ROUND(DX92*$J92,6)&lt;ROUND($M92,6),DX92,0)))</f>
        <v/>
      </c>
      <c r="HX92" s="68">
        <f>IF(OR($U92=0,$F92&lt;&gt;2),0,IF(HW92&gt;0,HW92,IF(ROUND(DY92*$J92,6)&lt;ROUND($M92,6),DY92,0)))</f>
        <v/>
      </c>
      <c r="HY92" s="68">
        <f>IF(OR($U92=0,$F92&lt;&gt;2),0,IF(HX92&gt;0,HX92,IF(ROUND(DZ92*$J92,6)&lt;ROUND($M92,6),DZ92,0)))</f>
        <v/>
      </c>
      <c r="HZ92" s="68">
        <f>IF(OR($U92=0,$F92&lt;&gt;2),0,IF(HY92&gt;0,HY92,IF(ROUND(EA92*$J92,6)&lt;ROUND($M92,6),EA92,0)))</f>
        <v/>
      </c>
      <c r="IA92" s="68">
        <f>IF(OR($U92=0,$F92&lt;&gt;2),0,IF(HZ92&gt;0,HZ92,IF(ROUND(EB92*$J92,6)&lt;ROUND($M92,6),EB92,0)))</f>
        <v/>
      </c>
      <c r="IB92" s="68">
        <f>IF(OR($U92=0,$F92&lt;&gt;2),0,IF(IA92&gt;0,IA92,IF(ROUND(EC92*$J92,6)&lt;ROUND($M92,6),EC92,0)))</f>
        <v/>
      </c>
      <c r="IC92" s="68">
        <f>IF(OR($U92=0,$F92&lt;&gt;2),0,IF(IB92&gt;0,IB92,IF(ROUND(ED92*$J92,6)&lt;ROUND($M92,6),ED92,0)))</f>
        <v/>
      </c>
      <c r="ID92" s="68">
        <f>IF(OR($U92=0,$F92&lt;&gt;2),0,IF(IC92&gt;0,IC92,IF(ROUND(EE92*$J92,6)&lt;ROUND($M92,6),EE92,0)))</f>
        <v/>
      </c>
      <c r="IE92" s="68">
        <f>IF(OR($U92=0,$F92&lt;&gt;2),0,IF(ID92&gt;0,ID92,IF(ROUND(EF92*$J92,6)&lt;ROUND($M92,6),EF92,0)))</f>
        <v/>
      </c>
      <c r="IF92" s="68">
        <f>IF(OR($U92=0,$F92&lt;&gt;2),0,IF(IE92&gt;0,IE92,IF(ROUND(EG92*$J92,6)&lt;ROUND($M92,6),EG92,0)))</f>
        <v/>
      </c>
      <c r="IG92" s="68">
        <f>IF(OR($U92=0,$F92&lt;&gt;2),0,IF(IF92&gt;0,IF92,IF(ROUND(EH92*$J92,6)&lt;ROUND($M92,6),EH92,0)))</f>
        <v/>
      </c>
      <c r="IH92" s="68">
        <f>IF(OR($U92=0,$F92&lt;&gt;2),0,IF(IG92&gt;0,IG92,IF(ROUND(EI92*$J92,6)&lt;ROUND($M92,6),EI92,0)))</f>
        <v/>
      </c>
      <c r="II92" s="68">
        <f>IF(OR($U92=0,$F92&lt;&gt;2),0,IF(IH92&gt;0,IH92,IF(ROUND(EJ92*$J92,6)&lt;ROUND($M92,6),EJ92,0)))</f>
        <v/>
      </c>
      <c r="IJ92" s="68">
        <f>IF(OR($U92=0,$F92&lt;&gt;2),0,IF(II92&gt;0,II92,IF(ROUND(EK92*$J92,6)&lt;ROUND($M92,6),EK92,0)))</f>
        <v/>
      </c>
      <c r="IK92" s="68">
        <f>IF(OR($U92=0,$F92&lt;&gt;2),0,IF(IJ92&gt;0,IJ92,IF(ROUND(EL92*$J92,6)&lt;ROUND($M92,6),EL92,0)))</f>
        <v/>
      </c>
      <c r="IL92" s="68">
        <f>IF(OR($U92=0,$F92&lt;&gt;2),0,IF(IK92&gt;0,IK92,IF(ROUND(EM92*$J92,6)&lt;ROUND($M92,6),EM92,0)))</f>
        <v/>
      </c>
      <c r="IM92" s="68">
        <f>IF(OR($U92=0,$F92&lt;&gt;2),0,IF(IL92&gt;0,IL92,IF(ROUND(EN92*$J92,6)&lt;ROUND($M92,6),EN92,0)))</f>
        <v/>
      </c>
      <c r="IN92" s="68">
        <f>IF(OR($U92=0,$F92&lt;&gt;2),0,IF(IM92&gt;0,IM92,IF(ROUND(EO92*$J92,6)&lt;ROUND($M92,6),EO92,0)))</f>
        <v/>
      </c>
    </row>
    <row r="93">
      <c r="A93" s="68" t="n">
        <v>88</v>
      </c>
      <c r="B93" s="68">
        <f>IF(OR(TRIM('固定資産台帳'!$B93)&lt;&gt;"",'固定資産台帳'!$E93&lt;&gt;"",'固定資産台帳'!$G93&lt;&gt;"",'固定資産台帳'!$H93&lt;&gt;""),1,0)</f>
        <v/>
      </c>
      <c r="C93" s="68">
        <f>IF(ISNUMBER('固定資産台帳'!$G93),MAX(ROUND('固定資産台帳'!$G93,0),0),0)</f>
        <v/>
      </c>
      <c r="D93" s="84">
        <f>IF(ISNUMBER('固定資産台帳'!$E93),INT('固定資産台帳'!$E93),0)</f>
        <v/>
      </c>
      <c r="E93" s="84">
        <f>IF(ISNUMBER('固定資産台帳'!$F93),INT('固定資産台帳'!$F93),$D93)</f>
        <v/>
      </c>
      <c r="F93" s="68">
        <f>IF('固定資産台帳'!$H93="定額法",1,IF(OR('固定資産台帳'!$H93="定率法",'固定資産台帳'!$H93="定率法（200%）",'固定資産台帳'!$H93="定率法（250%）"),2,IF('固定資産台帳'!$H93="一括償却（3年）",3,IF('固定資産台帳'!$H93="少額特例",4,0))))</f>
        <v/>
      </c>
      <c r="G93" s="68">
        <f>IF('固定資産台帳'!$H93="定率法（250%）",250,IF('固定資産台帳'!$H93="定率法（200%）",200,IF($D93&gt;=DATE(2012,4,1),200,250)))</f>
        <v/>
      </c>
      <c r="H93" s="68">
        <f>IF(ISNUMBER('固定資産台帳'!$I93),IF(AND('固定資産台帳'!$I93&gt;=2,'固定資産台帳'!$I93&lt;=100,'固定資産台帳'!$I93=INT('固定資産台帳'!$I93)),'固定資産台帳'!$I93,0),0)</f>
        <v/>
      </c>
      <c r="I93" s="68">
        <f>IF('固定資産台帳'!$C93="無形固定資産",0,1)</f>
        <v/>
      </c>
      <c r="J93" s="68">
        <f>IF(OR($H93=0,$F93=0,$F93&gt;2),0,IF($F93=1,INDEX('償却率表'!$B$6:$B$104,$H93-1),IF($G93=200,INDEX('償却率表'!$C$6:$C$104,$H93-1),INDEX('償却率表'!$F$6:$F$104,$H93-1))))</f>
        <v/>
      </c>
      <c r="K93" s="68">
        <f>IF(AND($F93=2,$H93&gt;0),IF($G93=200,INDEX('償却率表'!$D$6:$D$104,$H93-1),INDEX('償却率表'!$G$6:$G$104,$H93-1)),0)</f>
        <v/>
      </c>
      <c r="L93" s="68">
        <f>IF(AND($F93=2,$H93&gt;0),IF($G93=200,INDEX('償却率表'!$E$6:$E$104,$H93-1),INDEX('償却率表'!$H$6:$H$104,$H93-1)),0)</f>
        <v/>
      </c>
      <c r="M93" s="68">
        <f>$C93*$L93</f>
        <v/>
      </c>
      <c r="N93" s="68">
        <f>IF($B$1=1,1,IF('固定資産台帳'!$J93="",1,IF(ISNUMBER('固定資産台帳'!$J93),IF(AND('固定資産台帳'!$J93&gt;0,'固定資産台帳'!$J93&lt;=1),'固定資産台帳'!$J93,0),0)))</f>
        <v/>
      </c>
      <c r="O93" s="68">
        <f>IF($E93=0,0,YEAR($E93)-IF(MONTH($E93)&lt;$B$2,1,0))</f>
        <v/>
      </c>
      <c r="P93" s="68">
        <f>IF($E93=0,0,12-MOD(MONTH($E93)-$B$2,12))</f>
        <v/>
      </c>
      <c r="Q93" s="84">
        <f>IF(ISNUMBER('固定資産台帳'!$K93),INT('固定資産台帳'!$K93),0)</f>
        <v/>
      </c>
      <c r="R93" s="68">
        <f>IF(OR($Q93=0,$E93=0),999,YEAR($Q93)-IF(MONTH($Q93)&lt;$B$2,1,0)-$O93)</f>
        <v/>
      </c>
      <c r="S93" s="68">
        <f>IF($R93=999,0,MOD(MONTH($Q93)-$B$2,12)+1-IF($R93=0,12-$P93,0))</f>
        <v/>
      </c>
      <c r="T93" s="68">
        <f>IF($B93=0,0,IF($C93&lt;=0,1,IF($D93=0,2,IF($F93=0,3,IF(AND($F93&lt;=2,$H93=0),4,IF(AND($F93&lt;=2,$D93&lt;DATE(2007,4,1)),5,IF($E93&lt;$D93,6,IF(AND($Q93&gt;0,$Q93&lt;$E93),7,IF($N93=0,8,IF($B$3=0,9,0))))))))))</f>
        <v/>
      </c>
      <c r="U93" s="68">
        <f>IF(AND($B93=1,$T93=0),1,0)</f>
        <v/>
      </c>
      <c r="V93" s="68">
        <f>$B$3-$O93</f>
        <v/>
      </c>
      <c r="W93" s="68">
        <f>IF(AND($U93=1,$V93&gt;=0),1,0)</f>
        <v/>
      </c>
      <c r="X93" s="68">
        <f>IF($W93=0,0,IF($V93=0,$C93,INDEX($AS93:$EP93,MIN($V93,102))))</f>
        <v/>
      </c>
      <c r="Y93" s="68">
        <f>IF($W93=0,0,INDEX($AS93:$EP93,MIN($V93,101)+1))</f>
        <v/>
      </c>
      <c r="Z93" s="68">
        <f>$X93-$Y93</f>
        <v/>
      </c>
      <c r="AA93" s="68">
        <f>IF(AND($W93=1,$F93=2,$V93&gt;=1),INDEX($ER93:$IN93,MIN($V93,101)),0)</f>
        <v/>
      </c>
      <c r="AB93" s="68">
        <f>IF(OR($W93=0,$F93&gt;2,$Z93=0),0,IF($V93=0,IF($R93=0,$S93,$P93),IF($V93=$R93,$S93,12)))</f>
        <v/>
      </c>
      <c r="AC93" s="68">
        <f>IF($W93=0,0,INT(ROUND($Z93*$N93,6)+$B$4))</f>
        <v/>
      </c>
      <c r="AD93" s="68">
        <f>IF(AND($W93=1,$F93&lt;=2,$V93=$R93),1,0)</f>
        <v/>
      </c>
      <c r="AE93" s="68">
        <f>IF(AND($W93=1,$F93&lt;=2,$V93&gt;$R93),1,0)</f>
        <v/>
      </c>
      <c r="AF93" s="68">
        <f>IF(AND($W93=1,$AE93=0,OR($Z93&gt;0,$AD93=1)),1,0)</f>
        <v/>
      </c>
      <c r="AG93" s="68">
        <f>IF($AF93=1,SUM($AF$6:$AF93),0)</f>
        <v/>
      </c>
      <c r="AH93" s="68">
        <f>IF($T93=0,"",CHOOSE($T93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93" s="68">
        <f>IF(AND($F93=2,OR('固定資産台帳'!$C93="建物",'固定資産台帳'!$C93="無形固定資産",AND(OR('固定資産台帳'!$C93="建物附属設備",'固定資産台帳'!$C93="構築物"),$D93&gt;=DATE(2016,4,1)))),"この資産は定額法だけです（定率法は使えません）。","")&amp;IF(AND($F93=3,$C93&gt;=200000),"一括償却は20万円未満の資産だけです。","")&amp;IF(AND($F93=3,$B$1=0,$C93&lt;100000),"10万円未満は一括償却にせず、全額をその年の経費にします。","")&amp;IF(AND($F93=4,$C93&lt;100000),"10万円未満は少額特例ではなく、全額をその年の経費にします。","")&amp;IF(AND($F93=4,$D93&lt;DATE(2026,4,1),$C93&gt;=300000),"2026年3月31日までの取得で少額特例が使えるのは30万円未満です。","")&amp;IF(AND($F93=4,$D93&gt;=DATE(2026,4,1),$C93&gt;=400000),"少額特例は40万円未満の資産だけです。","")&amp;IF(AND($F93=4,OR($D93&lt;DATE(2006,4,1),$D93&gt;DATE(2029,3,31))),"少額特例は2006年4月1日〜2029年3月31日に取得した資産だけです。","")&amp;IF(AND($F93=2,$G93=250,$D93&gt;DATE(2012,12,31)),"250%定率法は2012年12月31日までの取得だけです。","")</f>
        <v/>
      </c>
      <c r="AJ93" s="68">
        <f>IF(AND($F93=2,'固定資産台帳'!$H93="定率法（200%）",$D93&lt;DATE(2012,4,1)),"2012年3月31日までの取得に200%を使うのは、経過措置の届出をした場合です。","")&amp;IF(AND($F93=2,'固定資産台帳'!$H93="定率法（250%）",$D93&gt;=DATE(2012,4,1),$D93&lt;=DATE(2012,12,31)),"2012年4〜12月の取得に250%を使うのは、経過措置を選んだ場合です。","")</f>
        <v/>
      </c>
      <c r="AK93" s="68">
        <f>IF($U93=0,"",IF($V93&lt;0,"表示している年より後に使い始める資産です。",IF($AE93=1,"売却・除却済みです。",IF($AD93=1,"この年に売却・除却。期末の帳簿価額 "&amp;TEXT($Y93,"#,##0")&amp;"円を帳簿から外します。",IF($F93=4,IF($V93=0,"少額特例：この年に全額を経費にします。","少額特例で経費にした資産です。"),IF($F93=3,IF($V93&gt;2,"一括償却は終わっています。","一括償却 "&amp;($V93+1)&amp;"年目（3年のうち）。"),IF($Z93=0,"償却済み（帳簿価額 "&amp;TEXT($Y93,"#,##0")&amp;"円）。",IF($AA93&gt;0,"改定償却率で計算（改定取得価額 "&amp;TEXT($AA93,"#,##0")&amp;"円）。",IF($V93=0,"この年に使い始め（"&amp;$AB93&amp;"か月分）。","")))))))))</f>
        <v/>
      </c>
      <c r="AL93" s="68">
        <f>IF(AND($U93=1,$F93=4,$V93=0),$C93,0)</f>
        <v/>
      </c>
      <c r="AM93" s="68">
        <f>IF($F93=2,INT(ROUND($M93,6)+$B$4),0)</f>
        <v/>
      </c>
      <c r="AN93" s="68">
        <f>IF($W93=0,0,IF($F93=2,IF($AA93&gt;0,$AA93,$X93),$C93))</f>
        <v/>
      </c>
      <c r="AO93" s="68">
        <f>IF($W93=0,"",IF($F93=3,"1/3",IF($F93=4,"―",IF($AA93&gt;0,$K93,$J93))))</f>
        <v/>
      </c>
      <c r="AP93" s="68" t="n"/>
      <c r="AQ93" s="68" t="n"/>
      <c r="AR93" s="68" t="n"/>
      <c r="AS93" s="68">
        <f>IF($U93=0,0,IF($F93=4,0,IF($F93=3,MAX($C93-INT(ROUND($C93/3,6)+$B$4),0),$C93-MIN(INT(ROUND($C93*$J93*IF($R93=0,$S93,$P93)/12,6)+$B$4),MAX($C93-$I93,0)))))</f>
        <v/>
      </c>
      <c r="AT93" s="68">
        <f>IF($U93=0,0,IF($F93=4,0,IF($F93=3,AS93-MIN(INT(ROUND($C93/3,6)+$B$4),AS93),IF(OR(1&gt;$R93,AS93&lt;=$I93),AS93,AS93-MIN(INT(ROUND(IF($F93=1,$C93*$J93,IF(ER93&gt;0,ER93*$K93,AS93*$J93))*IF(1=$R93,$S93,12)/12,6)+$B$4),AS93-$I93)))))</f>
        <v/>
      </c>
      <c r="AU93" s="68">
        <f>IF($U93=0,0,IF($F93=4,0,IF($F93=3,0,IF(OR(2&gt;$R93,AT93&lt;=$I93),AT93,AT93-MIN(INT(ROUND(IF($F93=1,$C93*$J93,IF(ES93&gt;0,ES93*$K93,AT93*$J93))*IF(2=$R93,$S93,12)/12,6)+$B$4),AT93-$I93)))))</f>
        <v/>
      </c>
      <c r="AV93" s="68">
        <f>IF($U93=0,0,IF($F93=4,0,IF($F93=3,0,IF(OR(3&gt;$R93,AU93&lt;=$I93),AU93,AU93-MIN(INT(ROUND(IF($F93=1,$C93*$J93,IF(ET93&gt;0,ET93*$K93,AU93*$J93))*IF(3=$R93,$S93,12)/12,6)+$B$4),AU93-$I93)))))</f>
        <v/>
      </c>
      <c r="AW93" s="68">
        <f>IF($U93=0,0,IF($F93=4,0,IF($F93=3,0,IF(OR(4&gt;$R93,AV93&lt;=$I93),AV93,AV93-MIN(INT(ROUND(IF($F93=1,$C93*$J93,IF(EU93&gt;0,EU93*$K93,AV93*$J93))*IF(4=$R93,$S93,12)/12,6)+$B$4),AV93-$I93)))))</f>
        <v/>
      </c>
      <c r="AX93" s="68">
        <f>IF($U93=0,0,IF($F93=4,0,IF($F93=3,0,IF(OR(5&gt;$R93,AW93&lt;=$I93),AW93,AW93-MIN(INT(ROUND(IF($F93=1,$C93*$J93,IF(EV93&gt;0,EV93*$K93,AW93*$J93))*IF(5=$R93,$S93,12)/12,6)+$B$4),AW93-$I93)))))</f>
        <v/>
      </c>
      <c r="AY93" s="68">
        <f>IF($U93=0,0,IF($F93=4,0,IF($F93=3,0,IF(OR(6&gt;$R93,AX93&lt;=$I93),AX93,AX93-MIN(INT(ROUND(IF($F93=1,$C93*$J93,IF(EW93&gt;0,EW93*$K93,AX93*$J93))*IF(6=$R93,$S93,12)/12,6)+$B$4),AX93-$I93)))))</f>
        <v/>
      </c>
      <c r="AZ93" s="68">
        <f>IF($U93=0,0,IF($F93=4,0,IF($F93=3,0,IF(OR(7&gt;$R93,AY93&lt;=$I93),AY93,AY93-MIN(INT(ROUND(IF($F93=1,$C93*$J93,IF(EX93&gt;0,EX93*$K93,AY93*$J93))*IF(7=$R93,$S93,12)/12,6)+$B$4),AY93-$I93)))))</f>
        <v/>
      </c>
      <c r="BA93" s="68">
        <f>IF($U93=0,0,IF($F93=4,0,IF($F93=3,0,IF(OR(8&gt;$R93,AZ93&lt;=$I93),AZ93,AZ93-MIN(INT(ROUND(IF($F93=1,$C93*$J93,IF(EY93&gt;0,EY93*$K93,AZ93*$J93))*IF(8=$R93,$S93,12)/12,6)+$B$4),AZ93-$I93)))))</f>
        <v/>
      </c>
      <c r="BB93" s="68">
        <f>IF($U93=0,0,IF($F93=4,0,IF($F93=3,0,IF(OR(9&gt;$R93,BA93&lt;=$I93),BA93,BA93-MIN(INT(ROUND(IF($F93=1,$C93*$J93,IF(EZ93&gt;0,EZ93*$K93,BA93*$J93))*IF(9=$R93,$S93,12)/12,6)+$B$4),BA93-$I93)))))</f>
        <v/>
      </c>
      <c r="BC93" s="68">
        <f>IF($U93=0,0,IF($F93=4,0,IF($F93=3,0,IF(OR(10&gt;$R93,BB93&lt;=$I93),BB93,BB93-MIN(INT(ROUND(IF($F93=1,$C93*$J93,IF(FA93&gt;0,FA93*$K93,BB93*$J93))*IF(10=$R93,$S93,12)/12,6)+$B$4),BB93-$I93)))))</f>
        <v/>
      </c>
      <c r="BD93" s="68">
        <f>IF($U93=0,0,IF($F93=4,0,IF($F93=3,0,IF(OR(11&gt;$R93,BC93&lt;=$I93),BC93,BC93-MIN(INT(ROUND(IF($F93=1,$C93*$J93,IF(FB93&gt;0,FB93*$K93,BC93*$J93))*IF(11=$R93,$S93,12)/12,6)+$B$4),BC93-$I93)))))</f>
        <v/>
      </c>
      <c r="BE93" s="68">
        <f>IF($U93=0,0,IF($F93=4,0,IF($F93=3,0,IF(OR(12&gt;$R93,BD93&lt;=$I93),BD93,BD93-MIN(INT(ROUND(IF($F93=1,$C93*$J93,IF(FC93&gt;0,FC93*$K93,BD93*$J93))*IF(12=$R93,$S93,12)/12,6)+$B$4),BD93-$I93)))))</f>
        <v/>
      </c>
      <c r="BF93" s="68">
        <f>IF($U93=0,0,IF($F93=4,0,IF($F93=3,0,IF(OR(13&gt;$R93,BE93&lt;=$I93),BE93,BE93-MIN(INT(ROUND(IF($F93=1,$C93*$J93,IF(FD93&gt;0,FD93*$K93,BE93*$J93))*IF(13=$R93,$S93,12)/12,6)+$B$4),BE93-$I93)))))</f>
        <v/>
      </c>
      <c r="BG93" s="68">
        <f>IF($U93=0,0,IF($F93=4,0,IF($F93=3,0,IF(OR(14&gt;$R93,BF93&lt;=$I93),BF93,BF93-MIN(INT(ROUND(IF($F93=1,$C93*$J93,IF(FE93&gt;0,FE93*$K93,BF93*$J93))*IF(14=$R93,$S93,12)/12,6)+$B$4),BF93-$I93)))))</f>
        <v/>
      </c>
      <c r="BH93" s="68">
        <f>IF($U93=0,0,IF($F93=4,0,IF($F93=3,0,IF(OR(15&gt;$R93,BG93&lt;=$I93),BG93,BG93-MIN(INT(ROUND(IF($F93=1,$C93*$J93,IF(FF93&gt;0,FF93*$K93,BG93*$J93))*IF(15=$R93,$S93,12)/12,6)+$B$4),BG93-$I93)))))</f>
        <v/>
      </c>
      <c r="BI93" s="68">
        <f>IF($U93=0,0,IF($F93=4,0,IF($F93=3,0,IF(OR(16&gt;$R93,BH93&lt;=$I93),BH93,BH93-MIN(INT(ROUND(IF($F93=1,$C93*$J93,IF(FG93&gt;0,FG93*$K93,BH93*$J93))*IF(16=$R93,$S93,12)/12,6)+$B$4),BH93-$I93)))))</f>
        <v/>
      </c>
      <c r="BJ93" s="68">
        <f>IF($U93=0,0,IF($F93=4,0,IF($F93=3,0,IF(OR(17&gt;$R93,BI93&lt;=$I93),BI93,BI93-MIN(INT(ROUND(IF($F93=1,$C93*$J93,IF(FH93&gt;0,FH93*$K93,BI93*$J93))*IF(17=$R93,$S93,12)/12,6)+$B$4),BI93-$I93)))))</f>
        <v/>
      </c>
      <c r="BK93" s="68">
        <f>IF($U93=0,0,IF($F93=4,0,IF($F93=3,0,IF(OR(18&gt;$R93,BJ93&lt;=$I93),BJ93,BJ93-MIN(INT(ROUND(IF($F93=1,$C93*$J93,IF(FI93&gt;0,FI93*$K93,BJ93*$J93))*IF(18=$R93,$S93,12)/12,6)+$B$4),BJ93-$I93)))))</f>
        <v/>
      </c>
      <c r="BL93" s="68">
        <f>IF($U93=0,0,IF($F93=4,0,IF($F93=3,0,IF(OR(19&gt;$R93,BK93&lt;=$I93),BK93,BK93-MIN(INT(ROUND(IF($F93=1,$C93*$J93,IF(FJ93&gt;0,FJ93*$K93,BK93*$J93))*IF(19=$R93,$S93,12)/12,6)+$B$4),BK93-$I93)))))</f>
        <v/>
      </c>
      <c r="BM93" s="68">
        <f>IF($U93=0,0,IF($F93=4,0,IF($F93=3,0,IF(OR(20&gt;$R93,BL93&lt;=$I93),BL93,BL93-MIN(INT(ROUND(IF($F93=1,$C93*$J93,IF(FK93&gt;0,FK93*$K93,BL93*$J93))*IF(20=$R93,$S93,12)/12,6)+$B$4),BL93-$I93)))))</f>
        <v/>
      </c>
      <c r="BN93" s="68">
        <f>IF($U93=0,0,IF($F93=4,0,IF($F93=3,0,IF(OR(21&gt;$R93,BM93&lt;=$I93),BM93,BM93-MIN(INT(ROUND(IF($F93=1,$C93*$J93,IF(FL93&gt;0,FL93*$K93,BM93*$J93))*IF(21=$R93,$S93,12)/12,6)+$B$4),BM93-$I93)))))</f>
        <v/>
      </c>
      <c r="BO93" s="68">
        <f>IF($U93=0,0,IF($F93=4,0,IF($F93=3,0,IF(OR(22&gt;$R93,BN93&lt;=$I93),BN93,BN93-MIN(INT(ROUND(IF($F93=1,$C93*$J93,IF(FM93&gt;0,FM93*$K93,BN93*$J93))*IF(22=$R93,$S93,12)/12,6)+$B$4),BN93-$I93)))))</f>
        <v/>
      </c>
      <c r="BP93" s="68">
        <f>IF($U93=0,0,IF($F93=4,0,IF($F93=3,0,IF(OR(23&gt;$R93,BO93&lt;=$I93),BO93,BO93-MIN(INT(ROUND(IF($F93=1,$C93*$J93,IF(FN93&gt;0,FN93*$K93,BO93*$J93))*IF(23=$R93,$S93,12)/12,6)+$B$4),BO93-$I93)))))</f>
        <v/>
      </c>
      <c r="BQ93" s="68">
        <f>IF($U93=0,0,IF($F93=4,0,IF($F93=3,0,IF(OR(24&gt;$R93,BP93&lt;=$I93),BP93,BP93-MIN(INT(ROUND(IF($F93=1,$C93*$J93,IF(FO93&gt;0,FO93*$K93,BP93*$J93))*IF(24=$R93,$S93,12)/12,6)+$B$4),BP93-$I93)))))</f>
        <v/>
      </c>
      <c r="BR93" s="68">
        <f>IF($U93=0,0,IF($F93=4,0,IF($F93=3,0,IF(OR(25&gt;$R93,BQ93&lt;=$I93),BQ93,BQ93-MIN(INT(ROUND(IF($F93=1,$C93*$J93,IF(FP93&gt;0,FP93*$K93,BQ93*$J93))*IF(25=$R93,$S93,12)/12,6)+$B$4),BQ93-$I93)))))</f>
        <v/>
      </c>
      <c r="BS93" s="68">
        <f>IF($U93=0,0,IF($F93=4,0,IF($F93=3,0,IF(OR(26&gt;$R93,BR93&lt;=$I93),BR93,BR93-MIN(INT(ROUND(IF($F93=1,$C93*$J93,IF(FQ93&gt;0,FQ93*$K93,BR93*$J93))*IF(26=$R93,$S93,12)/12,6)+$B$4),BR93-$I93)))))</f>
        <v/>
      </c>
      <c r="BT93" s="68">
        <f>IF($U93=0,0,IF($F93=4,0,IF($F93=3,0,IF(OR(27&gt;$R93,BS93&lt;=$I93),BS93,BS93-MIN(INT(ROUND(IF($F93=1,$C93*$J93,IF(FR93&gt;0,FR93*$K93,BS93*$J93))*IF(27=$R93,$S93,12)/12,6)+$B$4),BS93-$I93)))))</f>
        <v/>
      </c>
      <c r="BU93" s="68">
        <f>IF($U93=0,0,IF($F93=4,0,IF($F93=3,0,IF(OR(28&gt;$R93,BT93&lt;=$I93),BT93,BT93-MIN(INT(ROUND(IF($F93=1,$C93*$J93,IF(FS93&gt;0,FS93*$K93,BT93*$J93))*IF(28=$R93,$S93,12)/12,6)+$B$4),BT93-$I93)))))</f>
        <v/>
      </c>
      <c r="BV93" s="68">
        <f>IF($U93=0,0,IF($F93=4,0,IF($F93=3,0,IF(OR(29&gt;$R93,BU93&lt;=$I93),BU93,BU93-MIN(INT(ROUND(IF($F93=1,$C93*$J93,IF(FT93&gt;0,FT93*$K93,BU93*$J93))*IF(29=$R93,$S93,12)/12,6)+$B$4),BU93-$I93)))))</f>
        <v/>
      </c>
      <c r="BW93" s="68">
        <f>IF($U93=0,0,IF($F93=4,0,IF($F93=3,0,IF(OR(30&gt;$R93,BV93&lt;=$I93),BV93,BV93-MIN(INT(ROUND(IF($F93=1,$C93*$J93,IF(FU93&gt;0,FU93*$K93,BV93*$J93))*IF(30=$R93,$S93,12)/12,6)+$B$4),BV93-$I93)))))</f>
        <v/>
      </c>
      <c r="BX93" s="68">
        <f>IF($U93=0,0,IF($F93=4,0,IF($F93=3,0,IF(OR(31&gt;$R93,BW93&lt;=$I93),BW93,BW93-MIN(INT(ROUND(IF($F93=1,$C93*$J93,IF(FV93&gt;0,FV93*$K93,BW93*$J93))*IF(31=$R93,$S93,12)/12,6)+$B$4),BW93-$I93)))))</f>
        <v/>
      </c>
      <c r="BY93" s="68">
        <f>IF($U93=0,0,IF($F93=4,0,IF($F93=3,0,IF(OR(32&gt;$R93,BX93&lt;=$I93),BX93,BX93-MIN(INT(ROUND(IF($F93=1,$C93*$J93,IF(FW93&gt;0,FW93*$K93,BX93*$J93))*IF(32=$R93,$S93,12)/12,6)+$B$4),BX93-$I93)))))</f>
        <v/>
      </c>
      <c r="BZ93" s="68">
        <f>IF($U93=0,0,IF($F93=4,0,IF($F93=3,0,IF(OR(33&gt;$R93,BY93&lt;=$I93),BY93,BY93-MIN(INT(ROUND(IF($F93=1,$C93*$J93,IF(FX93&gt;0,FX93*$K93,BY93*$J93))*IF(33=$R93,$S93,12)/12,6)+$B$4),BY93-$I93)))))</f>
        <v/>
      </c>
      <c r="CA93" s="68">
        <f>IF($U93=0,0,IF($F93=4,0,IF($F93=3,0,IF(OR(34&gt;$R93,BZ93&lt;=$I93),BZ93,BZ93-MIN(INT(ROUND(IF($F93=1,$C93*$J93,IF(FY93&gt;0,FY93*$K93,BZ93*$J93))*IF(34=$R93,$S93,12)/12,6)+$B$4),BZ93-$I93)))))</f>
        <v/>
      </c>
      <c r="CB93" s="68">
        <f>IF($U93=0,0,IF($F93=4,0,IF($F93=3,0,IF(OR(35&gt;$R93,CA93&lt;=$I93),CA93,CA93-MIN(INT(ROUND(IF($F93=1,$C93*$J93,IF(FZ93&gt;0,FZ93*$K93,CA93*$J93))*IF(35=$R93,$S93,12)/12,6)+$B$4),CA93-$I93)))))</f>
        <v/>
      </c>
      <c r="CC93" s="68">
        <f>IF($U93=0,0,IF($F93=4,0,IF($F93=3,0,IF(OR(36&gt;$R93,CB93&lt;=$I93),CB93,CB93-MIN(INT(ROUND(IF($F93=1,$C93*$J93,IF(GA93&gt;0,GA93*$K93,CB93*$J93))*IF(36=$R93,$S93,12)/12,6)+$B$4),CB93-$I93)))))</f>
        <v/>
      </c>
      <c r="CD93" s="68">
        <f>IF($U93=0,0,IF($F93=4,0,IF($F93=3,0,IF(OR(37&gt;$R93,CC93&lt;=$I93),CC93,CC93-MIN(INT(ROUND(IF($F93=1,$C93*$J93,IF(GB93&gt;0,GB93*$K93,CC93*$J93))*IF(37=$R93,$S93,12)/12,6)+$B$4),CC93-$I93)))))</f>
        <v/>
      </c>
      <c r="CE93" s="68">
        <f>IF($U93=0,0,IF($F93=4,0,IF($F93=3,0,IF(OR(38&gt;$R93,CD93&lt;=$I93),CD93,CD93-MIN(INT(ROUND(IF($F93=1,$C93*$J93,IF(GC93&gt;0,GC93*$K93,CD93*$J93))*IF(38=$R93,$S93,12)/12,6)+$B$4),CD93-$I93)))))</f>
        <v/>
      </c>
      <c r="CF93" s="68">
        <f>IF($U93=0,0,IF($F93=4,0,IF($F93=3,0,IF(OR(39&gt;$R93,CE93&lt;=$I93),CE93,CE93-MIN(INT(ROUND(IF($F93=1,$C93*$J93,IF(GD93&gt;0,GD93*$K93,CE93*$J93))*IF(39=$R93,$S93,12)/12,6)+$B$4),CE93-$I93)))))</f>
        <v/>
      </c>
      <c r="CG93" s="68">
        <f>IF($U93=0,0,IF($F93=4,0,IF($F93=3,0,IF(OR(40&gt;$R93,CF93&lt;=$I93),CF93,CF93-MIN(INT(ROUND(IF($F93=1,$C93*$J93,IF(GE93&gt;0,GE93*$K93,CF93*$J93))*IF(40=$R93,$S93,12)/12,6)+$B$4),CF93-$I93)))))</f>
        <v/>
      </c>
      <c r="CH93" s="68">
        <f>IF($U93=0,0,IF($F93=4,0,IF($F93=3,0,IF(OR(41&gt;$R93,CG93&lt;=$I93),CG93,CG93-MIN(INT(ROUND(IF($F93=1,$C93*$J93,IF(GF93&gt;0,GF93*$K93,CG93*$J93))*IF(41=$R93,$S93,12)/12,6)+$B$4),CG93-$I93)))))</f>
        <v/>
      </c>
      <c r="CI93" s="68">
        <f>IF($U93=0,0,IF($F93=4,0,IF($F93=3,0,IF(OR(42&gt;$R93,CH93&lt;=$I93),CH93,CH93-MIN(INT(ROUND(IF($F93=1,$C93*$J93,IF(GG93&gt;0,GG93*$K93,CH93*$J93))*IF(42=$R93,$S93,12)/12,6)+$B$4),CH93-$I93)))))</f>
        <v/>
      </c>
      <c r="CJ93" s="68">
        <f>IF($U93=0,0,IF($F93=4,0,IF($F93=3,0,IF(OR(43&gt;$R93,CI93&lt;=$I93),CI93,CI93-MIN(INT(ROUND(IF($F93=1,$C93*$J93,IF(GH93&gt;0,GH93*$K93,CI93*$J93))*IF(43=$R93,$S93,12)/12,6)+$B$4),CI93-$I93)))))</f>
        <v/>
      </c>
      <c r="CK93" s="68">
        <f>IF($U93=0,0,IF($F93=4,0,IF($F93=3,0,IF(OR(44&gt;$R93,CJ93&lt;=$I93),CJ93,CJ93-MIN(INT(ROUND(IF($F93=1,$C93*$J93,IF(GI93&gt;0,GI93*$K93,CJ93*$J93))*IF(44=$R93,$S93,12)/12,6)+$B$4),CJ93-$I93)))))</f>
        <v/>
      </c>
      <c r="CL93" s="68">
        <f>IF($U93=0,0,IF($F93=4,0,IF($F93=3,0,IF(OR(45&gt;$R93,CK93&lt;=$I93),CK93,CK93-MIN(INT(ROUND(IF($F93=1,$C93*$J93,IF(GJ93&gt;0,GJ93*$K93,CK93*$J93))*IF(45=$R93,$S93,12)/12,6)+$B$4),CK93-$I93)))))</f>
        <v/>
      </c>
      <c r="CM93" s="68">
        <f>IF($U93=0,0,IF($F93=4,0,IF($F93=3,0,IF(OR(46&gt;$R93,CL93&lt;=$I93),CL93,CL93-MIN(INT(ROUND(IF($F93=1,$C93*$J93,IF(GK93&gt;0,GK93*$K93,CL93*$J93))*IF(46=$R93,$S93,12)/12,6)+$B$4),CL93-$I93)))))</f>
        <v/>
      </c>
      <c r="CN93" s="68">
        <f>IF($U93=0,0,IF($F93=4,0,IF($F93=3,0,IF(OR(47&gt;$R93,CM93&lt;=$I93),CM93,CM93-MIN(INT(ROUND(IF($F93=1,$C93*$J93,IF(GL93&gt;0,GL93*$K93,CM93*$J93))*IF(47=$R93,$S93,12)/12,6)+$B$4),CM93-$I93)))))</f>
        <v/>
      </c>
      <c r="CO93" s="68">
        <f>IF($U93=0,0,IF($F93=4,0,IF($F93=3,0,IF(OR(48&gt;$R93,CN93&lt;=$I93),CN93,CN93-MIN(INT(ROUND(IF($F93=1,$C93*$J93,IF(GM93&gt;0,GM93*$K93,CN93*$J93))*IF(48=$R93,$S93,12)/12,6)+$B$4),CN93-$I93)))))</f>
        <v/>
      </c>
      <c r="CP93" s="68">
        <f>IF($U93=0,0,IF($F93=4,0,IF($F93=3,0,IF(OR(49&gt;$R93,CO93&lt;=$I93),CO93,CO93-MIN(INT(ROUND(IF($F93=1,$C93*$J93,IF(GN93&gt;0,GN93*$K93,CO93*$J93))*IF(49=$R93,$S93,12)/12,6)+$B$4),CO93-$I93)))))</f>
        <v/>
      </c>
      <c r="CQ93" s="68">
        <f>IF($U93=0,0,IF($F93=4,0,IF($F93=3,0,IF(OR(50&gt;$R93,CP93&lt;=$I93),CP93,CP93-MIN(INT(ROUND(IF($F93=1,$C93*$J93,IF(GO93&gt;0,GO93*$K93,CP93*$J93))*IF(50=$R93,$S93,12)/12,6)+$B$4),CP93-$I93)))))</f>
        <v/>
      </c>
      <c r="CR93" s="68">
        <f>IF($U93=0,0,IF($F93=4,0,IF($F93=3,0,IF(OR(51&gt;$R93,CQ93&lt;=$I93),CQ93,CQ93-MIN(INT(ROUND(IF($F93=1,$C93*$J93,IF(GP93&gt;0,GP93*$K93,CQ93*$J93))*IF(51=$R93,$S93,12)/12,6)+$B$4),CQ93-$I93)))))</f>
        <v/>
      </c>
      <c r="CS93" s="68">
        <f>IF($U93=0,0,IF($F93=4,0,IF($F93=3,0,IF(OR(52&gt;$R93,CR93&lt;=$I93),CR93,CR93-MIN(INT(ROUND(IF($F93=1,$C93*$J93,IF(GQ93&gt;0,GQ93*$K93,CR93*$J93))*IF(52=$R93,$S93,12)/12,6)+$B$4),CR93-$I93)))))</f>
        <v/>
      </c>
      <c r="CT93" s="68">
        <f>IF($U93=0,0,IF($F93=4,0,IF($F93=3,0,IF(OR(53&gt;$R93,CS93&lt;=$I93),CS93,CS93-MIN(INT(ROUND(IF($F93=1,$C93*$J93,IF(GR93&gt;0,GR93*$K93,CS93*$J93))*IF(53=$R93,$S93,12)/12,6)+$B$4),CS93-$I93)))))</f>
        <v/>
      </c>
      <c r="CU93" s="68">
        <f>IF($U93=0,0,IF($F93=4,0,IF($F93=3,0,IF(OR(54&gt;$R93,CT93&lt;=$I93),CT93,CT93-MIN(INT(ROUND(IF($F93=1,$C93*$J93,IF(GS93&gt;0,GS93*$K93,CT93*$J93))*IF(54=$R93,$S93,12)/12,6)+$B$4),CT93-$I93)))))</f>
        <v/>
      </c>
      <c r="CV93" s="68">
        <f>IF($U93=0,0,IF($F93=4,0,IF($F93=3,0,IF(OR(55&gt;$R93,CU93&lt;=$I93),CU93,CU93-MIN(INT(ROUND(IF($F93=1,$C93*$J93,IF(GT93&gt;0,GT93*$K93,CU93*$J93))*IF(55=$R93,$S93,12)/12,6)+$B$4),CU93-$I93)))))</f>
        <v/>
      </c>
      <c r="CW93" s="68">
        <f>IF($U93=0,0,IF($F93=4,0,IF($F93=3,0,IF(OR(56&gt;$R93,CV93&lt;=$I93),CV93,CV93-MIN(INT(ROUND(IF($F93=1,$C93*$J93,IF(GU93&gt;0,GU93*$K93,CV93*$J93))*IF(56=$R93,$S93,12)/12,6)+$B$4),CV93-$I93)))))</f>
        <v/>
      </c>
      <c r="CX93" s="68">
        <f>IF($U93=0,0,IF($F93=4,0,IF($F93=3,0,IF(OR(57&gt;$R93,CW93&lt;=$I93),CW93,CW93-MIN(INT(ROUND(IF($F93=1,$C93*$J93,IF(GV93&gt;0,GV93*$K93,CW93*$J93))*IF(57=$R93,$S93,12)/12,6)+$B$4),CW93-$I93)))))</f>
        <v/>
      </c>
      <c r="CY93" s="68">
        <f>IF($U93=0,0,IF($F93=4,0,IF($F93=3,0,IF(OR(58&gt;$R93,CX93&lt;=$I93),CX93,CX93-MIN(INT(ROUND(IF($F93=1,$C93*$J93,IF(GW93&gt;0,GW93*$K93,CX93*$J93))*IF(58=$R93,$S93,12)/12,6)+$B$4),CX93-$I93)))))</f>
        <v/>
      </c>
      <c r="CZ93" s="68">
        <f>IF($U93=0,0,IF($F93=4,0,IF($F93=3,0,IF(OR(59&gt;$R93,CY93&lt;=$I93),CY93,CY93-MIN(INT(ROUND(IF($F93=1,$C93*$J93,IF(GX93&gt;0,GX93*$K93,CY93*$J93))*IF(59=$R93,$S93,12)/12,6)+$B$4),CY93-$I93)))))</f>
        <v/>
      </c>
      <c r="DA93" s="68">
        <f>IF($U93=0,0,IF($F93=4,0,IF($F93=3,0,IF(OR(60&gt;$R93,CZ93&lt;=$I93),CZ93,CZ93-MIN(INT(ROUND(IF($F93=1,$C93*$J93,IF(GY93&gt;0,GY93*$K93,CZ93*$J93))*IF(60=$R93,$S93,12)/12,6)+$B$4),CZ93-$I93)))))</f>
        <v/>
      </c>
      <c r="DB93" s="68">
        <f>IF($U93=0,0,IF($F93=4,0,IF($F93=3,0,IF(OR(61&gt;$R93,DA93&lt;=$I93),DA93,DA93-MIN(INT(ROUND(IF($F93=1,$C93*$J93,IF(GZ93&gt;0,GZ93*$K93,DA93*$J93))*IF(61=$R93,$S93,12)/12,6)+$B$4),DA93-$I93)))))</f>
        <v/>
      </c>
      <c r="DC93" s="68">
        <f>IF($U93=0,0,IF($F93=4,0,IF($F93=3,0,IF(OR(62&gt;$R93,DB93&lt;=$I93),DB93,DB93-MIN(INT(ROUND(IF($F93=1,$C93*$J93,IF(HA93&gt;0,HA93*$K93,DB93*$J93))*IF(62=$R93,$S93,12)/12,6)+$B$4),DB93-$I93)))))</f>
        <v/>
      </c>
      <c r="DD93" s="68">
        <f>IF($U93=0,0,IF($F93=4,0,IF($F93=3,0,IF(OR(63&gt;$R93,DC93&lt;=$I93),DC93,DC93-MIN(INT(ROUND(IF($F93=1,$C93*$J93,IF(HB93&gt;0,HB93*$K93,DC93*$J93))*IF(63=$R93,$S93,12)/12,6)+$B$4),DC93-$I93)))))</f>
        <v/>
      </c>
      <c r="DE93" s="68">
        <f>IF($U93=0,0,IF($F93=4,0,IF($F93=3,0,IF(OR(64&gt;$R93,DD93&lt;=$I93),DD93,DD93-MIN(INT(ROUND(IF($F93=1,$C93*$J93,IF(HC93&gt;0,HC93*$K93,DD93*$J93))*IF(64=$R93,$S93,12)/12,6)+$B$4),DD93-$I93)))))</f>
        <v/>
      </c>
      <c r="DF93" s="68">
        <f>IF($U93=0,0,IF($F93=4,0,IF($F93=3,0,IF(OR(65&gt;$R93,DE93&lt;=$I93),DE93,DE93-MIN(INT(ROUND(IF($F93=1,$C93*$J93,IF(HD93&gt;0,HD93*$K93,DE93*$J93))*IF(65=$R93,$S93,12)/12,6)+$B$4),DE93-$I93)))))</f>
        <v/>
      </c>
      <c r="DG93" s="68">
        <f>IF($U93=0,0,IF($F93=4,0,IF($F93=3,0,IF(OR(66&gt;$R93,DF93&lt;=$I93),DF93,DF93-MIN(INT(ROUND(IF($F93=1,$C93*$J93,IF(HE93&gt;0,HE93*$K93,DF93*$J93))*IF(66=$R93,$S93,12)/12,6)+$B$4),DF93-$I93)))))</f>
        <v/>
      </c>
      <c r="DH93" s="68">
        <f>IF($U93=0,0,IF($F93=4,0,IF($F93=3,0,IF(OR(67&gt;$R93,DG93&lt;=$I93),DG93,DG93-MIN(INT(ROUND(IF($F93=1,$C93*$J93,IF(HF93&gt;0,HF93*$K93,DG93*$J93))*IF(67=$R93,$S93,12)/12,6)+$B$4),DG93-$I93)))))</f>
        <v/>
      </c>
      <c r="DI93" s="68">
        <f>IF($U93=0,0,IF($F93=4,0,IF($F93=3,0,IF(OR(68&gt;$R93,DH93&lt;=$I93),DH93,DH93-MIN(INT(ROUND(IF($F93=1,$C93*$J93,IF(HG93&gt;0,HG93*$K93,DH93*$J93))*IF(68=$R93,$S93,12)/12,6)+$B$4),DH93-$I93)))))</f>
        <v/>
      </c>
      <c r="DJ93" s="68">
        <f>IF($U93=0,0,IF($F93=4,0,IF($F93=3,0,IF(OR(69&gt;$R93,DI93&lt;=$I93),DI93,DI93-MIN(INT(ROUND(IF($F93=1,$C93*$J93,IF(HH93&gt;0,HH93*$K93,DI93*$J93))*IF(69=$R93,$S93,12)/12,6)+$B$4),DI93-$I93)))))</f>
        <v/>
      </c>
      <c r="DK93" s="68">
        <f>IF($U93=0,0,IF($F93=4,0,IF($F93=3,0,IF(OR(70&gt;$R93,DJ93&lt;=$I93),DJ93,DJ93-MIN(INT(ROUND(IF($F93=1,$C93*$J93,IF(HI93&gt;0,HI93*$K93,DJ93*$J93))*IF(70=$R93,$S93,12)/12,6)+$B$4),DJ93-$I93)))))</f>
        <v/>
      </c>
      <c r="DL93" s="68">
        <f>IF($U93=0,0,IF($F93=4,0,IF($F93=3,0,IF(OR(71&gt;$R93,DK93&lt;=$I93),DK93,DK93-MIN(INT(ROUND(IF($F93=1,$C93*$J93,IF(HJ93&gt;0,HJ93*$K93,DK93*$J93))*IF(71=$R93,$S93,12)/12,6)+$B$4),DK93-$I93)))))</f>
        <v/>
      </c>
      <c r="DM93" s="68">
        <f>IF($U93=0,0,IF($F93=4,0,IF($F93=3,0,IF(OR(72&gt;$R93,DL93&lt;=$I93),DL93,DL93-MIN(INT(ROUND(IF($F93=1,$C93*$J93,IF(HK93&gt;0,HK93*$K93,DL93*$J93))*IF(72=$R93,$S93,12)/12,6)+$B$4),DL93-$I93)))))</f>
        <v/>
      </c>
      <c r="DN93" s="68">
        <f>IF($U93=0,0,IF($F93=4,0,IF($F93=3,0,IF(OR(73&gt;$R93,DM93&lt;=$I93),DM93,DM93-MIN(INT(ROUND(IF($F93=1,$C93*$J93,IF(HL93&gt;0,HL93*$K93,DM93*$J93))*IF(73=$R93,$S93,12)/12,6)+$B$4),DM93-$I93)))))</f>
        <v/>
      </c>
      <c r="DO93" s="68">
        <f>IF($U93=0,0,IF($F93=4,0,IF($F93=3,0,IF(OR(74&gt;$R93,DN93&lt;=$I93),DN93,DN93-MIN(INT(ROUND(IF($F93=1,$C93*$J93,IF(HM93&gt;0,HM93*$K93,DN93*$J93))*IF(74=$R93,$S93,12)/12,6)+$B$4),DN93-$I93)))))</f>
        <v/>
      </c>
      <c r="DP93" s="68">
        <f>IF($U93=0,0,IF($F93=4,0,IF($F93=3,0,IF(OR(75&gt;$R93,DO93&lt;=$I93),DO93,DO93-MIN(INT(ROUND(IF($F93=1,$C93*$J93,IF(HN93&gt;0,HN93*$K93,DO93*$J93))*IF(75=$R93,$S93,12)/12,6)+$B$4),DO93-$I93)))))</f>
        <v/>
      </c>
      <c r="DQ93" s="68">
        <f>IF($U93=0,0,IF($F93=4,0,IF($F93=3,0,IF(OR(76&gt;$R93,DP93&lt;=$I93),DP93,DP93-MIN(INT(ROUND(IF($F93=1,$C93*$J93,IF(HO93&gt;0,HO93*$K93,DP93*$J93))*IF(76=$R93,$S93,12)/12,6)+$B$4),DP93-$I93)))))</f>
        <v/>
      </c>
      <c r="DR93" s="68">
        <f>IF($U93=0,0,IF($F93=4,0,IF($F93=3,0,IF(OR(77&gt;$R93,DQ93&lt;=$I93),DQ93,DQ93-MIN(INT(ROUND(IF($F93=1,$C93*$J93,IF(HP93&gt;0,HP93*$K93,DQ93*$J93))*IF(77=$R93,$S93,12)/12,6)+$B$4),DQ93-$I93)))))</f>
        <v/>
      </c>
      <c r="DS93" s="68">
        <f>IF($U93=0,0,IF($F93=4,0,IF($F93=3,0,IF(OR(78&gt;$R93,DR93&lt;=$I93),DR93,DR93-MIN(INT(ROUND(IF($F93=1,$C93*$J93,IF(HQ93&gt;0,HQ93*$K93,DR93*$J93))*IF(78=$R93,$S93,12)/12,6)+$B$4),DR93-$I93)))))</f>
        <v/>
      </c>
      <c r="DT93" s="68">
        <f>IF($U93=0,0,IF($F93=4,0,IF($F93=3,0,IF(OR(79&gt;$R93,DS93&lt;=$I93),DS93,DS93-MIN(INT(ROUND(IF($F93=1,$C93*$J93,IF(HR93&gt;0,HR93*$K93,DS93*$J93))*IF(79=$R93,$S93,12)/12,6)+$B$4),DS93-$I93)))))</f>
        <v/>
      </c>
      <c r="DU93" s="68">
        <f>IF($U93=0,0,IF($F93=4,0,IF($F93=3,0,IF(OR(80&gt;$R93,DT93&lt;=$I93),DT93,DT93-MIN(INT(ROUND(IF($F93=1,$C93*$J93,IF(HS93&gt;0,HS93*$K93,DT93*$J93))*IF(80=$R93,$S93,12)/12,6)+$B$4),DT93-$I93)))))</f>
        <v/>
      </c>
      <c r="DV93" s="68">
        <f>IF($U93=0,0,IF($F93=4,0,IF($F93=3,0,IF(OR(81&gt;$R93,DU93&lt;=$I93),DU93,DU93-MIN(INT(ROUND(IF($F93=1,$C93*$J93,IF(HT93&gt;0,HT93*$K93,DU93*$J93))*IF(81=$R93,$S93,12)/12,6)+$B$4),DU93-$I93)))))</f>
        <v/>
      </c>
      <c r="DW93" s="68">
        <f>IF($U93=0,0,IF($F93=4,0,IF($F93=3,0,IF(OR(82&gt;$R93,DV93&lt;=$I93),DV93,DV93-MIN(INT(ROUND(IF($F93=1,$C93*$J93,IF(HU93&gt;0,HU93*$K93,DV93*$J93))*IF(82=$R93,$S93,12)/12,6)+$B$4),DV93-$I93)))))</f>
        <v/>
      </c>
      <c r="DX93" s="68">
        <f>IF($U93=0,0,IF($F93=4,0,IF($F93=3,0,IF(OR(83&gt;$R93,DW93&lt;=$I93),DW93,DW93-MIN(INT(ROUND(IF($F93=1,$C93*$J93,IF(HV93&gt;0,HV93*$K93,DW93*$J93))*IF(83=$R93,$S93,12)/12,6)+$B$4),DW93-$I93)))))</f>
        <v/>
      </c>
      <c r="DY93" s="68">
        <f>IF($U93=0,0,IF($F93=4,0,IF($F93=3,0,IF(OR(84&gt;$R93,DX93&lt;=$I93),DX93,DX93-MIN(INT(ROUND(IF($F93=1,$C93*$J93,IF(HW93&gt;0,HW93*$K93,DX93*$J93))*IF(84=$R93,$S93,12)/12,6)+$B$4),DX93-$I93)))))</f>
        <v/>
      </c>
      <c r="DZ93" s="68">
        <f>IF($U93=0,0,IF($F93=4,0,IF($F93=3,0,IF(OR(85&gt;$R93,DY93&lt;=$I93),DY93,DY93-MIN(INT(ROUND(IF($F93=1,$C93*$J93,IF(HX93&gt;0,HX93*$K93,DY93*$J93))*IF(85=$R93,$S93,12)/12,6)+$B$4),DY93-$I93)))))</f>
        <v/>
      </c>
      <c r="EA93" s="68">
        <f>IF($U93=0,0,IF($F93=4,0,IF($F93=3,0,IF(OR(86&gt;$R93,DZ93&lt;=$I93),DZ93,DZ93-MIN(INT(ROUND(IF($F93=1,$C93*$J93,IF(HY93&gt;0,HY93*$K93,DZ93*$J93))*IF(86=$R93,$S93,12)/12,6)+$B$4),DZ93-$I93)))))</f>
        <v/>
      </c>
      <c r="EB93" s="68">
        <f>IF($U93=0,0,IF($F93=4,0,IF($F93=3,0,IF(OR(87&gt;$R93,EA93&lt;=$I93),EA93,EA93-MIN(INT(ROUND(IF($F93=1,$C93*$J93,IF(HZ93&gt;0,HZ93*$K93,EA93*$J93))*IF(87=$R93,$S93,12)/12,6)+$B$4),EA93-$I93)))))</f>
        <v/>
      </c>
      <c r="EC93" s="68">
        <f>IF($U93=0,0,IF($F93=4,0,IF($F93=3,0,IF(OR(88&gt;$R93,EB93&lt;=$I93),EB93,EB93-MIN(INT(ROUND(IF($F93=1,$C93*$J93,IF(IA93&gt;0,IA93*$K93,EB93*$J93))*IF(88=$R93,$S93,12)/12,6)+$B$4),EB93-$I93)))))</f>
        <v/>
      </c>
      <c r="ED93" s="68">
        <f>IF($U93=0,0,IF($F93=4,0,IF($F93=3,0,IF(OR(89&gt;$R93,EC93&lt;=$I93),EC93,EC93-MIN(INT(ROUND(IF($F93=1,$C93*$J93,IF(IB93&gt;0,IB93*$K93,EC93*$J93))*IF(89=$R93,$S93,12)/12,6)+$B$4),EC93-$I93)))))</f>
        <v/>
      </c>
      <c r="EE93" s="68">
        <f>IF($U93=0,0,IF($F93=4,0,IF($F93=3,0,IF(OR(90&gt;$R93,ED93&lt;=$I93),ED93,ED93-MIN(INT(ROUND(IF($F93=1,$C93*$J93,IF(IC93&gt;0,IC93*$K93,ED93*$J93))*IF(90=$R93,$S93,12)/12,6)+$B$4),ED93-$I93)))))</f>
        <v/>
      </c>
      <c r="EF93" s="68">
        <f>IF($U93=0,0,IF($F93=4,0,IF($F93=3,0,IF(OR(91&gt;$R93,EE93&lt;=$I93),EE93,EE93-MIN(INT(ROUND(IF($F93=1,$C93*$J93,IF(ID93&gt;0,ID93*$K93,EE93*$J93))*IF(91=$R93,$S93,12)/12,6)+$B$4),EE93-$I93)))))</f>
        <v/>
      </c>
      <c r="EG93" s="68">
        <f>IF($U93=0,0,IF($F93=4,0,IF($F93=3,0,IF(OR(92&gt;$R93,EF93&lt;=$I93),EF93,EF93-MIN(INT(ROUND(IF($F93=1,$C93*$J93,IF(IE93&gt;0,IE93*$K93,EF93*$J93))*IF(92=$R93,$S93,12)/12,6)+$B$4),EF93-$I93)))))</f>
        <v/>
      </c>
      <c r="EH93" s="68">
        <f>IF($U93=0,0,IF($F93=4,0,IF($F93=3,0,IF(OR(93&gt;$R93,EG93&lt;=$I93),EG93,EG93-MIN(INT(ROUND(IF($F93=1,$C93*$J93,IF(IF93&gt;0,IF93*$K93,EG93*$J93))*IF(93=$R93,$S93,12)/12,6)+$B$4),EG93-$I93)))))</f>
        <v/>
      </c>
      <c r="EI93" s="68">
        <f>IF($U93=0,0,IF($F93=4,0,IF($F93=3,0,IF(OR(94&gt;$R93,EH93&lt;=$I93),EH93,EH93-MIN(INT(ROUND(IF($F93=1,$C93*$J93,IF(IG93&gt;0,IG93*$K93,EH93*$J93))*IF(94=$R93,$S93,12)/12,6)+$B$4),EH93-$I93)))))</f>
        <v/>
      </c>
      <c r="EJ93" s="68">
        <f>IF($U93=0,0,IF($F93=4,0,IF($F93=3,0,IF(OR(95&gt;$R93,EI93&lt;=$I93),EI93,EI93-MIN(INT(ROUND(IF($F93=1,$C93*$J93,IF(IH93&gt;0,IH93*$K93,EI93*$J93))*IF(95=$R93,$S93,12)/12,6)+$B$4),EI93-$I93)))))</f>
        <v/>
      </c>
      <c r="EK93" s="68">
        <f>IF($U93=0,0,IF($F93=4,0,IF($F93=3,0,IF(OR(96&gt;$R93,EJ93&lt;=$I93),EJ93,EJ93-MIN(INT(ROUND(IF($F93=1,$C93*$J93,IF(II93&gt;0,II93*$K93,EJ93*$J93))*IF(96=$R93,$S93,12)/12,6)+$B$4),EJ93-$I93)))))</f>
        <v/>
      </c>
      <c r="EL93" s="68">
        <f>IF($U93=0,0,IF($F93=4,0,IF($F93=3,0,IF(OR(97&gt;$R93,EK93&lt;=$I93),EK93,EK93-MIN(INT(ROUND(IF($F93=1,$C93*$J93,IF(IJ93&gt;0,IJ93*$K93,EK93*$J93))*IF(97=$R93,$S93,12)/12,6)+$B$4),EK93-$I93)))))</f>
        <v/>
      </c>
      <c r="EM93" s="68">
        <f>IF($U93=0,0,IF($F93=4,0,IF($F93=3,0,IF(OR(98&gt;$R93,EL93&lt;=$I93),EL93,EL93-MIN(INT(ROUND(IF($F93=1,$C93*$J93,IF(IK93&gt;0,IK93*$K93,EL93*$J93))*IF(98=$R93,$S93,12)/12,6)+$B$4),EL93-$I93)))))</f>
        <v/>
      </c>
      <c r="EN93" s="68">
        <f>IF($U93=0,0,IF($F93=4,0,IF($F93=3,0,IF(OR(99&gt;$R93,EM93&lt;=$I93),EM93,EM93-MIN(INT(ROUND(IF($F93=1,$C93*$J93,IF(IL93&gt;0,IL93*$K93,EM93*$J93))*IF(99=$R93,$S93,12)/12,6)+$B$4),EM93-$I93)))))</f>
        <v/>
      </c>
      <c r="EO93" s="68">
        <f>IF($U93=0,0,IF($F93=4,0,IF($F93=3,0,IF(OR(100&gt;$R93,EN93&lt;=$I93),EN93,EN93-MIN(INT(ROUND(IF($F93=1,$C93*$J93,IF(IM93&gt;0,IM93*$K93,EN93*$J93))*IF(100=$R93,$S93,12)/12,6)+$B$4),EN93-$I93)))))</f>
        <v/>
      </c>
      <c r="EP93" s="68">
        <f>IF($U93=0,0,IF($F93=4,0,IF($F93=3,0,IF(OR(101&gt;$R93,EO93&lt;=$I93),EO93,EO93-MIN(INT(ROUND(IF($F93=1,$C93*$J93,IF(IN93&gt;0,IN93*$K93,EO93*$J93))*IF(101=$R93,$S93,12)/12,6)+$B$4),EO93-$I93)))))</f>
        <v/>
      </c>
      <c r="EQ93" s="68" t="n"/>
      <c r="ER93" s="68">
        <f>IF(OR($U93=0,$F93&lt;&gt;2),0,IF(ROUND(AS93*$J93,6)&lt;ROUND($M93,6),AS93,0))</f>
        <v/>
      </c>
      <c r="ES93" s="68">
        <f>IF(OR($U93=0,$F93&lt;&gt;2),0,IF(ER93&gt;0,ER93,IF(ROUND(AT93*$J93,6)&lt;ROUND($M93,6),AT93,0)))</f>
        <v/>
      </c>
      <c r="ET93" s="68">
        <f>IF(OR($U93=0,$F93&lt;&gt;2),0,IF(ES93&gt;0,ES93,IF(ROUND(AU93*$J93,6)&lt;ROUND($M93,6),AU93,0)))</f>
        <v/>
      </c>
      <c r="EU93" s="68">
        <f>IF(OR($U93=0,$F93&lt;&gt;2),0,IF(ET93&gt;0,ET93,IF(ROUND(AV93*$J93,6)&lt;ROUND($M93,6),AV93,0)))</f>
        <v/>
      </c>
      <c r="EV93" s="68">
        <f>IF(OR($U93=0,$F93&lt;&gt;2),0,IF(EU93&gt;0,EU93,IF(ROUND(AW93*$J93,6)&lt;ROUND($M93,6),AW93,0)))</f>
        <v/>
      </c>
      <c r="EW93" s="68">
        <f>IF(OR($U93=0,$F93&lt;&gt;2),0,IF(EV93&gt;0,EV93,IF(ROUND(AX93*$J93,6)&lt;ROUND($M93,6),AX93,0)))</f>
        <v/>
      </c>
      <c r="EX93" s="68">
        <f>IF(OR($U93=0,$F93&lt;&gt;2),0,IF(EW93&gt;0,EW93,IF(ROUND(AY93*$J93,6)&lt;ROUND($M93,6),AY93,0)))</f>
        <v/>
      </c>
      <c r="EY93" s="68">
        <f>IF(OR($U93=0,$F93&lt;&gt;2),0,IF(EX93&gt;0,EX93,IF(ROUND(AZ93*$J93,6)&lt;ROUND($M93,6),AZ93,0)))</f>
        <v/>
      </c>
      <c r="EZ93" s="68">
        <f>IF(OR($U93=0,$F93&lt;&gt;2),0,IF(EY93&gt;0,EY93,IF(ROUND(BA93*$J93,6)&lt;ROUND($M93,6),BA93,0)))</f>
        <v/>
      </c>
      <c r="FA93" s="68">
        <f>IF(OR($U93=0,$F93&lt;&gt;2),0,IF(EZ93&gt;0,EZ93,IF(ROUND(BB93*$J93,6)&lt;ROUND($M93,6),BB93,0)))</f>
        <v/>
      </c>
      <c r="FB93" s="68">
        <f>IF(OR($U93=0,$F93&lt;&gt;2),0,IF(FA93&gt;0,FA93,IF(ROUND(BC93*$J93,6)&lt;ROUND($M93,6),BC93,0)))</f>
        <v/>
      </c>
      <c r="FC93" s="68">
        <f>IF(OR($U93=0,$F93&lt;&gt;2),0,IF(FB93&gt;0,FB93,IF(ROUND(BD93*$J93,6)&lt;ROUND($M93,6),BD93,0)))</f>
        <v/>
      </c>
      <c r="FD93" s="68">
        <f>IF(OR($U93=0,$F93&lt;&gt;2),0,IF(FC93&gt;0,FC93,IF(ROUND(BE93*$J93,6)&lt;ROUND($M93,6),BE93,0)))</f>
        <v/>
      </c>
      <c r="FE93" s="68">
        <f>IF(OR($U93=0,$F93&lt;&gt;2),0,IF(FD93&gt;0,FD93,IF(ROUND(BF93*$J93,6)&lt;ROUND($M93,6),BF93,0)))</f>
        <v/>
      </c>
      <c r="FF93" s="68">
        <f>IF(OR($U93=0,$F93&lt;&gt;2),0,IF(FE93&gt;0,FE93,IF(ROUND(BG93*$J93,6)&lt;ROUND($M93,6),BG93,0)))</f>
        <v/>
      </c>
      <c r="FG93" s="68">
        <f>IF(OR($U93=0,$F93&lt;&gt;2),0,IF(FF93&gt;0,FF93,IF(ROUND(BH93*$J93,6)&lt;ROUND($M93,6),BH93,0)))</f>
        <v/>
      </c>
      <c r="FH93" s="68">
        <f>IF(OR($U93=0,$F93&lt;&gt;2),0,IF(FG93&gt;0,FG93,IF(ROUND(BI93*$J93,6)&lt;ROUND($M93,6),BI93,0)))</f>
        <v/>
      </c>
      <c r="FI93" s="68">
        <f>IF(OR($U93=0,$F93&lt;&gt;2),0,IF(FH93&gt;0,FH93,IF(ROUND(BJ93*$J93,6)&lt;ROUND($M93,6),BJ93,0)))</f>
        <v/>
      </c>
      <c r="FJ93" s="68">
        <f>IF(OR($U93=0,$F93&lt;&gt;2),0,IF(FI93&gt;0,FI93,IF(ROUND(BK93*$J93,6)&lt;ROUND($M93,6),BK93,0)))</f>
        <v/>
      </c>
      <c r="FK93" s="68">
        <f>IF(OR($U93=0,$F93&lt;&gt;2),0,IF(FJ93&gt;0,FJ93,IF(ROUND(BL93*$J93,6)&lt;ROUND($M93,6),BL93,0)))</f>
        <v/>
      </c>
      <c r="FL93" s="68">
        <f>IF(OR($U93=0,$F93&lt;&gt;2),0,IF(FK93&gt;0,FK93,IF(ROUND(BM93*$J93,6)&lt;ROUND($M93,6),BM93,0)))</f>
        <v/>
      </c>
      <c r="FM93" s="68">
        <f>IF(OR($U93=0,$F93&lt;&gt;2),0,IF(FL93&gt;0,FL93,IF(ROUND(BN93*$J93,6)&lt;ROUND($M93,6),BN93,0)))</f>
        <v/>
      </c>
      <c r="FN93" s="68">
        <f>IF(OR($U93=0,$F93&lt;&gt;2),0,IF(FM93&gt;0,FM93,IF(ROUND(BO93*$J93,6)&lt;ROUND($M93,6),BO93,0)))</f>
        <v/>
      </c>
      <c r="FO93" s="68">
        <f>IF(OR($U93=0,$F93&lt;&gt;2),0,IF(FN93&gt;0,FN93,IF(ROUND(BP93*$J93,6)&lt;ROUND($M93,6),BP93,0)))</f>
        <v/>
      </c>
      <c r="FP93" s="68">
        <f>IF(OR($U93=0,$F93&lt;&gt;2),0,IF(FO93&gt;0,FO93,IF(ROUND(BQ93*$J93,6)&lt;ROUND($M93,6),BQ93,0)))</f>
        <v/>
      </c>
      <c r="FQ93" s="68">
        <f>IF(OR($U93=0,$F93&lt;&gt;2),0,IF(FP93&gt;0,FP93,IF(ROUND(BR93*$J93,6)&lt;ROUND($M93,6),BR93,0)))</f>
        <v/>
      </c>
      <c r="FR93" s="68">
        <f>IF(OR($U93=0,$F93&lt;&gt;2),0,IF(FQ93&gt;0,FQ93,IF(ROUND(BS93*$J93,6)&lt;ROUND($M93,6),BS93,0)))</f>
        <v/>
      </c>
      <c r="FS93" s="68">
        <f>IF(OR($U93=0,$F93&lt;&gt;2),0,IF(FR93&gt;0,FR93,IF(ROUND(BT93*$J93,6)&lt;ROUND($M93,6),BT93,0)))</f>
        <v/>
      </c>
      <c r="FT93" s="68">
        <f>IF(OR($U93=0,$F93&lt;&gt;2),0,IF(FS93&gt;0,FS93,IF(ROUND(BU93*$J93,6)&lt;ROUND($M93,6),BU93,0)))</f>
        <v/>
      </c>
      <c r="FU93" s="68">
        <f>IF(OR($U93=0,$F93&lt;&gt;2),0,IF(FT93&gt;0,FT93,IF(ROUND(BV93*$J93,6)&lt;ROUND($M93,6),BV93,0)))</f>
        <v/>
      </c>
      <c r="FV93" s="68">
        <f>IF(OR($U93=0,$F93&lt;&gt;2),0,IF(FU93&gt;0,FU93,IF(ROUND(BW93*$J93,6)&lt;ROUND($M93,6),BW93,0)))</f>
        <v/>
      </c>
      <c r="FW93" s="68">
        <f>IF(OR($U93=0,$F93&lt;&gt;2),0,IF(FV93&gt;0,FV93,IF(ROUND(BX93*$J93,6)&lt;ROUND($M93,6),BX93,0)))</f>
        <v/>
      </c>
      <c r="FX93" s="68">
        <f>IF(OR($U93=0,$F93&lt;&gt;2),0,IF(FW93&gt;0,FW93,IF(ROUND(BY93*$J93,6)&lt;ROUND($M93,6),BY93,0)))</f>
        <v/>
      </c>
      <c r="FY93" s="68">
        <f>IF(OR($U93=0,$F93&lt;&gt;2),0,IF(FX93&gt;0,FX93,IF(ROUND(BZ93*$J93,6)&lt;ROUND($M93,6),BZ93,0)))</f>
        <v/>
      </c>
      <c r="FZ93" s="68">
        <f>IF(OR($U93=0,$F93&lt;&gt;2),0,IF(FY93&gt;0,FY93,IF(ROUND(CA93*$J93,6)&lt;ROUND($M93,6),CA93,0)))</f>
        <v/>
      </c>
      <c r="GA93" s="68">
        <f>IF(OR($U93=0,$F93&lt;&gt;2),0,IF(FZ93&gt;0,FZ93,IF(ROUND(CB93*$J93,6)&lt;ROUND($M93,6),CB93,0)))</f>
        <v/>
      </c>
      <c r="GB93" s="68">
        <f>IF(OR($U93=0,$F93&lt;&gt;2),0,IF(GA93&gt;0,GA93,IF(ROUND(CC93*$J93,6)&lt;ROUND($M93,6),CC93,0)))</f>
        <v/>
      </c>
      <c r="GC93" s="68">
        <f>IF(OR($U93=0,$F93&lt;&gt;2),0,IF(GB93&gt;0,GB93,IF(ROUND(CD93*$J93,6)&lt;ROUND($M93,6),CD93,0)))</f>
        <v/>
      </c>
      <c r="GD93" s="68">
        <f>IF(OR($U93=0,$F93&lt;&gt;2),0,IF(GC93&gt;0,GC93,IF(ROUND(CE93*$J93,6)&lt;ROUND($M93,6),CE93,0)))</f>
        <v/>
      </c>
      <c r="GE93" s="68">
        <f>IF(OR($U93=0,$F93&lt;&gt;2),0,IF(GD93&gt;0,GD93,IF(ROUND(CF93*$J93,6)&lt;ROUND($M93,6),CF93,0)))</f>
        <v/>
      </c>
      <c r="GF93" s="68">
        <f>IF(OR($U93=0,$F93&lt;&gt;2),0,IF(GE93&gt;0,GE93,IF(ROUND(CG93*$J93,6)&lt;ROUND($M93,6),CG93,0)))</f>
        <v/>
      </c>
      <c r="GG93" s="68">
        <f>IF(OR($U93=0,$F93&lt;&gt;2),0,IF(GF93&gt;0,GF93,IF(ROUND(CH93*$J93,6)&lt;ROUND($M93,6),CH93,0)))</f>
        <v/>
      </c>
      <c r="GH93" s="68">
        <f>IF(OR($U93=0,$F93&lt;&gt;2),0,IF(GG93&gt;0,GG93,IF(ROUND(CI93*$J93,6)&lt;ROUND($M93,6),CI93,0)))</f>
        <v/>
      </c>
      <c r="GI93" s="68">
        <f>IF(OR($U93=0,$F93&lt;&gt;2),0,IF(GH93&gt;0,GH93,IF(ROUND(CJ93*$J93,6)&lt;ROUND($M93,6),CJ93,0)))</f>
        <v/>
      </c>
      <c r="GJ93" s="68">
        <f>IF(OR($U93=0,$F93&lt;&gt;2),0,IF(GI93&gt;0,GI93,IF(ROUND(CK93*$J93,6)&lt;ROUND($M93,6),CK93,0)))</f>
        <v/>
      </c>
      <c r="GK93" s="68">
        <f>IF(OR($U93=0,$F93&lt;&gt;2),0,IF(GJ93&gt;0,GJ93,IF(ROUND(CL93*$J93,6)&lt;ROUND($M93,6),CL93,0)))</f>
        <v/>
      </c>
      <c r="GL93" s="68">
        <f>IF(OR($U93=0,$F93&lt;&gt;2),0,IF(GK93&gt;0,GK93,IF(ROUND(CM93*$J93,6)&lt;ROUND($M93,6),CM93,0)))</f>
        <v/>
      </c>
      <c r="GM93" s="68">
        <f>IF(OR($U93=0,$F93&lt;&gt;2),0,IF(GL93&gt;0,GL93,IF(ROUND(CN93*$J93,6)&lt;ROUND($M93,6),CN93,0)))</f>
        <v/>
      </c>
      <c r="GN93" s="68">
        <f>IF(OR($U93=0,$F93&lt;&gt;2),0,IF(GM93&gt;0,GM93,IF(ROUND(CO93*$J93,6)&lt;ROUND($M93,6),CO93,0)))</f>
        <v/>
      </c>
      <c r="GO93" s="68">
        <f>IF(OR($U93=0,$F93&lt;&gt;2),0,IF(GN93&gt;0,GN93,IF(ROUND(CP93*$J93,6)&lt;ROUND($M93,6),CP93,0)))</f>
        <v/>
      </c>
      <c r="GP93" s="68">
        <f>IF(OR($U93=0,$F93&lt;&gt;2),0,IF(GO93&gt;0,GO93,IF(ROUND(CQ93*$J93,6)&lt;ROUND($M93,6),CQ93,0)))</f>
        <v/>
      </c>
      <c r="GQ93" s="68">
        <f>IF(OR($U93=0,$F93&lt;&gt;2),0,IF(GP93&gt;0,GP93,IF(ROUND(CR93*$J93,6)&lt;ROUND($M93,6),CR93,0)))</f>
        <v/>
      </c>
      <c r="GR93" s="68">
        <f>IF(OR($U93=0,$F93&lt;&gt;2),0,IF(GQ93&gt;0,GQ93,IF(ROUND(CS93*$J93,6)&lt;ROUND($M93,6),CS93,0)))</f>
        <v/>
      </c>
      <c r="GS93" s="68">
        <f>IF(OR($U93=0,$F93&lt;&gt;2),0,IF(GR93&gt;0,GR93,IF(ROUND(CT93*$J93,6)&lt;ROUND($M93,6),CT93,0)))</f>
        <v/>
      </c>
      <c r="GT93" s="68">
        <f>IF(OR($U93=0,$F93&lt;&gt;2),0,IF(GS93&gt;0,GS93,IF(ROUND(CU93*$J93,6)&lt;ROUND($M93,6),CU93,0)))</f>
        <v/>
      </c>
      <c r="GU93" s="68">
        <f>IF(OR($U93=0,$F93&lt;&gt;2),0,IF(GT93&gt;0,GT93,IF(ROUND(CV93*$J93,6)&lt;ROUND($M93,6),CV93,0)))</f>
        <v/>
      </c>
      <c r="GV93" s="68">
        <f>IF(OR($U93=0,$F93&lt;&gt;2),0,IF(GU93&gt;0,GU93,IF(ROUND(CW93*$J93,6)&lt;ROUND($M93,6),CW93,0)))</f>
        <v/>
      </c>
      <c r="GW93" s="68">
        <f>IF(OR($U93=0,$F93&lt;&gt;2),0,IF(GV93&gt;0,GV93,IF(ROUND(CX93*$J93,6)&lt;ROUND($M93,6),CX93,0)))</f>
        <v/>
      </c>
      <c r="GX93" s="68">
        <f>IF(OR($U93=0,$F93&lt;&gt;2),0,IF(GW93&gt;0,GW93,IF(ROUND(CY93*$J93,6)&lt;ROUND($M93,6),CY93,0)))</f>
        <v/>
      </c>
      <c r="GY93" s="68">
        <f>IF(OR($U93=0,$F93&lt;&gt;2),0,IF(GX93&gt;0,GX93,IF(ROUND(CZ93*$J93,6)&lt;ROUND($M93,6),CZ93,0)))</f>
        <v/>
      </c>
      <c r="GZ93" s="68">
        <f>IF(OR($U93=0,$F93&lt;&gt;2),0,IF(GY93&gt;0,GY93,IF(ROUND(DA93*$J93,6)&lt;ROUND($M93,6),DA93,0)))</f>
        <v/>
      </c>
      <c r="HA93" s="68">
        <f>IF(OR($U93=0,$F93&lt;&gt;2),0,IF(GZ93&gt;0,GZ93,IF(ROUND(DB93*$J93,6)&lt;ROUND($M93,6),DB93,0)))</f>
        <v/>
      </c>
      <c r="HB93" s="68">
        <f>IF(OR($U93=0,$F93&lt;&gt;2),0,IF(HA93&gt;0,HA93,IF(ROUND(DC93*$J93,6)&lt;ROUND($M93,6),DC93,0)))</f>
        <v/>
      </c>
      <c r="HC93" s="68">
        <f>IF(OR($U93=0,$F93&lt;&gt;2),0,IF(HB93&gt;0,HB93,IF(ROUND(DD93*$J93,6)&lt;ROUND($M93,6),DD93,0)))</f>
        <v/>
      </c>
      <c r="HD93" s="68">
        <f>IF(OR($U93=0,$F93&lt;&gt;2),0,IF(HC93&gt;0,HC93,IF(ROUND(DE93*$J93,6)&lt;ROUND($M93,6),DE93,0)))</f>
        <v/>
      </c>
      <c r="HE93" s="68">
        <f>IF(OR($U93=0,$F93&lt;&gt;2),0,IF(HD93&gt;0,HD93,IF(ROUND(DF93*$J93,6)&lt;ROUND($M93,6),DF93,0)))</f>
        <v/>
      </c>
      <c r="HF93" s="68">
        <f>IF(OR($U93=0,$F93&lt;&gt;2),0,IF(HE93&gt;0,HE93,IF(ROUND(DG93*$J93,6)&lt;ROUND($M93,6),DG93,0)))</f>
        <v/>
      </c>
      <c r="HG93" s="68">
        <f>IF(OR($U93=0,$F93&lt;&gt;2),0,IF(HF93&gt;0,HF93,IF(ROUND(DH93*$J93,6)&lt;ROUND($M93,6),DH93,0)))</f>
        <v/>
      </c>
      <c r="HH93" s="68">
        <f>IF(OR($U93=0,$F93&lt;&gt;2),0,IF(HG93&gt;0,HG93,IF(ROUND(DI93*$J93,6)&lt;ROUND($M93,6),DI93,0)))</f>
        <v/>
      </c>
      <c r="HI93" s="68">
        <f>IF(OR($U93=0,$F93&lt;&gt;2),0,IF(HH93&gt;0,HH93,IF(ROUND(DJ93*$J93,6)&lt;ROUND($M93,6),DJ93,0)))</f>
        <v/>
      </c>
      <c r="HJ93" s="68">
        <f>IF(OR($U93=0,$F93&lt;&gt;2),0,IF(HI93&gt;0,HI93,IF(ROUND(DK93*$J93,6)&lt;ROUND($M93,6),DK93,0)))</f>
        <v/>
      </c>
      <c r="HK93" s="68">
        <f>IF(OR($U93=0,$F93&lt;&gt;2),0,IF(HJ93&gt;0,HJ93,IF(ROUND(DL93*$J93,6)&lt;ROUND($M93,6),DL93,0)))</f>
        <v/>
      </c>
      <c r="HL93" s="68">
        <f>IF(OR($U93=0,$F93&lt;&gt;2),0,IF(HK93&gt;0,HK93,IF(ROUND(DM93*$J93,6)&lt;ROUND($M93,6),DM93,0)))</f>
        <v/>
      </c>
      <c r="HM93" s="68">
        <f>IF(OR($U93=0,$F93&lt;&gt;2),0,IF(HL93&gt;0,HL93,IF(ROUND(DN93*$J93,6)&lt;ROUND($M93,6),DN93,0)))</f>
        <v/>
      </c>
      <c r="HN93" s="68">
        <f>IF(OR($U93=0,$F93&lt;&gt;2),0,IF(HM93&gt;0,HM93,IF(ROUND(DO93*$J93,6)&lt;ROUND($M93,6),DO93,0)))</f>
        <v/>
      </c>
      <c r="HO93" s="68">
        <f>IF(OR($U93=0,$F93&lt;&gt;2),0,IF(HN93&gt;0,HN93,IF(ROUND(DP93*$J93,6)&lt;ROUND($M93,6),DP93,0)))</f>
        <v/>
      </c>
      <c r="HP93" s="68">
        <f>IF(OR($U93=0,$F93&lt;&gt;2),0,IF(HO93&gt;0,HO93,IF(ROUND(DQ93*$J93,6)&lt;ROUND($M93,6),DQ93,0)))</f>
        <v/>
      </c>
      <c r="HQ93" s="68">
        <f>IF(OR($U93=0,$F93&lt;&gt;2),0,IF(HP93&gt;0,HP93,IF(ROUND(DR93*$J93,6)&lt;ROUND($M93,6),DR93,0)))</f>
        <v/>
      </c>
      <c r="HR93" s="68">
        <f>IF(OR($U93=0,$F93&lt;&gt;2),0,IF(HQ93&gt;0,HQ93,IF(ROUND(DS93*$J93,6)&lt;ROUND($M93,6),DS93,0)))</f>
        <v/>
      </c>
      <c r="HS93" s="68">
        <f>IF(OR($U93=0,$F93&lt;&gt;2),0,IF(HR93&gt;0,HR93,IF(ROUND(DT93*$J93,6)&lt;ROUND($M93,6),DT93,0)))</f>
        <v/>
      </c>
      <c r="HT93" s="68">
        <f>IF(OR($U93=0,$F93&lt;&gt;2),0,IF(HS93&gt;0,HS93,IF(ROUND(DU93*$J93,6)&lt;ROUND($M93,6),DU93,0)))</f>
        <v/>
      </c>
      <c r="HU93" s="68">
        <f>IF(OR($U93=0,$F93&lt;&gt;2),0,IF(HT93&gt;0,HT93,IF(ROUND(DV93*$J93,6)&lt;ROUND($M93,6),DV93,0)))</f>
        <v/>
      </c>
      <c r="HV93" s="68">
        <f>IF(OR($U93=0,$F93&lt;&gt;2),0,IF(HU93&gt;0,HU93,IF(ROUND(DW93*$J93,6)&lt;ROUND($M93,6),DW93,0)))</f>
        <v/>
      </c>
      <c r="HW93" s="68">
        <f>IF(OR($U93=0,$F93&lt;&gt;2),0,IF(HV93&gt;0,HV93,IF(ROUND(DX93*$J93,6)&lt;ROUND($M93,6),DX93,0)))</f>
        <v/>
      </c>
      <c r="HX93" s="68">
        <f>IF(OR($U93=0,$F93&lt;&gt;2),0,IF(HW93&gt;0,HW93,IF(ROUND(DY93*$J93,6)&lt;ROUND($M93,6),DY93,0)))</f>
        <v/>
      </c>
      <c r="HY93" s="68">
        <f>IF(OR($U93=0,$F93&lt;&gt;2),0,IF(HX93&gt;0,HX93,IF(ROUND(DZ93*$J93,6)&lt;ROUND($M93,6),DZ93,0)))</f>
        <v/>
      </c>
      <c r="HZ93" s="68">
        <f>IF(OR($U93=0,$F93&lt;&gt;2),0,IF(HY93&gt;0,HY93,IF(ROUND(EA93*$J93,6)&lt;ROUND($M93,6),EA93,0)))</f>
        <v/>
      </c>
      <c r="IA93" s="68">
        <f>IF(OR($U93=0,$F93&lt;&gt;2),0,IF(HZ93&gt;0,HZ93,IF(ROUND(EB93*$J93,6)&lt;ROUND($M93,6),EB93,0)))</f>
        <v/>
      </c>
      <c r="IB93" s="68">
        <f>IF(OR($U93=0,$F93&lt;&gt;2),0,IF(IA93&gt;0,IA93,IF(ROUND(EC93*$J93,6)&lt;ROUND($M93,6),EC93,0)))</f>
        <v/>
      </c>
      <c r="IC93" s="68">
        <f>IF(OR($U93=0,$F93&lt;&gt;2),0,IF(IB93&gt;0,IB93,IF(ROUND(ED93*$J93,6)&lt;ROUND($M93,6),ED93,0)))</f>
        <v/>
      </c>
      <c r="ID93" s="68">
        <f>IF(OR($U93=0,$F93&lt;&gt;2),0,IF(IC93&gt;0,IC93,IF(ROUND(EE93*$J93,6)&lt;ROUND($M93,6),EE93,0)))</f>
        <v/>
      </c>
      <c r="IE93" s="68">
        <f>IF(OR($U93=0,$F93&lt;&gt;2),0,IF(ID93&gt;0,ID93,IF(ROUND(EF93*$J93,6)&lt;ROUND($M93,6),EF93,0)))</f>
        <v/>
      </c>
      <c r="IF93" s="68">
        <f>IF(OR($U93=0,$F93&lt;&gt;2),0,IF(IE93&gt;0,IE93,IF(ROUND(EG93*$J93,6)&lt;ROUND($M93,6),EG93,0)))</f>
        <v/>
      </c>
      <c r="IG93" s="68">
        <f>IF(OR($U93=0,$F93&lt;&gt;2),0,IF(IF93&gt;0,IF93,IF(ROUND(EH93*$J93,6)&lt;ROUND($M93,6),EH93,0)))</f>
        <v/>
      </c>
      <c r="IH93" s="68">
        <f>IF(OR($U93=0,$F93&lt;&gt;2),0,IF(IG93&gt;0,IG93,IF(ROUND(EI93*$J93,6)&lt;ROUND($M93,6),EI93,0)))</f>
        <v/>
      </c>
      <c r="II93" s="68">
        <f>IF(OR($U93=0,$F93&lt;&gt;2),0,IF(IH93&gt;0,IH93,IF(ROUND(EJ93*$J93,6)&lt;ROUND($M93,6),EJ93,0)))</f>
        <v/>
      </c>
      <c r="IJ93" s="68">
        <f>IF(OR($U93=0,$F93&lt;&gt;2),0,IF(II93&gt;0,II93,IF(ROUND(EK93*$J93,6)&lt;ROUND($M93,6),EK93,0)))</f>
        <v/>
      </c>
      <c r="IK93" s="68">
        <f>IF(OR($U93=0,$F93&lt;&gt;2),0,IF(IJ93&gt;0,IJ93,IF(ROUND(EL93*$J93,6)&lt;ROUND($M93,6),EL93,0)))</f>
        <v/>
      </c>
      <c r="IL93" s="68">
        <f>IF(OR($U93=0,$F93&lt;&gt;2),0,IF(IK93&gt;0,IK93,IF(ROUND(EM93*$J93,6)&lt;ROUND($M93,6),EM93,0)))</f>
        <v/>
      </c>
      <c r="IM93" s="68">
        <f>IF(OR($U93=0,$F93&lt;&gt;2),0,IF(IL93&gt;0,IL93,IF(ROUND(EN93*$J93,6)&lt;ROUND($M93,6),EN93,0)))</f>
        <v/>
      </c>
      <c r="IN93" s="68">
        <f>IF(OR($U93=0,$F93&lt;&gt;2),0,IF(IM93&gt;0,IM93,IF(ROUND(EO93*$J93,6)&lt;ROUND($M93,6),EO93,0)))</f>
        <v/>
      </c>
    </row>
    <row r="94">
      <c r="A94" s="68" t="n">
        <v>89</v>
      </c>
      <c r="B94" s="68">
        <f>IF(OR(TRIM('固定資産台帳'!$B94)&lt;&gt;"",'固定資産台帳'!$E94&lt;&gt;"",'固定資産台帳'!$G94&lt;&gt;"",'固定資産台帳'!$H94&lt;&gt;""),1,0)</f>
        <v/>
      </c>
      <c r="C94" s="68">
        <f>IF(ISNUMBER('固定資産台帳'!$G94),MAX(ROUND('固定資産台帳'!$G94,0),0),0)</f>
        <v/>
      </c>
      <c r="D94" s="84">
        <f>IF(ISNUMBER('固定資産台帳'!$E94),INT('固定資産台帳'!$E94),0)</f>
        <v/>
      </c>
      <c r="E94" s="84">
        <f>IF(ISNUMBER('固定資産台帳'!$F94),INT('固定資産台帳'!$F94),$D94)</f>
        <v/>
      </c>
      <c r="F94" s="68">
        <f>IF('固定資産台帳'!$H94="定額法",1,IF(OR('固定資産台帳'!$H94="定率法",'固定資産台帳'!$H94="定率法（200%）",'固定資産台帳'!$H94="定率法（250%）"),2,IF('固定資産台帳'!$H94="一括償却（3年）",3,IF('固定資産台帳'!$H94="少額特例",4,0))))</f>
        <v/>
      </c>
      <c r="G94" s="68">
        <f>IF('固定資産台帳'!$H94="定率法（250%）",250,IF('固定資産台帳'!$H94="定率法（200%）",200,IF($D94&gt;=DATE(2012,4,1),200,250)))</f>
        <v/>
      </c>
      <c r="H94" s="68">
        <f>IF(ISNUMBER('固定資産台帳'!$I94),IF(AND('固定資産台帳'!$I94&gt;=2,'固定資産台帳'!$I94&lt;=100,'固定資産台帳'!$I94=INT('固定資産台帳'!$I94)),'固定資産台帳'!$I94,0),0)</f>
        <v/>
      </c>
      <c r="I94" s="68">
        <f>IF('固定資産台帳'!$C94="無形固定資産",0,1)</f>
        <v/>
      </c>
      <c r="J94" s="68">
        <f>IF(OR($H94=0,$F94=0,$F94&gt;2),0,IF($F94=1,INDEX('償却率表'!$B$6:$B$104,$H94-1),IF($G94=200,INDEX('償却率表'!$C$6:$C$104,$H94-1),INDEX('償却率表'!$F$6:$F$104,$H94-1))))</f>
        <v/>
      </c>
      <c r="K94" s="68">
        <f>IF(AND($F94=2,$H94&gt;0),IF($G94=200,INDEX('償却率表'!$D$6:$D$104,$H94-1),INDEX('償却率表'!$G$6:$G$104,$H94-1)),0)</f>
        <v/>
      </c>
      <c r="L94" s="68">
        <f>IF(AND($F94=2,$H94&gt;0),IF($G94=200,INDEX('償却率表'!$E$6:$E$104,$H94-1),INDEX('償却率表'!$H$6:$H$104,$H94-1)),0)</f>
        <v/>
      </c>
      <c r="M94" s="68">
        <f>$C94*$L94</f>
        <v/>
      </c>
      <c r="N94" s="68">
        <f>IF($B$1=1,1,IF('固定資産台帳'!$J94="",1,IF(ISNUMBER('固定資産台帳'!$J94),IF(AND('固定資産台帳'!$J94&gt;0,'固定資産台帳'!$J94&lt;=1),'固定資産台帳'!$J94,0),0)))</f>
        <v/>
      </c>
      <c r="O94" s="68">
        <f>IF($E94=0,0,YEAR($E94)-IF(MONTH($E94)&lt;$B$2,1,0))</f>
        <v/>
      </c>
      <c r="P94" s="68">
        <f>IF($E94=0,0,12-MOD(MONTH($E94)-$B$2,12))</f>
        <v/>
      </c>
      <c r="Q94" s="84">
        <f>IF(ISNUMBER('固定資産台帳'!$K94),INT('固定資産台帳'!$K94),0)</f>
        <v/>
      </c>
      <c r="R94" s="68">
        <f>IF(OR($Q94=0,$E94=0),999,YEAR($Q94)-IF(MONTH($Q94)&lt;$B$2,1,0)-$O94)</f>
        <v/>
      </c>
      <c r="S94" s="68">
        <f>IF($R94=999,0,MOD(MONTH($Q94)-$B$2,12)+1-IF($R94=0,12-$P94,0))</f>
        <v/>
      </c>
      <c r="T94" s="68">
        <f>IF($B94=0,0,IF($C94&lt;=0,1,IF($D94=0,2,IF($F94=0,3,IF(AND($F94&lt;=2,$H94=0),4,IF(AND($F94&lt;=2,$D94&lt;DATE(2007,4,1)),5,IF($E94&lt;$D94,6,IF(AND($Q94&gt;0,$Q94&lt;$E94),7,IF($N94=0,8,IF($B$3=0,9,0))))))))))</f>
        <v/>
      </c>
      <c r="U94" s="68">
        <f>IF(AND($B94=1,$T94=0),1,0)</f>
        <v/>
      </c>
      <c r="V94" s="68">
        <f>$B$3-$O94</f>
        <v/>
      </c>
      <c r="W94" s="68">
        <f>IF(AND($U94=1,$V94&gt;=0),1,0)</f>
        <v/>
      </c>
      <c r="X94" s="68">
        <f>IF($W94=0,0,IF($V94=0,$C94,INDEX($AS94:$EP94,MIN($V94,102))))</f>
        <v/>
      </c>
      <c r="Y94" s="68">
        <f>IF($W94=0,0,INDEX($AS94:$EP94,MIN($V94,101)+1))</f>
        <v/>
      </c>
      <c r="Z94" s="68">
        <f>$X94-$Y94</f>
        <v/>
      </c>
      <c r="AA94" s="68">
        <f>IF(AND($W94=1,$F94=2,$V94&gt;=1),INDEX($ER94:$IN94,MIN($V94,101)),0)</f>
        <v/>
      </c>
      <c r="AB94" s="68">
        <f>IF(OR($W94=0,$F94&gt;2,$Z94=0),0,IF($V94=0,IF($R94=0,$S94,$P94),IF($V94=$R94,$S94,12)))</f>
        <v/>
      </c>
      <c r="AC94" s="68">
        <f>IF($W94=0,0,INT(ROUND($Z94*$N94,6)+$B$4))</f>
        <v/>
      </c>
      <c r="AD94" s="68">
        <f>IF(AND($W94=1,$F94&lt;=2,$V94=$R94),1,0)</f>
        <v/>
      </c>
      <c r="AE94" s="68">
        <f>IF(AND($W94=1,$F94&lt;=2,$V94&gt;$R94),1,0)</f>
        <v/>
      </c>
      <c r="AF94" s="68">
        <f>IF(AND($W94=1,$AE94=0,OR($Z94&gt;0,$AD94=1)),1,0)</f>
        <v/>
      </c>
      <c r="AG94" s="68">
        <f>IF($AF94=1,SUM($AF$6:$AF94),0)</f>
        <v/>
      </c>
      <c r="AH94" s="68">
        <f>IF($T94=0,"",CHOOSE($T94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94" s="68">
        <f>IF(AND($F94=2,OR('固定資産台帳'!$C94="建物",'固定資産台帳'!$C94="無形固定資産",AND(OR('固定資産台帳'!$C94="建物附属設備",'固定資産台帳'!$C94="構築物"),$D94&gt;=DATE(2016,4,1)))),"この資産は定額法だけです（定率法は使えません）。","")&amp;IF(AND($F94=3,$C94&gt;=200000),"一括償却は20万円未満の資産だけです。","")&amp;IF(AND($F94=3,$B$1=0,$C94&lt;100000),"10万円未満は一括償却にせず、全額をその年の経費にします。","")&amp;IF(AND($F94=4,$C94&lt;100000),"10万円未満は少額特例ではなく、全額をその年の経費にします。","")&amp;IF(AND($F94=4,$D94&lt;DATE(2026,4,1),$C94&gt;=300000),"2026年3月31日までの取得で少額特例が使えるのは30万円未満です。","")&amp;IF(AND($F94=4,$D94&gt;=DATE(2026,4,1),$C94&gt;=400000),"少額特例は40万円未満の資産だけです。","")&amp;IF(AND($F94=4,OR($D94&lt;DATE(2006,4,1),$D94&gt;DATE(2029,3,31))),"少額特例は2006年4月1日〜2029年3月31日に取得した資産だけです。","")&amp;IF(AND($F94=2,$G94=250,$D94&gt;DATE(2012,12,31)),"250%定率法は2012年12月31日までの取得だけです。","")</f>
        <v/>
      </c>
      <c r="AJ94" s="68">
        <f>IF(AND($F94=2,'固定資産台帳'!$H94="定率法（200%）",$D94&lt;DATE(2012,4,1)),"2012年3月31日までの取得に200%を使うのは、経過措置の届出をした場合です。","")&amp;IF(AND($F94=2,'固定資産台帳'!$H94="定率法（250%）",$D94&gt;=DATE(2012,4,1),$D94&lt;=DATE(2012,12,31)),"2012年4〜12月の取得に250%を使うのは、経過措置を選んだ場合です。","")</f>
        <v/>
      </c>
      <c r="AK94" s="68">
        <f>IF($U94=0,"",IF($V94&lt;0,"表示している年より後に使い始める資産です。",IF($AE94=1,"売却・除却済みです。",IF($AD94=1,"この年に売却・除却。期末の帳簿価額 "&amp;TEXT($Y94,"#,##0")&amp;"円を帳簿から外します。",IF($F94=4,IF($V94=0,"少額特例：この年に全額を経費にします。","少額特例で経費にした資産です。"),IF($F94=3,IF($V94&gt;2,"一括償却は終わっています。","一括償却 "&amp;($V94+1)&amp;"年目（3年のうち）。"),IF($Z94=0,"償却済み（帳簿価額 "&amp;TEXT($Y94,"#,##0")&amp;"円）。",IF($AA94&gt;0,"改定償却率で計算（改定取得価額 "&amp;TEXT($AA94,"#,##0")&amp;"円）。",IF($V94=0,"この年に使い始め（"&amp;$AB94&amp;"か月分）。","")))))))))</f>
        <v/>
      </c>
      <c r="AL94" s="68">
        <f>IF(AND($U94=1,$F94=4,$V94=0),$C94,0)</f>
        <v/>
      </c>
      <c r="AM94" s="68">
        <f>IF($F94=2,INT(ROUND($M94,6)+$B$4),0)</f>
        <v/>
      </c>
      <c r="AN94" s="68">
        <f>IF($W94=0,0,IF($F94=2,IF($AA94&gt;0,$AA94,$X94),$C94))</f>
        <v/>
      </c>
      <c r="AO94" s="68">
        <f>IF($W94=0,"",IF($F94=3,"1/3",IF($F94=4,"―",IF($AA94&gt;0,$K94,$J94))))</f>
        <v/>
      </c>
      <c r="AP94" s="68" t="n"/>
      <c r="AQ94" s="68" t="n"/>
      <c r="AR94" s="68" t="n"/>
      <c r="AS94" s="68">
        <f>IF($U94=0,0,IF($F94=4,0,IF($F94=3,MAX($C94-INT(ROUND($C94/3,6)+$B$4),0),$C94-MIN(INT(ROUND($C94*$J94*IF($R94=0,$S94,$P94)/12,6)+$B$4),MAX($C94-$I94,0)))))</f>
        <v/>
      </c>
      <c r="AT94" s="68">
        <f>IF($U94=0,0,IF($F94=4,0,IF($F94=3,AS94-MIN(INT(ROUND($C94/3,6)+$B$4),AS94),IF(OR(1&gt;$R94,AS94&lt;=$I94),AS94,AS94-MIN(INT(ROUND(IF($F94=1,$C94*$J94,IF(ER94&gt;0,ER94*$K94,AS94*$J94))*IF(1=$R94,$S94,12)/12,6)+$B$4),AS94-$I94)))))</f>
        <v/>
      </c>
      <c r="AU94" s="68">
        <f>IF($U94=0,0,IF($F94=4,0,IF($F94=3,0,IF(OR(2&gt;$R94,AT94&lt;=$I94),AT94,AT94-MIN(INT(ROUND(IF($F94=1,$C94*$J94,IF(ES94&gt;0,ES94*$K94,AT94*$J94))*IF(2=$R94,$S94,12)/12,6)+$B$4),AT94-$I94)))))</f>
        <v/>
      </c>
      <c r="AV94" s="68">
        <f>IF($U94=0,0,IF($F94=4,0,IF($F94=3,0,IF(OR(3&gt;$R94,AU94&lt;=$I94),AU94,AU94-MIN(INT(ROUND(IF($F94=1,$C94*$J94,IF(ET94&gt;0,ET94*$K94,AU94*$J94))*IF(3=$R94,$S94,12)/12,6)+$B$4),AU94-$I94)))))</f>
        <v/>
      </c>
      <c r="AW94" s="68">
        <f>IF($U94=0,0,IF($F94=4,0,IF($F94=3,0,IF(OR(4&gt;$R94,AV94&lt;=$I94),AV94,AV94-MIN(INT(ROUND(IF($F94=1,$C94*$J94,IF(EU94&gt;0,EU94*$K94,AV94*$J94))*IF(4=$R94,$S94,12)/12,6)+$B$4),AV94-$I94)))))</f>
        <v/>
      </c>
      <c r="AX94" s="68">
        <f>IF($U94=0,0,IF($F94=4,0,IF($F94=3,0,IF(OR(5&gt;$R94,AW94&lt;=$I94),AW94,AW94-MIN(INT(ROUND(IF($F94=1,$C94*$J94,IF(EV94&gt;0,EV94*$K94,AW94*$J94))*IF(5=$R94,$S94,12)/12,6)+$B$4),AW94-$I94)))))</f>
        <v/>
      </c>
      <c r="AY94" s="68">
        <f>IF($U94=0,0,IF($F94=4,0,IF($F94=3,0,IF(OR(6&gt;$R94,AX94&lt;=$I94),AX94,AX94-MIN(INT(ROUND(IF($F94=1,$C94*$J94,IF(EW94&gt;0,EW94*$K94,AX94*$J94))*IF(6=$R94,$S94,12)/12,6)+$B$4),AX94-$I94)))))</f>
        <v/>
      </c>
      <c r="AZ94" s="68">
        <f>IF($U94=0,0,IF($F94=4,0,IF($F94=3,0,IF(OR(7&gt;$R94,AY94&lt;=$I94),AY94,AY94-MIN(INT(ROUND(IF($F94=1,$C94*$J94,IF(EX94&gt;0,EX94*$K94,AY94*$J94))*IF(7=$R94,$S94,12)/12,6)+$B$4),AY94-$I94)))))</f>
        <v/>
      </c>
      <c r="BA94" s="68">
        <f>IF($U94=0,0,IF($F94=4,0,IF($F94=3,0,IF(OR(8&gt;$R94,AZ94&lt;=$I94),AZ94,AZ94-MIN(INT(ROUND(IF($F94=1,$C94*$J94,IF(EY94&gt;0,EY94*$K94,AZ94*$J94))*IF(8=$R94,$S94,12)/12,6)+$B$4),AZ94-$I94)))))</f>
        <v/>
      </c>
      <c r="BB94" s="68">
        <f>IF($U94=0,0,IF($F94=4,0,IF($F94=3,0,IF(OR(9&gt;$R94,BA94&lt;=$I94),BA94,BA94-MIN(INT(ROUND(IF($F94=1,$C94*$J94,IF(EZ94&gt;0,EZ94*$K94,BA94*$J94))*IF(9=$R94,$S94,12)/12,6)+$B$4),BA94-$I94)))))</f>
        <v/>
      </c>
      <c r="BC94" s="68">
        <f>IF($U94=0,0,IF($F94=4,0,IF($F94=3,0,IF(OR(10&gt;$R94,BB94&lt;=$I94),BB94,BB94-MIN(INT(ROUND(IF($F94=1,$C94*$J94,IF(FA94&gt;0,FA94*$K94,BB94*$J94))*IF(10=$R94,$S94,12)/12,6)+$B$4),BB94-$I94)))))</f>
        <v/>
      </c>
      <c r="BD94" s="68">
        <f>IF($U94=0,0,IF($F94=4,0,IF($F94=3,0,IF(OR(11&gt;$R94,BC94&lt;=$I94),BC94,BC94-MIN(INT(ROUND(IF($F94=1,$C94*$J94,IF(FB94&gt;0,FB94*$K94,BC94*$J94))*IF(11=$R94,$S94,12)/12,6)+$B$4),BC94-$I94)))))</f>
        <v/>
      </c>
      <c r="BE94" s="68">
        <f>IF($U94=0,0,IF($F94=4,0,IF($F94=3,0,IF(OR(12&gt;$R94,BD94&lt;=$I94),BD94,BD94-MIN(INT(ROUND(IF($F94=1,$C94*$J94,IF(FC94&gt;0,FC94*$K94,BD94*$J94))*IF(12=$R94,$S94,12)/12,6)+$B$4),BD94-$I94)))))</f>
        <v/>
      </c>
      <c r="BF94" s="68">
        <f>IF($U94=0,0,IF($F94=4,0,IF($F94=3,0,IF(OR(13&gt;$R94,BE94&lt;=$I94),BE94,BE94-MIN(INT(ROUND(IF($F94=1,$C94*$J94,IF(FD94&gt;0,FD94*$K94,BE94*$J94))*IF(13=$R94,$S94,12)/12,6)+$B$4),BE94-$I94)))))</f>
        <v/>
      </c>
      <c r="BG94" s="68">
        <f>IF($U94=0,0,IF($F94=4,0,IF($F94=3,0,IF(OR(14&gt;$R94,BF94&lt;=$I94),BF94,BF94-MIN(INT(ROUND(IF($F94=1,$C94*$J94,IF(FE94&gt;0,FE94*$K94,BF94*$J94))*IF(14=$R94,$S94,12)/12,6)+$B$4),BF94-$I94)))))</f>
        <v/>
      </c>
      <c r="BH94" s="68">
        <f>IF($U94=0,0,IF($F94=4,0,IF($F94=3,0,IF(OR(15&gt;$R94,BG94&lt;=$I94),BG94,BG94-MIN(INT(ROUND(IF($F94=1,$C94*$J94,IF(FF94&gt;0,FF94*$K94,BG94*$J94))*IF(15=$R94,$S94,12)/12,6)+$B$4),BG94-$I94)))))</f>
        <v/>
      </c>
      <c r="BI94" s="68">
        <f>IF($U94=0,0,IF($F94=4,0,IF($F94=3,0,IF(OR(16&gt;$R94,BH94&lt;=$I94),BH94,BH94-MIN(INT(ROUND(IF($F94=1,$C94*$J94,IF(FG94&gt;0,FG94*$K94,BH94*$J94))*IF(16=$R94,$S94,12)/12,6)+$B$4),BH94-$I94)))))</f>
        <v/>
      </c>
      <c r="BJ94" s="68">
        <f>IF($U94=0,0,IF($F94=4,0,IF($F94=3,0,IF(OR(17&gt;$R94,BI94&lt;=$I94),BI94,BI94-MIN(INT(ROUND(IF($F94=1,$C94*$J94,IF(FH94&gt;0,FH94*$K94,BI94*$J94))*IF(17=$R94,$S94,12)/12,6)+$B$4),BI94-$I94)))))</f>
        <v/>
      </c>
      <c r="BK94" s="68">
        <f>IF($U94=0,0,IF($F94=4,0,IF($F94=3,0,IF(OR(18&gt;$R94,BJ94&lt;=$I94),BJ94,BJ94-MIN(INT(ROUND(IF($F94=1,$C94*$J94,IF(FI94&gt;0,FI94*$K94,BJ94*$J94))*IF(18=$R94,$S94,12)/12,6)+$B$4),BJ94-$I94)))))</f>
        <v/>
      </c>
      <c r="BL94" s="68">
        <f>IF($U94=0,0,IF($F94=4,0,IF($F94=3,0,IF(OR(19&gt;$R94,BK94&lt;=$I94),BK94,BK94-MIN(INT(ROUND(IF($F94=1,$C94*$J94,IF(FJ94&gt;0,FJ94*$K94,BK94*$J94))*IF(19=$R94,$S94,12)/12,6)+$B$4),BK94-$I94)))))</f>
        <v/>
      </c>
      <c r="BM94" s="68">
        <f>IF($U94=0,0,IF($F94=4,0,IF($F94=3,0,IF(OR(20&gt;$R94,BL94&lt;=$I94),BL94,BL94-MIN(INT(ROUND(IF($F94=1,$C94*$J94,IF(FK94&gt;0,FK94*$K94,BL94*$J94))*IF(20=$R94,$S94,12)/12,6)+$B$4),BL94-$I94)))))</f>
        <v/>
      </c>
      <c r="BN94" s="68">
        <f>IF($U94=0,0,IF($F94=4,0,IF($F94=3,0,IF(OR(21&gt;$R94,BM94&lt;=$I94),BM94,BM94-MIN(INT(ROUND(IF($F94=1,$C94*$J94,IF(FL94&gt;0,FL94*$K94,BM94*$J94))*IF(21=$R94,$S94,12)/12,6)+$B$4),BM94-$I94)))))</f>
        <v/>
      </c>
      <c r="BO94" s="68">
        <f>IF($U94=0,0,IF($F94=4,0,IF($F94=3,0,IF(OR(22&gt;$R94,BN94&lt;=$I94),BN94,BN94-MIN(INT(ROUND(IF($F94=1,$C94*$J94,IF(FM94&gt;0,FM94*$K94,BN94*$J94))*IF(22=$R94,$S94,12)/12,6)+$B$4),BN94-$I94)))))</f>
        <v/>
      </c>
      <c r="BP94" s="68">
        <f>IF($U94=0,0,IF($F94=4,0,IF($F94=3,0,IF(OR(23&gt;$R94,BO94&lt;=$I94),BO94,BO94-MIN(INT(ROUND(IF($F94=1,$C94*$J94,IF(FN94&gt;0,FN94*$K94,BO94*$J94))*IF(23=$R94,$S94,12)/12,6)+$B$4),BO94-$I94)))))</f>
        <v/>
      </c>
      <c r="BQ94" s="68">
        <f>IF($U94=0,0,IF($F94=4,0,IF($F94=3,0,IF(OR(24&gt;$R94,BP94&lt;=$I94),BP94,BP94-MIN(INT(ROUND(IF($F94=1,$C94*$J94,IF(FO94&gt;0,FO94*$K94,BP94*$J94))*IF(24=$R94,$S94,12)/12,6)+$B$4),BP94-$I94)))))</f>
        <v/>
      </c>
      <c r="BR94" s="68">
        <f>IF($U94=0,0,IF($F94=4,0,IF($F94=3,0,IF(OR(25&gt;$R94,BQ94&lt;=$I94),BQ94,BQ94-MIN(INT(ROUND(IF($F94=1,$C94*$J94,IF(FP94&gt;0,FP94*$K94,BQ94*$J94))*IF(25=$R94,$S94,12)/12,6)+$B$4),BQ94-$I94)))))</f>
        <v/>
      </c>
      <c r="BS94" s="68">
        <f>IF($U94=0,0,IF($F94=4,0,IF($F94=3,0,IF(OR(26&gt;$R94,BR94&lt;=$I94),BR94,BR94-MIN(INT(ROUND(IF($F94=1,$C94*$J94,IF(FQ94&gt;0,FQ94*$K94,BR94*$J94))*IF(26=$R94,$S94,12)/12,6)+$B$4),BR94-$I94)))))</f>
        <v/>
      </c>
      <c r="BT94" s="68">
        <f>IF($U94=0,0,IF($F94=4,0,IF($F94=3,0,IF(OR(27&gt;$R94,BS94&lt;=$I94),BS94,BS94-MIN(INT(ROUND(IF($F94=1,$C94*$J94,IF(FR94&gt;0,FR94*$K94,BS94*$J94))*IF(27=$R94,$S94,12)/12,6)+$B$4),BS94-$I94)))))</f>
        <v/>
      </c>
      <c r="BU94" s="68">
        <f>IF($U94=0,0,IF($F94=4,0,IF($F94=3,0,IF(OR(28&gt;$R94,BT94&lt;=$I94),BT94,BT94-MIN(INT(ROUND(IF($F94=1,$C94*$J94,IF(FS94&gt;0,FS94*$K94,BT94*$J94))*IF(28=$R94,$S94,12)/12,6)+$B$4),BT94-$I94)))))</f>
        <v/>
      </c>
      <c r="BV94" s="68">
        <f>IF($U94=0,0,IF($F94=4,0,IF($F94=3,0,IF(OR(29&gt;$R94,BU94&lt;=$I94),BU94,BU94-MIN(INT(ROUND(IF($F94=1,$C94*$J94,IF(FT94&gt;0,FT94*$K94,BU94*$J94))*IF(29=$R94,$S94,12)/12,6)+$B$4),BU94-$I94)))))</f>
        <v/>
      </c>
      <c r="BW94" s="68">
        <f>IF($U94=0,0,IF($F94=4,0,IF($F94=3,0,IF(OR(30&gt;$R94,BV94&lt;=$I94),BV94,BV94-MIN(INT(ROUND(IF($F94=1,$C94*$J94,IF(FU94&gt;0,FU94*$K94,BV94*$J94))*IF(30=$R94,$S94,12)/12,6)+$B$4),BV94-$I94)))))</f>
        <v/>
      </c>
      <c r="BX94" s="68">
        <f>IF($U94=0,0,IF($F94=4,0,IF($F94=3,0,IF(OR(31&gt;$R94,BW94&lt;=$I94),BW94,BW94-MIN(INT(ROUND(IF($F94=1,$C94*$J94,IF(FV94&gt;0,FV94*$K94,BW94*$J94))*IF(31=$R94,$S94,12)/12,6)+$B$4),BW94-$I94)))))</f>
        <v/>
      </c>
      <c r="BY94" s="68">
        <f>IF($U94=0,0,IF($F94=4,0,IF($F94=3,0,IF(OR(32&gt;$R94,BX94&lt;=$I94),BX94,BX94-MIN(INT(ROUND(IF($F94=1,$C94*$J94,IF(FW94&gt;0,FW94*$K94,BX94*$J94))*IF(32=$R94,$S94,12)/12,6)+$B$4),BX94-$I94)))))</f>
        <v/>
      </c>
      <c r="BZ94" s="68">
        <f>IF($U94=0,0,IF($F94=4,0,IF($F94=3,0,IF(OR(33&gt;$R94,BY94&lt;=$I94),BY94,BY94-MIN(INT(ROUND(IF($F94=1,$C94*$J94,IF(FX94&gt;0,FX94*$K94,BY94*$J94))*IF(33=$R94,$S94,12)/12,6)+$B$4),BY94-$I94)))))</f>
        <v/>
      </c>
      <c r="CA94" s="68">
        <f>IF($U94=0,0,IF($F94=4,0,IF($F94=3,0,IF(OR(34&gt;$R94,BZ94&lt;=$I94),BZ94,BZ94-MIN(INT(ROUND(IF($F94=1,$C94*$J94,IF(FY94&gt;0,FY94*$K94,BZ94*$J94))*IF(34=$R94,$S94,12)/12,6)+$B$4),BZ94-$I94)))))</f>
        <v/>
      </c>
      <c r="CB94" s="68">
        <f>IF($U94=0,0,IF($F94=4,0,IF($F94=3,0,IF(OR(35&gt;$R94,CA94&lt;=$I94),CA94,CA94-MIN(INT(ROUND(IF($F94=1,$C94*$J94,IF(FZ94&gt;0,FZ94*$K94,CA94*$J94))*IF(35=$R94,$S94,12)/12,6)+$B$4),CA94-$I94)))))</f>
        <v/>
      </c>
      <c r="CC94" s="68">
        <f>IF($U94=0,0,IF($F94=4,0,IF($F94=3,0,IF(OR(36&gt;$R94,CB94&lt;=$I94),CB94,CB94-MIN(INT(ROUND(IF($F94=1,$C94*$J94,IF(GA94&gt;0,GA94*$K94,CB94*$J94))*IF(36=$R94,$S94,12)/12,6)+$B$4),CB94-$I94)))))</f>
        <v/>
      </c>
      <c r="CD94" s="68">
        <f>IF($U94=0,0,IF($F94=4,0,IF($F94=3,0,IF(OR(37&gt;$R94,CC94&lt;=$I94),CC94,CC94-MIN(INT(ROUND(IF($F94=1,$C94*$J94,IF(GB94&gt;0,GB94*$K94,CC94*$J94))*IF(37=$R94,$S94,12)/12,6)+$B$4),CC94-$I94)))))</f>
        <v/>
      </c>
      <c r="CE94" s="68">
        <f>IF($U94=0,0,IF($F94=4,0,IF($F94=3,0,IF(OR(38&gt;$R94,CD94&lt;=$I94),CD94,CD94-MIN(INT(ROUND(IF($F94=1,$C94*$J94,IF(GC94&gt;0,GC94*$K94,CD94*$J94))*IF(38=$R94,$S94,12)/12,6)+$B$4),CD94-$I94)))))</f>
        <v/>
      </c>
      <c r="CF94" s="68">
        <f>IF($U94=0,0,IF($F94=4,0,IF($F94=3,0,IF(OR(39&gt;$R94,CE94&lt;=$I94),CE94,CE94-MIN(INT(ROUND(IF($F94=1,$C94*$J94,IF(GD94&gt;0,GD94*$K94,CE94*$J94))*IF(39=$R94,$S94,12)/12,6)+$B$4),CE94-$I94)))))</f>
        <v/>
      </c>
      <c r="CG94" s="68">
        <f>IF($U94=0,0,IF($F94=4,0,IF($F94=3,0,IF(OR(40&gt;$R94,CF94&lt;=$I94),CF94,CF94-MIN(INT(ROUND(IF($F94=1,$C94*$J94,IF(GE94&gt;0,GE94*$K94,CF94*$J94))*IF(40=$R94,$S94,12)/12,6)+$B$4),CF94-$I94)))))</f>
        <v/>
      </c>
      <c r="CH94" s="68">
        <f>IF($U94=0,0,IF($F94=4,0,IF($F94=3,0,IF(OR(41&gt;$R94,CG94&lt;=$I94),CG94,CG94-MIN(INT(ROUND(IF($F94=1,$C94*$J94,IF(GF94&gt;0,GF94*$K94,CG94*$J94))*IF(41=$R94,$S94,12)/12,6)+$B$4),CG94-$I94)))))</f>
        <v/>
      </c>
      <c r="CI94" s="68">
        <f>IF($U94=0,0,IF($F94=4,0,IF($F94=3,0,IF(OR(42&gt;$R94,CH94&lt;=$I94),CH94,CH94-MIN(INT(ROUND(IF($F94=1,$C94*$J94,IF(GG94&gt;0,GG94*$K94,CH94*$J94))*IF(42=$R94,$S94,12)/12,6)+$B$4),CH94-$I94)))))</f>
        <v/>
      </c>
      <c r="CJ94" s="68">
        <f>IF($U94=0,0,IF($F94=4,0,IF($F94=3,0,IF(OR(43&gt;$R94,CI94&lt;=$I94),CI94,CI94-MIN(INT(ROUND(IF($F94=1,$C94*$J94,IF(GH94&gt;0,GH94*$K94,CI94*$J94))*IF(43=$R94,$S94,12)/12,6)+$B$4),CI94-$I94)))))</f>
        <v/>
      </c>
      <c r="CK94" s="68">
        <f>IF($U94=0,0,IF($F94=4,0,IF($F94=3,0,IF(OR(44&gt;$R94,CJ94&lt;=$I94),CJ94,CJ94-MIN(INT(ROUND(IF($F94=1,$C94*$J94,IF(GI94&gt;0,GI94*$K94,CJ94*$J94))*IF(44=$R94,$S94,12)/12,6)+$B$4),CJ94-$I94)))))</f>
        <v/>
      </c>
      <c r="CL94" s="68">
        <f>IF($U94=0,0,IF($F94=4,0,IF($F94=3,0,IF(OR(45&gt;$R94,CK94&lt;=$I94),CK94,CK94-MIN(INT(ROUND(IF($F94=1,$C94*$J94,IF(GJ94&gt;0,GJ94*$K94,CK94*$J94))*IF(45=$R94,$S94,12)/12,6)+$B$4),CK94-$I94)))))</f>
        <v/>
      </c>
      <c r="CM94" s="68">
        <f>IF($U94=0,0,IF($F94=4,0,IF($F94=3,0,IF(OR(46&gt;$R94,CL94&lt;=$I94),CL94,CL94-MIN(INT(ROUND(IF($F94=1,$C94*$J94,IF(GK94&gt;0,GK94*$K94,CL94*$J94))*IF(46=$R94,$S94,12)/12,6)+$B$4),CL94-$I94)))))</f>
        <v/>
      </c>
      <c r="CN94" s="68">
        <f>IF($U94=0,0,IF($F94=4,0,IF($F94=3,0,IF(OR(47&gt;$R94,CM94&lt;=$I94),CM94,CM94-MIN(INT(ROUND(IF($F94=1,$C94*$J94,IF(GL94&gt;0,GL94*$K94,CM94*$J94))*IF(47=$R94,$S94,12)/12,6)+$B$4),CM94-$I94)))))</f>
        <v/>
      </c>
      <c r="CO94" s="68">
        <f>IF($U94=0,0,IF($F94=4,0,IF($F94=3,0,IF(OR(48&gt;$R94,CN94&lt;=$I94),CN94,CN94-MIN(INT(ROUND(IF($F94=1,$C94*$J94,IF(GM94&gt;0,GM94*$K94,CN94*$J94))*IF(48=$R94,$S94,12)/12,6)+$B$4),CN94-$I94)))))</f>
        <v/>
      </c>
      <c r="CP94" s="68">
        <f>IF($U94=0,0,IF($F94=4,0,IF($F94=3,0,IF(OR(49&gt;$R94,CO94&lt;=$I94),CO94,CO94-MIN(INT(ROUND(IF($F94=1,$C94*$J94,IF(GN94&gt;0,GN94*$K94,CO94*$J94))*IF(49=$R94,$S94,12)/12,6)+$B$4),CO94-$I94)))))</f>
        <v/>
      </c>
      <c r="CQ94" s="68">
        <f>IF($U94=0,0,IF($F94=4,0,IF($F94=3,0,IF(OR(50&gt;$R94,CP94&lt;=$I94),CP94,CP94-MIN(INT(ROUND(IF($F94=1,$C94*$J94,IF(GO94&gt;0,GO94*$K94,CP94*$J94))*IF(50=$R94,$S94,12)/12,6)+$B$4),CP94-$I94)))))</f>
        <v/>
      </c>
      <c r="CR94" s="68">
        <f>IF($U94=0,0,IF($F94=4,0,IF($F94=3,0,IF(OR(51&gt;$R94,CQ94&lt;=$I94),CQ94,CQ94-MIN(INT(ROUND(IF($F94=1,$C94*$J94,IF(GP94&gt;0,GP94*$K94,CQ94*$J94))*IF(51=$R94,$S94,12)/12,6)+$B$4),CQ94-$I94)))))</f>
        <v/>
      </c>
      <c r="CS94" s="68">
        <f>IF($U94=0,0,IF($F94=4,0,IF($F94=3,0,IF(OR(52&gt;$R94,CR94&lt;=$I94),CR94,CR94-MIN(INT(ROUND(IF($F94=1,$C94*$J94,IF(GQ94&gt;0,GQ94*$K94,CR94*$J94))*IF(52=$R94,$S94,12)/12,6)+$B$4),CR94-$I94)))))</f>
        <v/>
      </c>
      <c r="CT94" s="68">
        <f>IF($U94=0,0,IF($F94=4,0,IF($F94=3,0,IF(OR(53&gt;$R94,CS94&lt;=$I94),CS94,CS94-MIN(INT(ROUND(IF($F94=1,$C94*$J94,IF(GR94&gt;0,GR94*$K94,CS94*$J94))*IF(53=$R94,$S94,12)/12,6)+$B$4),CS94-$I94)))))</f>
        <v/>
      </c>
      <c r="CU94" s="68">
        <f>IF($U94=0,0,IF($F94=4,0,IF($F94=3,0,IF(OR(54&gt;$R94,CT94&lt;=$I94),CT94,CT94-MIN(INT(ROUND(IF($F94=1,$C94*$J94,IF(GS94&gt;0,GS94*$K94,CT94*$J94))*IF(54=$R94,$S94,12)/12,6)+$B$4),CT94-$I94)))))</f>
        <v/>
      </c>
      <c r="CV94" s="68">
        <f>IF($U94=0,0,IF($F94=4,0,IF($F94=3,0,IF(OR(55&gt;$R94,CU94&lt;=$I94),CU94,CU94-MIN(INT(ROUND(IF($F94=1,$C94*$J94,IF(GT94&gt;0,GT94*$K94,CU94*$J94))*IF(55=$R94,$S94,12)/12,6)+$B$4),CU94-$I94)))))</f>
        <v/>
      </c>
      <c r="CW94" s="68">
        <f>IF($U94=0,0,IF($F94=4,0,IF($F94=3,0,IF(OR(56&gt;$R94,CV94&lt;=$I94),CV94,CV94-MIN(INT(ROUND(IF($F94=1,$C94*$J94,IF(GU94&gt;0,GU94*$K94,CV94*$J94))*IF(56=$R94,$S94,12)/12,6)+$B$4),CV94-$I94)))))</f>
        <v/>
      </c>
      <c r="CX94" s="68">
        <f>IF($U94=0,0,IF($F94=4,0,IF($F94=3,0,IF(OR(57&gt;$R94,CW94&lt;=$I94),CW94,CW94-MIN(INT(ROUND(IF($F94=1,$C94*$J94,IF(GV94&gt;0,GV94*$K94,CW94*$J94))*IF(57=$R94,$S94,12)/12,6)+$B$4),CW94-$I94)))))</f>
        <v/>
      </c>
      <c r="CY94" s="68">
        <f>IF($U94=0,0,IF($F94=4,0,IF($F94=3,0,IF(OR(58&gt;$R94,CX94&lt;=$I94),CX94,CX94-MIN(INT(ROUND(IF($F94=1,$C94*$J94,IF(GW94&gt;0,GW94*$K94,CX94*$J94))*IF(58=$R94,$S94,12)/12,6)+$B$4),CX94-$I94)))))</f>
        <v/>
      </c>
      <c r="CZ94" s="68">
        <f>IF($U94=0,0,IF($F94=4,0,IF($F94=3,0,IF(OR(59&gt;$R94,CY94&lt;=$I94),CY94,CY94-MIN(INT(ROUND(IF($F94=1,$C94*$J94,IF(GX94&gt;0,GX94*$K94,CY94*$J94))*IF(59=$R94,$S94,12)/12,6)+$B$4),CY94-$I94)))))</f>
        <v/>
      </c>
      <c r="DA94" s="68">
        <f>IF($U94=0,0,IF($F94=4,0,IF($F94=3,0,IF(OR(60&gt;$R94,CZ94&lt;=$I94),CZ94,CZ94-MIN(INT(ROUND(IF($F94=1,$C94*$J94,IF(GY94&gt;0,GY94*$K94,CZ94*$J94))*IF(60=$R94,$S94,12)/12,6)+$B$4),CZ94-$I94)))))</f>
        <v/>
      </c>
      <c r="DB94" s="68">
        <f>IF($U94=0,0,IF($F94=4,0,IF($F94=3,0,IF(OR(61&gt;$R94,DA94&lt;=$I94),DA94,DA94-MIN(INT(ROUND(IF($F94=1,$C94*$J94,IF(GZ94&gt;0,GZ94*$K94,DA94*$J94))*IF(61=$R94,$S94,12)/12,6)+$B$4),DA94-$I94)))))</f>
        <v/>
      </c>
      <c r="DC94" s="68">
        <f>IF($U94=0,0,IF($F94=4,0,IF($F94=3,0,IF(OR(62&gt;$R94,DB94&lt;=$I94),DB94,DB94-MIN(INT(ROUND(IF($F94=1,$C94*$J94,IF(HA94&gt;0,HA94*$K94,DB94*$J94))*IF(62=$R94,$S94,12)/12,6)+$B$4),DB94-$I94)))))</f>
        <v/>
      </c>
      <c r="DD94" s="68">
        <f>IF($U94=0,0,IF($F94=4,0,IF($F94=3,0,IF(OR(63&gt;$R94,DC94&lt;=$I94),DC94,DC94-MIN(INT(ROUND(IF($F94=1,$C94*$J94,IF(HB94&gt;0,HB94*$K94,DC94*$J94))*IF(63=$R94,$S94,12)/12,6)+$B$4),DC94-$I94)))))</f>
        <v/>
      </c>
      <c r="DE94" s="68">
        <f>IF($U94=0,0,IF($F94=4,0,IF($F94=3,0,IF(OR(64&gt;$R94,DD94&lt;=$I94),DD94,DD94-MIN(INT(ROUND(IF($F94=1,$C94*$J94,IF(HC94&gt;0,HC94*$K94,DD94*$J94))*IF(64=$R94,$S94,12)/12,6)+$B$4),DD94-$I94)))))</f>
        <v/>
      </c>
      <c r="DF94" s="68">
        <f>IF($U94=0,0,IF($F94=4,0,IF($F94=3,0,IF(OR(65&gt;$R94,DE94&lt;=$I94),DE94,DE94-MIN(INT(ROUND(IF($F94=1,$C94*$J94,IF(HD94&gt;0,HD94*$K94,DE94*$J94))*IF(65=$R94,$S94,12)/12,6)+$B$4),DE94-$I94)))))</f>
        <v/>
      </c>
      <c r="DG94" s="68">
        <f>IF($U94=0,0,IF($F94=4,0,IF($F94=3,0,IF(OR(66&gt;$R94,DF94&lt;=$I94),DF94,DF94-MIN(INT(ROUND(IF($F94=1,$C94*$J94,IF(HE94&gt;0,HE94*$K94,DF94*$J94))*IF(66=$R94,$S94,12)/12,6)+$B$4),DF94-$I94)))))</f>
        <v/>
      </c>
      <c r="DH94" s="68">
        <f>IF($U94=0,0,IF($F94=4,0,IF($F94=3,0,IF(OR(67&gt;$R94,DG94&lt;=$I94),DG94,DG94-MIN(INT(ROUND(IF($F94=1,$C94*$J94,IF(HF94&gt;0,HF94*$K94,DG94*$J94))*IF(67=$R94,$S94,12)/12,6)+$B$4),DG94-$I94)))))</f>
        <v/>
      </c>
      <c r="DI94" s="68">
        <f>IF($U94=0,0,IF($F94=4,0,IF($F94=3,0,IF(OR(68&gt;$R94,DH94&lt;=$I94),DH94,DH94-MIN(INT(ROUND(IF($F94=1,$C94*$J94,IF(HG94&gt;0,HG94*$K94,DH94*$J94))*IF(68=$R94,$S94,12)/12,6)+$B$4),DH94-$I94)))))</f>
        <v/>
      </c>
      <c r="DJ94" s="68">
        <f>IF($U94=0,0,IF($F94=4,0,IF($F94=3,0,IF(OR(69&gt;$R94,DI94&lt;=$I94),DI94,DI94-MIN(INT(ROUND(IF($F94=1,$C94*$J94,IF(HH94&gt;0,HH94*$K94,DI94*$J94))*IF(69=$R94,$S94,12)/12,6)+$B$4),DI94-$I94)))))</f>
        <v/>
      </c>
      <c r="DK94" s="68">
        <f>IF($U94=0,0,IF($F94=4,0,IF($F94=3,0,IF(OR(70&gt;$R94,DJ94&lt;=$I94),DJ94,DJ94-MIN(INT(ROUND(IF($F94=1,$C94*$J94,IF(HI94&gt;0,HI94*$K94,DJ94*$J94))*IF(70=$R94,$S94,12)/12,6)+$B$4),DJ94-$I94)))))</f>
        <v/>
      </c>
      <c r="DL94" s="68">
        <f>IF($U94=0,0,IF($F94=4,0,IF($F94=3,0,IF(OR(71&gt;$R94,DK94&lt;=$I94),DK94,DK94-MIN(INT(ROUND(IF($F94=1,$C94*$J94,IF(HJ94&gt;0,HJ94*$K94,DK94*$J94))*IF(71=$R94,$S94,12)/12,6)+$B$4),DK94-$I94)))))</f>
        <v/>
      </c>
      <c r="DM94" s="68">
        <f>IF($U94=0,0,IF($F94=4,0,IF($F94=3,0,IF(OR(72&gt;$R94,DL94&lt;=$I94),DL94,DL94-MIN(INT(ROUND(IF($F94=1,$C94*$J94,IF(HK94&gt;0,HK94*$K94,DL94*$J94))*IF(72=$R94,$S94,12)/12,6)+$B$4),DL94-$I94)))))</f>
        <v/>
      </c>
      <c r="DN94" s="68">
        <f>IF($U94=0,0,IF($F94=4,0,IF($F94=3,0,IF(OR(73&gt;$R94,DM94&lt;=$I94),DM94,DM94-MIN(INT(ROUND(IF($F94=1,$C94*$J94,IF(HL94&gt;0,HL94*$K94,DM94*$J94))*IF(73=$R94,$S94,12)/12,6)+$B$4),DM94-$I94)))))</f>
        <v/>
      </c>
      <c r="DO94" s="68">
        <f>IF($U94=0,0,IF($F94=4,0,IF($F94=3,0,IF(OR(74&gt;$R94,DN94&lt;=$I94),DN94,DN94-MIN(INT(ROUND(IF($F94=1,$C94*$J94,IF(HM94&gt;0,HM94*$K94,DN94*$J94))*IF(74=$R94,$S94,12)/12,6)+$B$4),DN94-$I94)))))</f>
        <v/>
      </c>
      <c r="DP94" s="68">
        <f>IF($U94=0,0,IF($F94=4,0,IF($F94=3,0,IF(OR(75&gt;$R94,DO94&lt;=$I94),DO94,DO94-MIN(INT(ROUND(IF($F94=1,$C94*$J94,IF(HN94&gt;0,HN94*$K94,DO94*$J94))*IF(75=$R94,$S94,12)/12,6)+$B$4),DO94-$I94)))))</f>
        <v/>
      </c>
      <c r="DQ94" s="68">
        <f>IF($U94=0,0,IF($F94=4,0,IF($F94=3,0,IF(OR(76&gt;$R94,DP94&lt;=$I94),DP94,DP94-MIN(INT(ROUND(IF($F94=1,$C94*$J94,IF(HO94&gt;0,HO94*$K94,DP94*$J94))*IF(76=$R94,$S94,12)/12,6)+$B$4),DP94-$I94)))))</f>
        <v/>
      </c>
      <c r="DR94" s="68">
        <f>IF($U94=0,0,IF($F94=4,0,IF($F94=3,0,IF(OR(77&gt;$R94,DQ94&lt;=$I94),DQ94,DQ94-MIN(INT(ROUND(IF($F94=1,$C94*$J94,IF(HP94&gt;0,HP94*$K94,DQ94*$J94))*IF(77=$R94,$S94,12)/12,6)+$B$4),DQ94-$I94)))))</f>
        <v/>
      </c>
      <c r="DS94" s="68">
        <f>IF($U94=0,0,IF($F94=4,0,IF($F94=3,0,IF(OR(78&gt;$R94,DR94&lt;=$I94),DR94,DR94-MIN(INT(ROUND(IF($F94=1,$C94*$J94,IF(HQ94&gt;0,HQ94*$K94,DR94*$J94))*IF(78=$R94,$S94,12)/12,6)+$B$4),DR94-$I94)))))</f>
        <v/>
      </c>
      <c r="DT94" s="68">
        <f>IF($U94=0,0,IF($F94=4,0,IF($F94=3,0,IF(OR(79&gt;$R94,DS94&lt;=$I94),DS94,DS94-MIN(INT(ROUND(IF($F94=1,$C94*$J94,IF(HR94&gt;0,HR94*$K94,DS94*$J94))*IF(79=$R94,$S94,12)/12,6)+$B$4),DS94-$I94)))))</f>
        <v/>
      </c>
      <c r="DU94" s="68">
        <f>IF($U94=0,0,IF($F94=4,0,IF($F94=3,0,IF(OR(80&gt;$R94,DT94&lt;=$I94),DT94,DT94-MIN(INT(ROUND(IF($F94=1,$C94*$J94,IF(HS94&gt;0,HS94*$K94,DT94*$J94))*IF(80=$R94,$S94,12)/12,6)+$B$4),DT94-$I94)))))</f>
        <v/>
      </c>
      <c r="DV94" s="68">
        <f>IF($U94=0,0,IF($F94=4,0,IF($F94=3,0,IF(OR(81&gt;$R94,DU94&lt;=$I94),DU94,DU94-MIN(INT(ROUND(IF($F94=1,$C94*$J94,IF(HT94&gt;0,HT94*$K94,DU94*$J94))*IF(81=$R94,$S94,12)/12,6)+$B$4),DU94-$I94)))))</f>
        <v/>
      </c>
      <c r="DW94" s="68">
        <f>IF($U94=0,0,IF($F94=4,0,IF($F94=3,0,IF(OR(82&gt;$R94,DV94&lt;=$I94),DV94,DV94-MIN(INT(ROUND(IF($F94=1,$C94*$J94,IF(HU94&gt;0,HU94*$K94,DV94*$J94))*IF(82=$R94,$S94,12)/12,6)+$B$4),DV94-$I94)))))</f>
        <v/>
      </c>
      <c r="DX94" s="68">
        <f>IF($U94=0,0,IF($F94=4,0,IF($F94=3,0,IF(OR(83&gt;$R94,DW94&lt;=$I94),DW94,DW94-MIN(INT(ROUND(IF($F94=1,$C94*$J94,IF(HV94&gt;0,HV94*$K94,DW94*$J94))*IF(83=$R94,$S94,12)/12,6)+$B$4),DW94-$I94)))))</f>
        <v/>
      </c>
      <c r="DY94" s="68">
        <f>IF($U94=0,0,IF($F94=4,0,IF($F94=3,0,IF(OR(84&gt;$R94,DX94&lt;=$I94),DX94,DX94-MIN(INT(ROUND(IF($F94=1,$C94*$J94,IF(HW94&gt;0,HW94*$K94,DX94*$J94))*IF(84=$R94,$S94,12)/12,6)+$B$4),DX94-$I94)))))</f>
        <v/>
      </c>
      <c r="DZ94" s="68">
        <f>IF($U94=0,0,IF($F94=4,0,IF($F94=3,0,IF(OR(85&gt;$R94,DY94&lt;=$I94),DY94,DY94-MIN(INT(ROUND(IF($F94=1,$C94*$J94,IF(HX94&gt;0,HX94*$K94,DY94*$J94))*IF(85=$R94,$S94,12)/12,6)+$B$4),DY94-$I94)))))</f>
        <v/>
      </c>
      <c r="EA94" s="68">
        <f>IF($U94=0,0,IF($F94=4,0,IF($F94=3,0,IF(OR(86&gt;$R94,DZ94&lt;=$I94),DZ94,DZ94-MIN(INT(ROUND(IF($F94=1,$C94*$J94,IF(HY94&gt;0,HY94*$K94,DZ94*$J94))*IF(86=$R94,$S94,12)/12,6)+$B$4),DZ94-$I94)))))</f>
        <v/>
      </c>
      <c r="EB94" s="68">
        <f>IF($U94=0,0,IF($F94=4,0,IF($F94=3,0,IF(OR(87&gt;$R94,EA94&lt;=$I94),EA94,EA94-MIN(INT(ROUND(IF($F94=1,$C94*$J94,IF(HZ94&gt;0,HZ94*$K94,EA94*$J94))*IF(87=$R94,$S94,12)/12,6)+$B$4),EA94-$I94)))))</f>
        <v/>
      </c>
      <c r="EC94" s="68">
        <f>IF($U94=0,0,IF($F94=4,0,IF($F94=3,0,IF(OR(88&gt;$R94,EB94&lt;=$I94),EB94,EB94-MIN(INT(ROUND(IF($F94=1,$C94*$J94,IF(IA94&gt;0,IA94*$K94,EB94*$J94))*IF(88=$R94,$S94,12)/12,6)+$B$4),EB94-$I94)))))</f>
        <v/>
      </c>
      <c r="ED94" s="68">
        <f>IF($U94=0,0,IF($F94=4,0,IF($F94=3,0,IF(OR(89&gt;$R94,EC94&lt;=$I94),EC94,EC94-MIN(INT(ROUND(IF($F94=1,$C94*$J94,IF(IB94&gt;0,IB94*$K94,EC94*$J94))*IF(89=$R94,$S94,12)/12,6)+$B$4),EC94-$I94)))))</f>
        <v/>
      </c>
      <c r="EE94" s="68">
        <f>IF($U94=0,0,IF($F94=4,0,IF($F94=3,0,IF(OR(90&gt;$R94,ED94&lt;=$I94),ED94,ED94-MIN(INT(ROUND(IF($F94=1,$C94*$J94,IF(IC94&gt;0,IC94*$K94,ED94*$J94))*IF(90=$R94,$S94,12)/12,6)+$B$4),ED94-$I94)))))</f>
        <v/>
      </c>
      <c r="EF94" s="68">
        <f>IF($U94=0,0,IF($F94=4,0,IF($F94=3,0,IF(OR(91&gt;$R94,EE94&lt;=$I94),EE94,EE94-MIN(INT(ROUND(IF($F94=1,$C94*$J94,IF(ID94&gt;0,ID94*$K94,EE94*$J94))*IF(91=$R94,$S94,12)/12,6)+$B$4),EE94-$I94)))))</f>
        <v/>
      </c>
      <c r="EG94" s="68">
        <f>IF($U94=0,0,IF($F94=4,0,IF($F94=3,0,IF(OR(92&gt;$R94,EF94&lt;=$I94),EF94,EF94-MIN(INT(ROUND(IF($F94=1,$C94*$J94,IF(IE94&gt;0,IE94*$K94,EF94*$J94))*IF(92=$R94,$S94,12)/12,6)+$B$4),EF94-$I94)))))</f>
        <v/>
      </c>
      <c r="EH94" s="68">
        <f>IF($U94=0,0,IF($F94=4,0,IF($F94=3,0,IF(OR(93&gt;$R94,EG94&lt;=$I94),EG94,EG94-MIN(INT(ROUND(IF($F94=1,$C94*$J94,IF(IF94&gt;0,IF94*$K94,EG94*$J94))*IF(93=$R94,$S94,12)/12,6)+$B$4),EG94-$I94)))))</f>
        <v/>
      </c>
      <c r="EI94" s="68">
        <f>IF($U94=0,0,IF($F94=4,0,IF($F94=3,0,IF(OR(94&gt;$R94,EH94&lt;=$I94),EH94,EH94-MIN(INT(ROUND(IF($F94=1,$C94*$J94,IF(IG94&gt;0,IG94*$K94,EH94*$J94))*IF(94=$R94,$S94,12)/12,6)+$B$4),EH94-$I94)))))</f>
        <v/>
      </c>
      <c r="EJ94" s="68">
        <f>IF($U94=0,0,IF($F94=4,0,IF($F94=3,0,IF(OR(95&gt;$R94,EI94&lt;=$I94),EI94,EI94-MIN(INT(ROUND(IF($F94=1,$C94*$J94,IF(IH94&gt;0,IH94*$K94,EI94*$J94))*IF(95=$R94,$S94,12)/12,6)+$B$4),EI94-$I94)))))</f>
        <v/>
      </c>
      <c r="EK94" s="68">
        <f>IF($U94=0,0,IF($F94=4,0,IF($F94=3,0,IF(OR(96&gt;$R94,EJ94&lt;=$I94),EJ94,EJ94-MIN(INT(ROUND(IF($F94=1,$C94*$J94,IF(II94&gt;0,II94*$K94,EJ94*$J94))*IF(96=$R94,$S94,12)/12,6)+$B$4),EJ94-$I94)))))</f>
        <v/>
      </c>
      <c r="EL94" s="68">
        <f>IF($U94=0,0,IF($F94=4,0,IF($F94=3,0,IF(OR(97&gt;$R94,EK94&lt;=$I94),EK94,EK94-MIN(INT(ROUND(IF($F94=1,$C94*$J94,IF(IJ94&gt;0,IJ94*$K94,EK94*$J94))*IF(97=$R94,$S94,12)/12,6)+$B$4),EK94-$I94)))))</f>
        <v/>
      </c>
      <c r="EM94" s="68">
        <f>IF($U94=0,0,IF($F94=4,0,IF($F94=3,0,IF(OR(98&gt;$R94,EL94&lt;=$I94),EL94,EL94-MIN(INT(ROUND(IF($F94=1,$C94*$J94,IF(IK94&gt;0,IK94*$K94,EL94*$J94))*IF(98=$R94,$S94,12)/12,6)+$B$4),EL94-$I94)))))</f>
        <v/>
      </c>
      <c r="EN94" s="68">
        <f>IF($U94=0,0,IF($F94=4,0,IF($F94=3,0,IF(OR(99&gt;$R94,EM94&lt;=$I94),EM94,EM94-MIN(INT(ROUND(IF($F94=1,$C94*$J94,IF(IL94&gt;0,IL94*$K94,EM94*$J94))*IF(99=$R94,$S94,12)/12,6)+$B$4),EM94-$I94)))))</f>
        <v/>
      </c>
      <c r="EO94" s="68">
        <f>IF($U94=0,0,IF($F94=4,0,IF($F94=3,0,IF(OR(100&gt;$R94,EN94&lt;=$I94),EN94,EN94-MIN(INT(ROUND(IF($F94=1,$C94*$J94,IF(IM94&gt;0,IM94*$K94,EN94*$J94))*IF(100=$R94,$S94,12)/12,6)+$B$4),EN94-$I94)))))</f>
        <v/>
      </c>
      <c r="EP94" s="68">
        <f>IF($U94=0,0,IF($F94=4,0,IF($F94=3,0,IF(OR(101&gt;$R94,EO94&lt;=$I94),EO94,EO94-MIN(INT(ROUND(IF($F94=1,$C94*$J94,IF(IN94&gt;0,IN94*$K94,EO94*$J94))*IF(101=$R94,$S94,12)/12,6)+$B$4),EO94-$I94)))))</f>
        <v/>
      </c>
      <c r="EQ94" s="68" t="n"/>
      <c r="ER94" s="68">
        <f>IF(OR($U94=0,$F94&lt;&gt;2),0,IF(ROUND(AS94*$J94,6)&lt;ROUND($M94,6),AS94,0))</f>
        <v/>
      </c>
      <c r="ES94" s="68">
        <f>IF(OR($U94=0,$F94&lt;&gt;2),0,IF(ER94&gt;0,ER94,IF(ROUND(AT94*$J94,6)&lt;ROUND($M94,6),AT94,0)))</f>
        <v/>
      </c>
      <c r="ET94" s="68">
        <f>IF(OR($U94=0,$F94&lt;&gt;2),0,IF(ES94&gt;0,ES94,IF(ROUND(AU94*$J94,6)&lt;ROUND($M94,6),AU94,0)))</f>
        <v/>
      </c>
      <c r="EU94" s="68">
        <f>IF(OR($U94=0,$F94&lt;&gt;2),0,IF(ET94&gt;0,ET94,IF(ROUND(AV94*$J94,6)&lt;ROUND($M94,6),AV94,0)))</f>
        <v/>
      </c>
      <c r="EV94" s="68">
        <f>IF(OR($U94=0,$F94&lt;&gt;2),0,IF(EU94&gt;0,EU94,IF(ROUND(AW94*$J94,6)&lt;ROUND($M94,6),AW94,0)))</f>
        <v/>
      </c>
      <c r="EW94" s="68">
        <f>IF(OR($U94=0,$F94&lt;&gt;2),0,IF(EV94&gt;0,EV94,IF(ROUND(AX94*$J94,6)&lt;ROUND($M94,6),AX94,0)))</f>
        <v/>
      </c>
      <c r="EX94" s="68">
        <f>IF(OR($U94=0,$F94&lt;&gt;2),0,IF(EW94&gt;0,EW94,IF(ROUND(AY94*$J94,6)&lt;ROUND($M94,6),AY94,0)))</f>
        <v/>
      </c>
      <c r="EY94" s="68">
        <f>IF(OR($U94=0,$F94&lt;&gt;2),0,IF(EX94&gt;0,EX94,IF(ROUND(AZ94*$J94,6)&lt;ROUND($M94,6),AZ94,0)))</f>
        <v/>
      </c>
      <c r="EZ94" s="68">
        <f>IF(OR($U94=0,$F94&lt;&gt;2),0,IF(EY94&gt;0,EY94,IF(ROUND(BA94*$J94,6)&lt;ROUND($M94,6),BA94,0)))</f>
        <v/>
      </c>
      <c r="FA94" s="68">
        <f>IF(OR($U94=0,$F94&lt;&gt;2),0,IF(EZ94&gt;0,EZ94,IF(ROUND(BB94*$J94,6)&lt;ROUND($M94,6),BB94,0)))</f>
        <v/>
      </c>
      <c r="FB94" s="68">
        <f>IF(OR($U94=0,$F94&lt;&gt;2),0,IF(FA94&gt;0,FA94,IF(ROUND(BC94*$J94,6)&lt;ROUND($M94,6),BC94,0)))</f>
        <v/>
      </c>
      <c r="FC94" s="68">
        <f>IF(OR($U94=0,$F94&lt;&gt;2),0,IF(FB94&gt;0,FB94,IF(ROUND(BD94*$J94,6)&lt;ROUND($M94,6),BD94,0)))</f>
        <v/>
      </c>
      <c r="FD94" s="68">
        <f>IF(OR($U94=0,$F94&lt;&gt;2),0,IF(FC94&gt;0,FC94,IF(ROUND(BE94*$J94,6)&lt;ROUND($M94,6),BE94,0)))</f>
        <v/>
      </c>
      <c r="FE94" s="68">
        <f>IF(OR($U94=0,$F94&lt;&gt;2),0,IF(FD94&gt;0,FD94,IF(ROUND(BF94*$J94,6)&lt;ROUND($M94,6),BF94,0)))</f>
        <v/>
      </c>
      <c r="FF94" s="68">
        <f>IF(OR($U94=0,$F94&lt;&gt;2),0,IF(FE94&gt;0,FE94,IF(ROUND(BG94*$J94,6)&lt;ROUND($M94,6),BG94,0)))</f>
        <v/>
      </c>
      <c r="FG94" s="68">
        <f>IF(OR($U94=0,$F94&lt;&gt;2),0,IF(FF94&gt;0,FF94,IF(ROUND(BH94*$J94,6)&lt;ROUND($M94,6),BH94,0)))</f>
        <v/>
      </c>
      <c r="FH94" s="68">
        <f>IF(OR($U94=0,$F94&lt;&gt;2),0,IF(FG94&gt;0,FG94,IF(ROUND(BI94*$J94,6)&lt;ROUND($M94,6),BI94,0)))</f>
        <v/>
      </c>
      <c r="FI94" s="68">
        <f>IF(OR($U94=0,$F94&lt;&gt;2),0,IF(FH94&gt;0,FH94,IF(ROUND(BJ94*$J94,6)&lt;ROUND($M94,6),BJ94,0)))</f>
        <v/>
      </c>
      <c r="FJ94" s="68">
        <f>IF(OR($U94=0,$F94&lt;&gt;2),0,IF(FI94&gt;0,FI94,IF(ROUND(BK94*$J94,6)&lt;ROUND($M94,6),BK94,0)))</f>
        <v/>
      </c>
      <c r="FK94" s="68">
        <f>IF(OR($U94=0,$F94&lt;&gt;2),0,IF(FJ94&gt;0,FJ94,IF(ROUND(BL94*$J94,6)&lt;ROUND($M94,6),BL94,0)))</f>
        <v/>
      </c>
      <c r="FL94" s="68">
        <f>IF(OR($U94=0,$F94&lt;&gt;2),0,IF(FK94&gt;0,FK94,IF(ROUND(BM94*$J94,6)&lt;ROUND($M94,6),BM94,0)))</f>
        <v/>
      </c>
      <c r="FM94" s="68">
        <f>IF(OR($U94=0,$F94&lt;&gt;2),0,IF(FL94&gt;0,FL94,IF(ROUND(BN94*$J94,6)&lt;ROUND($M94,6),BN94,0)))</f>
        <v/>
      </c>
      <c r="FN94" s="68">
        <f>IF(OR($U94=0,$F94&lt;&gt;2),0,IF(FM94&gt;0,FM94,IF(ROUND(BO94*$J94,6)&lt;ROUND($M94,6),BO94,0)))</f>
        <v/>
      </c>
      <c r="FO94" s="68">
        <f>IF(OR($U94=0,$F94&lt;&gt;2),0,IF(FN94&gt;0,FN94,IF(ROUND(BP94*$J94,6)&lt;ROUND($M94,6),BP94,0)))</f>
        <v/>
      </c>
      <c r="FP94" s="68">
        <f>IF(OR($U94=0,$F94&lt;&gt;2),0,IF(FO94&gt;0,FO94,IF(ROUND(BQ94*$J94,6)&lt;ROUND($M94,6),BQ94,0)))</f>
        <v/>
      </c>
      <c r="FQ94" s="68">
        <f>IF(OR($U94=0,$F94&lt;&gt;2),0,IF(FP94&gt;0,FP94,IF(ROUND(BR94*$J94,6)&lt;ROUND($M94,6),BR94,0)))</f>
        <v/>
      </c>
      <c r="FR94" s="68">
        <f>IF(OR($U94=0,$F94&lt;&gt;2),0,IF(FQ94&gt;0,FQ94,IF(ROUND(BS94*$J94,6)&lt;ROUND($M94,6),BS94,0)))</f>
        <v/>
      </c>
      <c r="FS94" s="68">
        <f>IF(OR($U94=0,$F94&lt;&gt;2),0,IF(FR94&gt;0,FR94,IF(ROUND(BT94*$J94,6)&lt;ROUND($M94,6),BT94,0)))</f>
        <v/>
      </c>
      <c r="FT94" s="68">
        <f>IF(OR($U94=0,$F94&lt;&gt;2),0,IF(FS94&gt;0,FS94,IF(ROUND(BU94*$J94,6)&lt;ROUND($M94,6),BU94,0)))</f>
        <v/>
      </c>
      <c r="FU94" s="68">
        <f>IF(OR($U94=0,$F94&lt;&gt;2),0,IF(FT94&gt;0,FT94,IF(ROUND(BV94*$J94,6)&lt;ROUND($M94,6),BV94,0)))</f>
        <v/>
      </c>
      <c r="FV94" s="68">
        <f>IF(OR($U94=0,$F94&lt;&gt;2),0,IF(FU94&gt;0,FU94,IF(ROUND(BW94*$J94,6)&lt;ROUND($M94,6),BW94,0)))</f>
        <v/>
      </c>
      <c r="FW94" s="68">
        <f>IF(OR($U94=0,$F94&lt;&gt;2),0,IF(FV94&gt;0,FV94,IF(ROUND(BX94*$J94,6)&lt;ROUND($M94,6),BX94,0)))</f>
        <v/>
      </c>
      <c r="FX94" s="68">
        <f>IF(OR($U94=0,$F94&lt;&gt;2),0,IF(FW94&gt;0,FW94,IF(ROUND(BY94*$J94,6)&lt;ROUND($M94,6),BY94,0)))</f>
        <v/>
      </c>
      <c r="FY94" s="68">
        <f>IF(OR($U94=0,$F94&lt;&gt;2),0,IF(FX94&gt;0,FX94,IF(ROUND(BZ94*$J94,6)&lt;ROUND($M94,6),BZ94,0)))</f>
        <v/>
      </c>
      <c r="FZ94" s="68">
        <f>IF(OR($U94=0,$F94&lt;&gt;2),0,IF(FY94&gt;0,FY94,IF(ROUND(CA94*$J94,6)&lt;ROUND($M94,6),CA94,0)))</f>
        <v/>
      </c>
      <c r="GA94" s="68">
        <f>IF(OR($U94=0,$F94&lt;&gt;2),0,IF(FZ94&gt;0,FZ94,IF(ROUND(CB94*$J94,6)&lt;ROUND($M94,6),CB94,0)))</f>
        <v/>
      </c>
      <c r="GB94" s="68">
        <f>IF(OR($U94=0,$F94&lt;&gt;2),0,IF(GA94&gt;0,GA94,IF(ROUND(CC94*$J94,6)&lt;ROUND($M94,6),CC94,0)))</f>
        <v/>
      </c>
      <c r="GC94" s="68">
        <f>IF(OR($U94=0,$F94&lt;&gt;2),0,IF(GB94&gt;0,GB94,IF(ROUND(CD94*$J94,6)&lt;ROUND($M94,6),CD94,0)))</f>
        <v/>
      </c>
      <c r="GD94" s="68">
        <f>IF(OR($U94=0,$F94&lt;&gt;2),0,IF(GC94&gt;0,GC94,IF(ROUND(CE94*$J94,6)&lt;ROUND($M94,6),CE94,0)))</f>
        <v/>
      </c>
      <c r="GE94" s="68">
        <f>IF(OR($U94=0,$F94&lt;&gt;2),0,IF(GD94&gt;0,GD94,IF(ROUND(CF94*$J94,6)&lt;ROUND($M94,6),CF94,0)))</f>
        <v/>
      </c>
      <c r="GF94" s="68">
        <f>IF(OR($U94=0,$F94&lt;&gt;2),0,IF(GE94&gt;0,GE94,IF(ROUND(CG94*$J94,6)&lt;ROUND($M94,6),CG94,0)))</f>
        <v/>
      </c>
      <c r="GG94" s="68">
        <f>IF(OR($U94=0,$F94&lt;&gt;2),0,IF(GF94&gt;0,GF94,IF(ROUND(CH94*$J94,6)&lt;ROUND($M94,6),CH94,0)))</f>
        <v/>
      </c>
      <c r="GH94" s="68">
        <f>IF(OR($U94=0,$F94&lt;&gt;2),0,IF(GG94&gt;0,GG94,IF(ROUND(CI94*$J94,6)&lt;ROUND($M94,6),CI94,0)))</f>
        <v/>
      </c>
      <c r="GI94" s="68">
        <f>IF(OR($U94=0,$F94&lt;&gt;2),0,IF(GH94&gt;0,GH94,IF(ROUND(CJ94*$J94,6)&lt;ROUND($M94,6),CJ94,0)))</f>
        <v/>
      </c>
      <c r="GJ94" s="68">
        <f>IF(OR($U94=0,$F94&lt;&gt;2),0,IF(GI94&gt;0,GI94,IF(ROUND(CK94*$J94,6)&lt;ROUND($M94,6),CK94,0)))</f>
        <v/>
      </c>
      <c r="GK94" s="68">
        <f>IF(OR($U94=0,$F94&lt;&gt;2),0,IF(GJ94&gt;0,GJ94,IF(ROUND(CL94*$J94,6)&lt;ROUND($M94,6),CL94,0)))</f>
        <v/>
      </c>
      <c r="GL94" s="68">
        <f>IF(OR($U94=0,$F94&lt;&gt;2),0,IF(GK94&gt;0,GK94,IF(ROUND(CM94*$J94,6)&lt;ROUND($M94,6),CM94,0)))</f>
        <v/>
      </c>
      <c r="GM94" s="68">
        <f>IF(OR($U94=0,$F94&lt;&gt;2),0,IF(GL94&gt;0,GL94,IF(ROUND(CN94*$J94,6)&lt;ROUND($M94,6),CN94,0)))</f>
        <v/>
      </c>
      <c r="GN94" s="68">
        <f>IF(OR($U94=0,$F94&lt;&gt;2),0,IF(GM94&gt;0,GM94,IF(ROUND(CO94*$J94,6)&lt;ROUND($M94,6),CO94,0)))</f>
        <v/>
      </c>
      <c r="GO94" s="68">
        <f>IF(OR($U94=0,$F94&lt;&gt;2),0,IF(GN94&gt;0,GN94,IF(ROUND(CP94*$J94,6)&lt;ROUND($M94,6),CP94,0)))</f>
        <v/>
      </c>
      <c r="GP94" s="68">
        <f>IF(OR($U94=0,$F94&lt;&gt;2),0,IF(GO94&gt;0,GO94,IF(ROUND(CQ94*$J94,6)&lt;ROUND($M94,6),CQ94,0)))</f>
        <v/>
      </c>
      <c r="GQ94" s="68">
        <f>IF(OR($U94=0,$F94&lt;&gt;2),0,IF(GP94&gt;0,GP94,IF(ROUND(CR94*$J94,6)&lt;ROUND($M94,6),CR94,0)))</f>
        <v/>
      </c>
      <c r="GR94" s="68">
        <f>IF(OR($U94=0,$F94&lt;&gt;2),0,IF(GQ94&gt;0,GQ94,IF(ROUND(CS94*$J94,6)&lt;ROUND($M94,6),CS94,0)))</f>
        <v/>
      </c>
      <c r="GS94" s="68">
        <f>IF(OR($U94=0,$F94&lt;&gt;2),0,IF(GR94&gt;0,GR94,IF(ROUND(CT94*$J94,6)&lt;ROUND($M94,6),CT94,0)))</f>
        <v/>
      </c>
      <c r="GT94" s="68">
        <f>IF(OR($U94=0,$F94&lt;&gt;2),0,IF(GS94&gt;0,GS94,IF(ROUND(CU94*$J94,6)&lt;ROUND($M94,6),CU94,0)))</f>
        <v/>
      </c>
      <c r="GU94" s="68">
        <f>IF(OR($U94=0,$F94&lt;&gt;2),0,IF(GT94&gt;0,GT94,IF(ROUND(CV94*$J94,6)&lt;ROUND($M94,6),CV94,0)))</f>
        <v/>
      </c>
      <c r="GV94" s="68">
        <f>IF(OR($U94=0,$F94&lt;&gt;2),0,IF(GU94&gt;0,GU94,IF(ROUND(CW94*$J94,6)&lt;ROUND($M94,6),CW94,0)))</f>
        <v/>
      </c>
      <c r="GW94" s="68">
        <f>IF(OR($U94=0,$F94&lt;&gt;2),0,IF(GV94&gt;0,GV94,IF(ROUND(CX94*$J94,6)&lt;ROUND($M94,6),CX94,0)))</f>
        <v/>
      </c>
      <c r="GX94" s="68">
        <f>IF(OR($U94=0,$F94&lt;&gt;2),0,IF(GW94&gt;0,GW94,IF(ROUND(CY94*$J94,6)&lt;ROUND($M94,6),CY94,0)))</f>
        <v/>
      </c>
      <c r="GY94" s="68">
        <f>IF(OR($U94=0,$F94&lt;&gt;2),0,IF(GX94&gt;0,GX94,IF(ROUND(CZ94*$J94,6)&lt;ROUND($M94,6),CZ94,0)))</f>
        <v/>
      </c>
      <c r="GZ94" s="68">
        <f>IF(OR($U94=0,$F94&lt;&gt;2),0,IF(GY94&gt;0,GY94,IF(ROUND(DA94*$J94,6)&lt;ROUND($M94,6),DA94,0)))</f>
        <v/>
      </c>
      <c r="HA94" s="68">
        <f>IF(OR($U94=0,$F94&lt;&gt;2),0,IF(GZ94&gt;0,GZ94,IF(ROUND(DB94*$J94,6)&lt;ROUND($M94,6),DB94,0)))</f>
        <v/>
      </c>
      <c r="HB94" s="68">
        <f>IF(OR($U94=0,$F94&lt;&gt;2),0,IF(HA94&gt;0,HA94,IF(ROUND(DC94*$J94,6)&lt;ROUND($M94,6),DC94,0)))</f>
        <v/>
      </c>
      <c r="HC94" s="68">
        <f>IF(OR($U94=0,$F94&lt;&gt;2),0,IF(HB94&gt;0,HB94,IF(ROUND(DD94*$J94,6)&lt;ROUND($M94,6),DD94,0)))</f>
        <v/>
      </c>
      <c r="HD94" s="68">
        <f>IF(OR($U94=0,$F94&lt;&gt;2),0,IF(HC94&gt;0,HC94,IF(ROUND(DE94*$J94,6)&lt;ROUND($M94,6),DE94,0)))</f>
        <v/>
      </c>
      <c r="HE94" s="68">
        <f>IF(OR($U94=0,$F94&lt;&gt;2),0,IF(HD94&gt;0,HD94,IF(ROUND(DF94*$J94,6)&lt;ROUND($M94,6),DF94,0)))</f>
        <v/>
      </c>
      <c r="HF94" s="68">
        <f>IF(OR($U94=0,$F94&lt;&gt;2),0,IF(HE94&gt;0,HE94,IF(ROUND(DG94*$J94,6)&lt;ROUND($M94,6),DG94,0)))</f>
        <v/>
      </c>
      <c r="HG94" s="68">
        <f>IF(OR($U94=0,$F94&lt;&gt;2),0,IF(HF94&gt;0,HF94,IF(ROUND(DH94*$J94,6)&lt;ROUND($M94,6),DH94,0)))</f>
        <v/>
      </c>
      <c r="HH94" s="68">
        <f>IF(OR($U94=0,$F94&lt;&gt;2),0,IF(HG94&gt;0,HG94,IF(ROUND(DI94*$J94,6)&lt;ROUND($M94,6),DI94,0)))</f>
        <v/>
      </c>
      <c r="HI94" s="68">
        <f>IF(OR($U94=0,$F94&lt;&gt;2),0,IF(HH94&gt;0,HH94,IF(ROUND(DJ94*$J94,6)&lt;ROUND($M94,6),DJ94,0)))</f>
        <v/>
      </c>
      <c r="HJ94" s="68">
        <f>IF(OR($U94=0,$F94&lt;&gt;2),0,IF(HI94&gt;0,HI94,IF(ROUND(DK94*$J94,6)&lt;ROUND($M94,6),DK94,0)))</f>
        <v/>
      </c>
      <c r="HK94" s="68">
        <f>IF(OR($U94=0,$F94&lt;&gt;2),0,IF(HJ94&gt;0,HJ94,IF(ROUND(DL94*$J94,6)&lt;ROUND($M94,6),DL94,0)))</f>
        <v/>
      </c>
      <c r="HL94" s="68">
        <f>IF(OR($U94=0,$F94&lt;&gt;2),0,IF(HK94&gt;0,HK94,IF(ROUND(DM94*$J94,6)&lt;ROUND($M94,6),DM94,0)))</f>
        <v/>
      </c>
      <c r="HM94" s="68">
        <f>IF(OR($U94=0,$F94&lt;&gt;2),0,IF(HL94&gt;0,HL94,IF(ROUND(DN94*$J94,6)&lt;ROUND($M94,6),DN94,0)))</f>
        <v/>
      </c>
      <c r="HN94" s="68">
        <f>IF(OR($U94=0,$F94&lt;&gt;2),0,IF(HM94&gt;0,HM94,IF(ROUND(DO94*$J94,6)&lt;ROUND($M94,6),DO94,0)))</f>
        <v/>
      </c>
      <c r="HO94" s="68">
        <f>IF(OR($U94=0,$F94&lt;&gt;2),0,IF(HN94&gt;0,HN94,IF(ROUND(DP94*$J94,6)&lt;ROUND($M94,6),DP94,0)))</f>
        <v/>
      </c>
      <c r="HP94" s="68">
        <f>IF(OR($U94=0,$F94&lt;&gt;2),0,IF(HO94&gt;0,HO94,IF(ROUND(DQ94*$J94,6)&lt;ROUND($M94,6),DQ94,0)))</f>
        <v/>
      </c>
      <c r="HQ94" s="68">
        <f>IF(OR($U94=0,$F94&lt;&gt;2),0,IF(HP94&gt;0,HP94,IF(ROUND(DR94*$J94,6)&lt;ROUND($M94,6),DR94,0)))</f>
        <v/>
      </c>
      <c r="HR94" s="68">
        <f>IF(OR($U94=0,$F94&lt;&gt;2),0,IF(HQ94&gt;0,HQ94,IF(ROUND(DS94*$J94,6)&lt;ROUND($M94,6),DS94,0)))</f>
        <v/>
      </c>
      <c r="HS94" s="68">
        <f>IF(OR($U94=0,$F94&lt;&gt;2),0,IF(HR94&gt;0,HR94,IF(ROUND(DT94*$J94,6)&lt;ROUND($M94,6),DT94,0)))</f>
        <v/>
      </c>
      <c r="HT94" s="68">
        <f>IF(OR($U94=0,$F94&lt;&gt;2),0,IF(HS94&gt;0,HS94,IF(ROUND(DU94*$J94,6)&lt;ROUND($M94,6),DU94,0)))</f>
        <v/>
      </c>
      <c r="HU94" s="68">
        <f>IF(OR($U94=0,$F94&lt;&gt;2),0,IF(HT94&gt;0,HT94,IF(ROUND(DV94*$J94,6)&lt;ROUND($M94,6),DV94,0)))</f>
        <v/>
      </c>
      <c r="HV94" s="68">
        <f>IF(OR($U94=0,$F94&lt;&gt;2),0,IF(HU94&gt;0,HU94,IF(ROUND(DW94*$J94,6)&lt;ROUND($M94,6),DW94,0)))</f>
        <v/>
      </c>
      <c r="HW94" s="68">
        <f>IF(OR($U94=0,$F94&lt;&gt;2),0,IF(HV94&gt;0,HV94,IF(ROUND(DX94*$J94,6)&lt;ROUND($M94,6),DX94,0)))</f>
        <v/>
      </c>
      <c r="HX94" s="68">
        <f>IF(OR($U94=0,$F94&lt;&gt;2),0,IF(HW94&gt;0,HW94,IF(ROUND(DY94*$J94,6)&lt;ROUND($M94,6),DY94,0)))</f>
        <v/>
      </c>
      <c r="HY94" s="68">
        <f>IF(OR($U94=0,$F94&lt;&gt;2),0,IF(HX94&gt;0,HX94,IF(ROUND(DZ94*$J94,6)&lt;ROUND($M94,6),DZ94,0)))</f>
        <v/>
      </c>
      <c r="HZ94" s="68">
        <f>IF(OR($U94=0,$F94&lt;&gt;2),0,IF(HY94&gt;0,HY94,IF(ROUND(EA94*$J94,6)&lt;ROUND($M94,6),EA94,0)))</f>
        <v/>
      </c>
      <c r="IA94" s="68">
        <f>IF(OR($U94=0,$F94&lt;&gt;2),0,IF(HZ94&gt;0,HZ94,IF(ROUND(EB94*$J94,6)&lt;ROUND($M94,6),EB94,0)))</f>
        <v/>
      </c>
      <c r="IB94" s="68">
        <f>IF(OR($U94=0,$F94&lt;&gt;2),0,IF(IA94&gt;0,IA94,IF(ROUND(EC94*$J94,6)&lt;ROUND($M94,6),EC94,0)))</f>
        <v/>
      </c>
      <c r="IC94" s="68">
        <f>IF(OR($U94=0,$F94&lt;&gt;2),0,IF(IB94&gt;0,IB94,IF(ROUND(ED94*$J94,6)&lt;ROUND($M94,6),ED94,0)))</f>
        <v/>
      </c>
      <c r="ID94" s="68">
        <f>IF(OR($U94=0,$F94&lt;&gt;2),0,IF(IC94&gt;0,IC94,IF(ROUND(EE94*$J94,6)&lt;ROUND($M94,6),EE94,0)))</f>
        <v/>
      </c>
      <c r="IE94" s="68">
        <f>IF(OR($U94=0,$F94&lt;&gt;2),0,IF(ID94&gt;0,ID94,IF(ROUND(EF94*$J94,6)&lt;ROUND($M94,6),EF94,0)))</f>
        <v/>
      </c>
      <c r="IF94" s="68">
        <f>IF(OR($U94=0,$F94&lt;&gt;2),0,IF(IE94&gt;0,IE94,IF(ROUND(EG94*$J94,6)&lt;ROUND($M94,6),EG94,0)))</f>
        <v/>
      </c>
      <c r="IG94" s="68">
        <f>IF(OR($U94=0,$F94&lt;&gt;2),0,IF(IF94&gt;0,IF94,IF(ROUND(EH94*$J94,6)&lt;ROUND($M94,6),EH94,0)))</f>
        <v/>
      </c>
      <c r="IH94" s="68">
        <f>IF(OR($U94=0,$F94&lt;&gt;2),0,IF(IG94&gt;0,IG94,IF(ROUND(EI94*$J94,6)&lt;ROUND($M94,6),EI94,0)))</f>
        <v/>
      </c>
      <c r="II94" s="68">
        <f>IF(OR($U94=0,$F94&lt;&gt;2),0,IF(IH94&gt;0,IH94,IF(ROUND(EJ94*$J94,6)&lt;ROUND($M94,6),EJ94,0)))</f>
        <v/>
      </c>
      <c r="IJ94" s="68">
        <f>IF(OR($U94=0,$F94&lt;&gt;2),0,IF(II94&gt;0,II94,IF(ROUND(EK94*$J94,6)&lt;ROUND($M94,6),EK94,0)))</f>
        <v/>
      </c>
      <c r="IK94" s="68">
        <f>IF(OR($U94=0,$F94&lt;&gt;2),0,IF(IJ94&gt;0,IJ94,IF(ROUND(EL94*$J94,6)&lt;ROUND($M94,6),EL94,0)))</f>
        <v/>
      </c>
      <c r="IL94" s="68">
        <f>IF(OR($U94=0,$F94&lt;&gt;2),0,IF(IK94&gt;0,IK94,IF(ROUND(EM94*$J94,6)&lt;ROUND($M94,6),EM94,0)))</f>
        <v/>
      </c>
      <c r="IM94" s="68">
        <f>IF(OR($U94=0,$F94&lt;&gt;2),0,IF(IL94&gt;0,IL94,IF(ROUND(EN94*$J94,6)&lt;ROUND($M94,6),EN94,0)))</f>
        <v/>
      </c>
      <c r="IN94" s="68">
        <f>IF(OR($U94=0,$F94&lt;&gt;2),0,IF(IM94&gt;0,IM94,IF(ROUND(EO94*$J94,6)&lt;ROUND($M94,6),EO94,0)))</f>
        <v/>
      </c>
    </row>
    <row r="95">
      <c r="A95" s="68" t="n">
        <v>90</v>
      </c>
      <c r="B95" s="68">
        <f>IF(OR(TRIM('固定資産台帳'!$B95)&lt;&gt;"",'固定資産台帳'!$E95&lt;&gt;"",'固定資産台帳'!$G95&lt;&gt;"",'固定資産台帳'!$H95&lt;&gt;""),1,0)</f>
        <v/>
      </c>
      <c r="C95" s="68">
        <f>IF(ISNUMBER('固定資産台帳'!$G95),MAX(ROUND('固定資産台帳'!$G95,0),0),0)</f>
        <v/>
      </c>
      <c r="D95" s="84">
        <f>IF(ISNUMBER('固定資産台帳'!$E95),INT('固定資産台帳'!$E95),0)</f>
        <v/>
      </c>
      <c r="E95" s="84">
        <f>IF(ISNUMBER('固定資産台帳'!$F95),INT('固定資産台帳'!$F95),$D95)</f>
        <v/>
      </c>
      <c r="F95" s="68">
        <f>IF('固定資産台帳'!$H95="定額法",1,IF(OR('固定資産台帳'!$H95="定率法",'固定資産台帳'!$H95="定率法（200%）",'固定資産台帳'!$H95="定率法（250%）"),2,IF('固定資産台帳'!$H95="一括償却（3年）",3,IF('固定資産台帳'!$H95="少額特例",4,0))))</f>
        <v/>
      </c>
      <c r="G95" s="68">
        <f>IF('固定資産台帳'!$H95="定率法（250%）",250,IF('固定資産台帳'!$H95="定率法（200%）",200,IF($D95&gt;=DATE(2012,4,1),200,250)))</f>
        <v/>
      </c>
      <c r="H95" s="68">
        <f>IF(ISNUMBER('固定資産台帳'!$I95),IF(AND('固定資産台帳'!$I95&gt;=2,'固定資産台帳'!$I95&lt;=100,'固定資産台帳'!$I95=INT('固定資産台帳'!$I95)),'固定資産台帳'!$I95,0),0)</f>
        <v/>
      </c>
      <c r="I95" s="68">
        <f>IF('固定資産台帳'!$C95="無形固定資産",0,1)</f>
        <v/>
      </c>
      <c r="J95" s="68">
        <f>IF(OR($H95=0,$F95=0,$F95&gt;2),0,IF($F95=1,INDEX('償却率表'!$B$6:$B$104,$H95-1),IF($G95=200,INDEX('償却率表'!$C$6:$C$104,$H95-1),INDEX('償却率表'!$F$6:$F$104,$H95-1))))</f>
        <v/>
      </c>
      <c r="K95" s="68">
        <f>IF(AND($F95=2,$H95&gt;0),IF($G95=200,INDEX('償却率表'!$D$6:$D$104,$H95-1),INDEX('償却率表'!$G$6:$G$104,$H95-1)),0)</f>
        <v/>
      </c>
      <c r="L95" s="68">
        <f>IF(AND($F95=2,$H95&gt;0),IF($G95=200,INDEX('償却率表'!$E$6:$E$104,$H95-1),INDEX('償却率表'!$H$6:$H$104,$H95-1)),0)</f>
        <v/>
      </c>
      <c r="M95" s="68">
        <f>$C95*$L95</f>
        <v/>
      </c>
      <c r="N95" s="68">
        <f>IF($B$1=1,1,IF('固定資産台帳'!$J95="",1,IF(ISNUMBER('固定資産台帳'!$J95),IF(AND('固定資産台帳'!$J95&gt;0,'固定資産台帳'!$J95&lt;=1),'固定資産台帳'!$J95,0),0)))</f>
        <v/>
      </c>
      <c r="O95" s="68">
        <f>IF($E95=0,0,YEAR($E95)-IF(MONTH($E95)&lt;$B$2,1,0))</f>
        <v/>
      </c>
      <c r="P95" s="68">
        <f>IF($E95=0,0,12-MOD(MONTH($E95)-$B$2,12))</f>
        <v/>
      </c>
      <c r="Q95" s="84">
        <f>IF(ISNUMBER('固定資産台帳'!$K95),INT('固定資産台帳'!$K95),0)</f>
        <v/>
      </c>
      <c r="R95" s="68">
        <f>IF(OR($Q95=0,$E95=0),999,YEAR($Q95)-IF(MONTH($Q95)&lt;$B$2,1,0)-$O95)</f>
        <v/>
      </c>
      <c r="S95" s="68">
        <f>IF($R95=999,0,MOD(MONTH($Q95)-$B$2,12)+1-IF($R95=0,12-$P95,0))</f>
        <v/>
      </c>
      <c r="T95" s="68">
        <f>IF($B95=0,0,IF($C95&lt;=0,1,IF($D95=0,2,IF($F95=0,3,IF(AND($F95&lt;=2,$H95=0),4,IF(AND($F95&lt;=2,$D95&lt;DATE(2007,4,1)),5,IF($E95&lt;$D95,6,IF(AND($Q95&gt;0,$Q95&lt;$E95),7,IF($N95=0,8,IF($B$3=0,9,0))))))))))</f>
        <v/>
      </c>
      <c r="U95" s="68">
        <f>IF(AND($B95=1,$T95=0),1,0)</f>
        <v/>
      </c>
      <c r="V95" s="68">
        <f>$B$3-$O95</f>
        <v/>
      </c>
      <c r="W95" s="68">
        <f>IF(AND($U95=1,$V95&gt;=0),1,0)</f>
        <v/>
      </c>
      <c r="X95" s="68">
        <f>IF($W95=0,0,IF($V95=0,$C95,INDEX($AS95:$EP95,MIN($V95,102))))</f>
        <v/>
      </c>
      <c r="Y95" s="68">
        <f>IF($W95=0,0,INDEX($AS95:$EP95,MIN($V95,101)+1))</f>
        <v/>
      </c>
      <c r="Z95" s="68">
        <f>$X95-$Y95</f>
        <v/>
      </c>
      <c r="AA95" s="68">
        <f>IF(AND($W95=1,$F95=2,$V95&gt;=1),INDEX($ER95:$IN95,MIN($V95,101)),0)</f>
        <v/>
      </c>
      <c r="AB95" s="68">
        <f>IF(OR($W95=0,$F95&gt;2,$Z95=0),0,IF($V95=0,IF($R95=0,$S95,$P95),IF($V95=$R95,$S95,12)))</f>
        <v/>
      </c>
      <c r="AC95" s="68">
        <f>IF($W95=0,0,INT(ROUND($Z95*$N95,6)+$B$4))</f>
        <v/>
      </c>
      <c r="AD95" s="68">
        <f>IF(AND($W95=1,$F95&lt;=2,$V95=$R95),1,0)</f>
        <v/>
      </c>
      <c r="AE95" s="68">
        <f>IF(AND($W95=1,$F95&lt;=2,$V95&gt;$R95),1,0)</f>
        <v/>
      </c>
      <c r="AF95" s="68">
        <f>IF(AND($W95=1,$AE95=0,OR($Z95&gt;0,$AD95=1)),1,0)</f>
        <v/>
      </c>
      <c r="AG95" s="68">
        <f>IF($AF95=1,SUM($AF$6:$AF95),0)</f>
        <v/>
      </c>
      <c r="AH95" s="68">
        <f>IF($T95=0,"",CHOOSE($T95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95" s="68">
        <f>IF(AND($F95=2,OR('固定資産台帳'!$C95="建物",'固定資産台帳'!$C95="無形固定資産",AND(OR('固定資産台帳'!$C95="建物附属設備",'固定資産台帳'!$C95="構築物"),$D95&gt;=DATE(2016,4,1)))),"この資産は定額法だけです（定率法は使えません）。","")&amp;IF(AND($F95=3,$C95&gt;=200000),"一括償却は20万円未満の資産だけです。","")&amp;IF(AND($F95=3,$B$1=0,$C95&lt;100000),"10万円未満は一括償却にせず、全額をその年の経費にします。","")&amp;IF(AND($F95=4,$C95&lt;100000),"10万円未満は少額特例ではなく、全額をその年の経費にします。","")&amp;IF(AND($F95=4,$D95&lt;DATE(2026,4,1),$C95&gt;=300000),"2026年3月31日までの取得で少額特例が使えるのは30万円未満です。","")&amp;IF(AND($F95=4,$D95&gt;=DATE(2026,4,1),$C95&gt;=400000),"少額特例は40万円未満の資産だけです。","")&amp;IF(AND($F95=4,OR($D95&lt;DATE(2006,4,1),$D95&gt;DATE(2029,3,31))),"少額特例は2006年4月1日〜2029年3月31日に取得した資産だけです。","")&amp;IF(AND($F95=2,$G95=250,$D95&gt;DATE(2012,12,31)),"250%定率法は2012年12月31日までの取得だけです。","")</f>
        <v/>
      </c>
      <c r="AJ95" s="68">
        <f>IF(AND($F95=2,'固定資産台帳'!$H95="定率法（200%）",$D95&lt;DATE(2012,4,1)),"2012年3月31日までの取得に200%を使うのは、経過措置の届出をした場合です。","")&amp;IF(AND($F95=2,'固定資産台帳'!$H95="定率法（250%）",$D95&gt;=DATE(2012,4,1),$D95&lt;=DATE(2012,12,31)),"2012年4〜12月の取得に250%を使うのは、経過措置を選んだ場合です。","")</f>
        <v/>
      </c>
      <c r="AK95" s="68">
        <f>IF($U95=0,"",IF($V95&lt;0,"表示している年より後に使い始める資産です。",IF($AE95=1,"売却・除却済みです。",IF($AD95=1,"この年に売却・除却。期末の帳簿価額 "&amp;TEXT($Y95,"#,##0")&amp;"円を帳簿から外します。",IF($F95=4,IF($V95=0,"少額特例：この年に全額を経費にします。","少額特例で経費にした資産です。"),IF($F95=3,IF($V95&gt;2,"一括償却は終わっています。","一括償却 "&amp;($V95+1)&amp;"年目（3年のうち）。"),IF($Z95=0,"償却済み（帳簿価額 "&amp;TEXT($Y95,"#,##0")&amp;"円）。",IF($AA95&gt;0,"改定償却率で計算（改定取得価額 "&amp;TEXT($AA95,"#,##0")&amp;"円）。",IF($V95=0,"この年に使い始め（"&amp;$AB95&amp;"か月分）。","")))))))))</f>
        <v/>
      </c>
      <c r="AL95" s="68">
        <f>IF(AND($U95=1,$F95=4,$V95=0),$C95,0)</f>
        <v/>
      </c>
      <c r="AM95" s="68">
        <f>IF($F95=2,INT(ROUND($M95,6)+$B$4),0)</f>
        <v/>
      </c>
      <c r="AN95" s="68">
        <f>IF($W95=0,0,IF($F95=2,IF($AA95&gt;0,$AA95,$X95),$C95))</f>
        <v/>
      </c>
      <c r="AO95" s="68">
        <f>IF($W95=0,"",IF($F95=3,"1/3",IF($F95=4,"―",IF($AA95&gt;0,$K95,$J95))))</f>
        <v/>
      </c>
      <c r="AP95" s="68" t="n"/>
      <c r="AQ95" s="68" t="n"/>
      <c r="AR95" s="68" t="n"/>
      <c r="AS95" s="68">
        <f>IF($U95=0,0,IF($F95=4,0,IF($F95=3,MAX($C95-INT(ROUND($C95/3,6)+$B$4),0),$C95-MIN(INT(ROUND($C95*$J95*IF($R95=0,$S95,$P95)/12,6)+$B$4),MAX($C95-$I95,0)))))</f>
        <v/>
      </c>
      <c r="AT95" s="68">
        <f>IF($U95=0,0,IF($F95=4,0,IF($F95=3,AS95-MIN(INT(ROUND($C95/3,6)+$B$4),AS95),IF(OR(1&gt;$R95,AS95&lt;=$I95),AS95,AS95-MIN(INT(ROUND(IF($F95=1,$C95*$J95,IF(ER95&gt;0,ER95*$K95,AS95*$J95))*IF(1=$R95,$S95,12)/12,6)+$B$4),AS95-$I95)))))</f>
        <v/>
      </c>
      <c r="AU95" s="68">
        <f>IF($U95=0,0,IF($F95=4,0,IF($F95=3,0,IF(OR(2&gt;$R95,AT95&lt;=$I95),AT95,AT95-MIN(INT(ROUND(IF($F95=1,$C95*$J95,IF(ES95&gt;0,ES95*$K95,AT95*$J95))*IF(2=$R95,$S95,12)/12,6)+$B$4),AT95-$I95)))))</f>
        <v/>
      </c>
      <c r="AV95" s="68">
        <f>IF($U95=0,0,IF($F95=4,0,IF($F95=3,0,IF(OR(3&gt;$R95,AU95&lt;=$I95),AU95,AU95-MIN(INT(ROUND(IF($F95=1,$C95*$J95,IF(ET95&gt;0,ET95*$K95,AU95*$J95))*IF(3=$R95,$S95,12)/12,6)+$B$4),AU95-$I95)))))</f>
        <v/>
      </c>
      <c r="AW95" s="68">
        <f>IF($U95=0,0,IF($F95=4,0,IF($F95=3,0,IF(OR(4&gt;$R95,AV95&lt;=$I95),AV95,AV95-MIN(INT(ROUND(IF($F95=1,$C95*$J95,IF(EU95&gt;0,EU95*$K95,AV95*$J95))*IF(4=$R95,$S95,12)/12,6)+$B$4),AV95-$I95)))))</f>
        <v/>
      </c>
      <c r="AX95" s="68">
        <f>IF($U95=0,0,IF($F95=4,0,IF($F95=3,0,IF(OR(5&gt;$R95,AW95&lt;=$I95),AW95,AW95-MIN(INT(ROUND(IF($F95=1,$C95*$J95,IF(EV95&gt;0,EV95*$K95,AW95*$J95))*IF(5=$R95,$S95,12)/12,6)+$B$4),AW95-$I95)))))</f>
        <v/>
      </c>
      <c r="AY95" s="68">
        <f>IF($U95=0,0,IF($F95=4,0,IF($F95=3,0,IF(OR(6&gt;$R95,AX95&lt;=$I95),AX95,AX95-MIN(INT(ROUND(IF($F95=1,$C95*$J95,IF(EW95&gt;0,EW95*$K95,AX95*$J95))*IF(6=$R95,$S95,12)/12,6)+$B$4),AX95-$I95)))))</f>
        <v/>
      </c>
      <c r="AZ95" s="68">
        <f>IF($U95=0,0,IF($F95=4,0,IF($F95=3,0,IF(OR(7&gt;$R95,AY95&lt;=$I95),AY95,AY95-MIN(INT(ROUND(IF($F95=1,$C95*$J95,IF(EX95&gt;0,EX95*$K95,AY95*$J95))*IF(7=$R95,$S95,12)/12,6)+$B$4),AY95-$I95)))))</f>
        <v/>
      </c>
      <c r="BA95" s="68">
        <f>IF($U95=0,0,IF($F95=4,0,IF($F95=3,0,IF(OR(8&gt;$R95,AZ95&lt;=$I95),AZ95,AZ95-MIN(INT(ROUND(IF($F95=1,$C95*$J95,IF(EY95&gt;0,EY95*$K95,AZ95*$J95))*IF(8=$R95,$S95,12)/12,6)+$B$4),AZ95-$I95)))))</f>
        <v/>
      </c>
      <c r="BB95" s="68">
        <f>IF($U95=0,0,IF($F95=4,0,IF($F95=3,0,IF(OR(9&gt;$R95,BA95&lt;=$I95),BA95,BA95-MIN(INT(ROUND(IF($F95=1,$C95*$J95,IF(EZ95&gt;0,EZ95*$K95,BA95*$J95))*IF(9=$R95,$S95,12)/12,6)+$B$4),BA95-$I95)))))</f>
        <v/>
      </c>
      <c r="BC95" s="68">
        <f>IF($U95=0,0,IF($F95=4,0,IF($F95=3,0,IF(OR(10&gt;$R95,BB95&lt;=$I95),BB95,BB95-MIN(INT(ROUND(IF($F95=1,$C95*$J95,IF(FA95&gt;0,FA95*$K95,BB95*$J95))*IF(10=$R95,$S95,12)/12,6)+$B$4),BB95-$I95)))))</f>
        <v/>
      </c>
      <c r="BD95" s="68">
        <f>IF($U95=0,0,IF($F95=4,0,IF($F95=3,0,IF(OR(11&gt;$R95,BC95&lt;=$I95),BC95,BC95-MIN(INT(ROUND(IF($F95=1,$C95*$J95,IF(FB95&gt;0,FB95*$K95,BC95*$J95))*IF(11=$R95,$S95,12)/12,6)+$B$4),BC95-$I95)))))</f>
        <v/>
      </c>
      <c r="BE95" s="68">
        <f>IF($U95=0,0,IF($F95=4,0,IF($F95=3,0,IF(OR(12&gt;$R95,BD95&lt;=$I95),BD95,BD95-MIN(INT(ROUND(IF($F95=1,$C95*$J95,IF(FC95&gt;0,FC95*$K95,BD95*$J95))*IF(12=$R95,$S95,12)/12,6)+$B$4),BD95-$I95)))))</f>
        <v/>
      </c>
      <c r="BF95" s="68">
        <f>IF($U95=0,0,IF($F95=4,0,IF($F95=3,0,IF(OR(13&gt;$R95,BE95&lt;=$I95),BE95,BE95-MIN(INT(ROUND(IF($F95=1,$C95*$J95,IF(FD95&gt;0,FD95*$K95,BE95*$J95))*IF(13=$R95,$S95,12)/12,6)+$B$4),BE95-$I95)))))</f>
        <v/>
      </c>
      <c r="BG95" s="68">
        <f>IF($U95=0,0,IF($F95=4,0,IF($F95=3,0,IF(OR(14&gt;$R95,BF95&lt;=$I95),BF95,BF95-MIN(INT(ROUND(IF($F95=1,$C95*$J95,IF(FE95&gt;0,FE95*$K95,BF95*$J95))*IF(14=$R95,$S95,12)/12,6)+$B$4),BF95-$I95)))))</f>
        <v/>
      </c>
      <c r="BH95" s="68">
        <f>IF($U95=0,0,IF($F95=4,0,IF($F95=3,0,IF(OR(15&gt;$R95,BG95&lt;=$I95),BG95,BG95-MIN(INT(ROUND(IF($F95=1,$C95*$J95,IF(FF95&gt;0,FF95*$K95,BG95*$J95))*IF(15=$R95,$S95,12)/12,6)+$B$4),BG95-$I95)))))</f>
        <v/>
      </c>
      <c r="BI95" s="68">
        <f>IF($U95=0,0,IF($F95=4,0,IF($F95=3,0,IF(OR(16&gt;$R95,BH95&lt;=$I95),BH95,BH95-MIN(INT(ROUND(IF($F95=1,$C95*$J95,IF(FG95&gt;0,FG95*$K95,BH95*$J95))*IF(16=$R95,$S95,12)/12,6)+$B$4),BH95-$I95)))))</f>
        <v/>
      </c>
      <c r="BJ95" s="68">
        <f>IF($U95=0,0,IF($F95=4,0,IF($F95=3,0,IF(OR(17&gt;$R95,BI95&lt;=$I95),BI95,BI95-MIN(INT(ROUND(IF($F95=1,$C95*$J95,IF(FH95&gt;0,FH95*$K95,BI95*$J95))*IF(17=$R95,$S95,12)/12,6)+$B$4),BI95-$I95)))))</f>
        <v/>
      </c>
      <c r="BK95" s="68">
        <f>IF($U95=0,0,IF($F95=4,0,IF($F95=3,0,IF(OR(18&gt;$R95,BJ95&lt;=$I95),BJ95,BJ95-MIN(INT(ROUND(IF($F95=1,$C95*$J95,IF(FI95&gt;0,FI95*$K95,BJ95*$J95))*IF(18=$R95,$S95,12)/12,6)+$B$4),BJ95-$I95)))))</f>
        <v/>
      </c>
      <c r="BL95" s="68">
        <f>IF($U95=0,0,IF($F95=4,0,IF($F95=3,0,IF(OR(19&gt;$R95,BK95&lt;=$I95),BK95,BK95-MIN(INT(ROUND(IF($F95=1,$C95*$J95,IF(FJ95&gt;0,FJ95*$K95,BK95*$J95))*IF(19=$R95,$S95,12)/12,6)+$B$4),BK95-$I95)))))</f>
        <v/>
      </c>
      <c r="BM95" s="68">
        <f>IF($U95=0,0,IF($F95=4,0,IF($F95=3,0,IF(OR(20&gt;$R95,BL95&lt;=$I95),BL95,BL95-MIN(INT(ROUND(IF($F95=1,$C95*$J95,IF(FK95&gt;0,FK95*$K95,BL95*$J95))*IF(20=$R95,$S95,12)/12,6)+$B$4),BL95-$I95)))))</f>
        <v/>
      </c>
      <c r="BN95" s="68">
        <f>IF($U95=0,0,IF($F95=4,0,IF($F95=3,0,IF(OR(21&gt;$R95,BM95&lt;=$I95),BM95,BM95-MIN(INT(ROUND(IF($F95=1,$C95*$J95,IF(FL95&gt;0,FL95*$K95,BM95*$J95))*IF(21=$R95,$S95,12)/12,6)+$B$4),BM95-$I95)))))</f>
        <v/>
      </c>
      <c r="BO95" s="68">
        <f>IF($U95=0,0,IF($F95=4,0,IF($F95=3,0,IF(OR(22&gt;$R95,BN95&lt;=$I95),BN95,BN95-MIN(INT(ROUND(IF($F95=1,$C95*$J95,IF(FM95&gt;0,FM95*$K95,BN95*$J95))*IF(22=$R95,$S95,12)/12,6)+$B$4),BN95-$I95)))))</f>
        <v/>
      </c>
      <c r="BP95" s="68">
        <f>IF($U95=0,0,IF($F95=4,0,IF($F95=3,0,IF(OR(23&gt;$R95,BO95&lt;=$I95),BO95,BO95-MIN(INT(ROUND(IF($F95=1,$C95*$J95,IF(FN95&gt;0,FN95*$K95,BO95*$J95))*IF(23=$R95,$S95,12)/12,6)+$B$4),BO95-$I95)))))</f>
        <v/>
      </c>
      <c r="BQ95" s="68">
        <f>IF($U95=0,0,IF($F95=4,0,IF($F95=3,0,IF(OR(24&gt;$R95,BP95&lt;=$I95),BP95,BP95-MIN(INT(ROUND(IF($F95=1,$C95*$J95,IF(FO95&gt;0,FO95*$K95,BP95*$J95))*IF(24=$R95,$S95,12)/12,6)+$B$4),BP95-$I95)))))</f>
        <v/>
      </c>
      <c r="BR95" s="68">
        <f>IF($U95=0,0,IF($F95=4,0,IF($F95=3,0,IF(OR(25&gt;$R95,BQ95&lt;=$I95),BQ95,BQ95-MIN(INT(ROUND(IF($F95=1,$C95*$J95,IF(FP95&gt;0,FP95*$K95,BQ95*$J95))*IF(25=$R95,$S95,12)/12,6)+$B$4),BQ95-$I95)))))</f>
        <v/>
      </c>
      <c r="BS95" s="68">
        <f>IF($U95=0,0,IF($F95=4,0,IF($F95=3,0,IF(OR(26&gt;$R95,BR95&lt;=$I95),BR95,BR95-MIN(INT(ROUND(IF($F95=1,$C95*$J95,IF(FQ95&gt;0,FQ95*$K95,BR95*$J95))*IF(26=$R95,$S95,12)/12,6)+$B$4),BR95-$I95)))))</f>
        <v/>
      </c>
      <c r="BT95" s="68">
        <f>IF($U95=0,0,IF($F95=4,0,IF($F95=3,0,IF(OR(27&gt;$R95,BS95&lt;=$I95),BS95,BS95-MIN(INT(ROUND(IF($F95=1,$C95*$J95,IF(FR95&gt;0,FR95*$K95,BS95*$J95))*IF(27=$R95,$S95,12)/12,6)+$B$4),BS95-$I95)))))</f>
        <v/>
      </c>
      <c r="BU95" s="68">
        <f>IF($U95=0,0,IF($F95=4,0,IF($F95=3,0,IF(OR(28&gt;$R95,BT95&lt;=$I95),BT95,BT95-MIN(INT(ROUND(IF($F95=1,$C95*$J95,IF(FS95&gt;0,FS95*$K95,BT95*$J95))*IF(28=$R95,$S95,12)/12,6)+$B$4),BT95-$I95)))))</f>
        <v/>
      </c>
      <c r="BV95" s="68">
        <f>IF($U95=0,0,IF($F95=4,0,IF($F95=3,0,IF(OR(29&gt;$R95,BU95&lt;=$I95),BU95,BU95-MIN(INT(ROUND(IF($F95=1,$C95*$J95,IF(FT95&gt;0,FT95*$K95,BU95*$J95))*IF(29=$R95,$S95,12)/12,6)+$B$4),BU95-$I95)))))</f>
        <v/>
      </c>
      <c r="BW95" s="68">
        <f>IF($U95=0,0,IF($F95=4,0,IF($F95=3,0,IF(OR(30&gt;$R95,BV95&lt;=$I95),BV95,BV95-MIN(INT(ROUND(IF($F95=1,$C95*$J95,IF(FU95&gt;0,FU95*$K95,BV95*$J95))*IF(30=$R95,$S95,12)/12,6)+$B$4),BV95-$I95)))))</f>
        <v/>
      </c>
      <c r="BX95" s="68">
        <f>IF($U95=0,0,IF($F95=4,0,IF($F95=3,0,IF(OR(31&gt;$R95,BW95&lt;=$I95),BW95,BW95-MIN(INT(ROUND(IF($F95=1,$C95*$J95,IF(FV95&gt;0,FV95*$K95,BW95*$J95))*IF(31=$R95,$S95,12)/12,6)+$B$4),BW95-$I95)))))</f>
        <v/>
      </c>
      <c r="BY95" s="68">
        <f>IF($U95=0,0,IF($F95=4,0,IF($F95=3,0,IF(OR(32&gt;$R95,BX95&lt;=$I95),BX95,BX95-MIN(INT(ROUND(IF($F95=1,$C95*$J95,IF(FW95&gt;0,FW95*$K95,BX95*$J95))*IF(32=$R95,$S95,12)/12,6)+$B$4),BX95-$I95)))))</f>
        <v/>
      </c>
      <c r="BZ95" s="68">
        <f>IF($U95=0,0,IF($F95=4,0,IF($F95=3,0,IF(OR(33&gt;$R95,BY95&lt;=$I95),BY95,BY95-MIN(INT(ROUND(IF($F95=1,$C95*$J95,IF(FX95&gt;0,FX95*$K95,BY95*$J95))*IF(33=$R95,$S95,12)/12,6)+$B$4),BY95-$I95)))))</f>
        <v/>
      </c>
      <c r="CA95" s="68">
        <f>IF($U95=0,0,IF($F95=4,0,IF($F95=3,0,IF(OR(34&gt;$R95,BZ95&lt;=$I95),BZ95,BZ95-MIN(INT(ROUND(IF($F95=1,$C95*$J95,IF(FY95&gt;0,FY95*$K95,BZ95*$J95))*IF(34=$R95,$S95,12)/12,6)+$B$4),BZ95-$I95)))))</f>
        <v/>
      </c>
      <c r="CB95" s="68">
        <f>IF($U95=0,0,IF($F95=4,0,IF($F95=3,0,IF(OR(35&gt;$R95,CA95&lt;=$I95),CA95,CA95-MIN(INT(ROUND(IF($F95=1,$C95*$J95,IF(FZ95&gt;0,FZ95*$K95,CA95*$J95))*IF(35=$R95,$S95,12)/12,6)+$B$4),CA95-$I95)))))</f>
        <v/>
      </c>
      <c r="CC95" s="68">
        <f>IF($U95=0,0,IF($F95=4,0,IF($F95=3,0,IF(OR(36&gt;$R95,CB95&lt;=$I95),CB95,CB95-MIN(INT(ROUND(IF($F95=1,$C95*$J95,IF(GA95&gt;0,GA95*$K95,CB95*$J95))*IF(36=$R95,$S95,12)/12,6)+$B$4),CB95-$I95)))))</f>
        <v/>
      </c>
      <c r="CD95" s="68">
        <f>IF($U95=0,0,IF($F95=4,0,IF($F95=3,0,IF(OR(37&gt;$R95,CC95&lt;=$I95),CC95,CC95-MIN(INT(ROUND(IF($F95=1,$C95*$J95,IF(GB95&gt;0,GB95*$K95,CC95*$J95))*IF(37=$R95,$S95,12)/12,6)+$B$4),CC95-$I95)))))</f>
        <v/>
      </c>
      <c r="CE95" s="68">
        <f>IF($U95=0,0,IF($F95=4,0,IF($F95=3,0,IF(OR(38&gt;$R95,CD95&lt;=$I95),CD95,CD95-MIN(INT(ROUND(IF($F95=1,$C95*$J95,IF(GC95&gt;0,GC95*$K95,CD95*$J95))*IF(38=$R95,$S95,12)/12,6)+$B$4),CD95-$I95)))))</f>
        <v/>
      </c>
      <c r="CF95" s="68">
        <f>IF($U95=0,0,IF($F95=4,0,IF($F95=3,0,IF(OR(39&gt;$R95,CE95&lt;=$I95),CE95,CE95-MIN(INT(ROUND(IF($F95=1,$C95*$J95,IF(GD95&gt;0,GD95*$K95,CE95*$J95))*IF(39=$R95,$S95,12)/12,6)+$B$4),CE95-$I95)))))</f>
        <v/>
      </c>
      <c r="CG95" s="68">
        <f>IF($U95=0,0,IF($F95=4,0,IF($F95=3,0,IF(OR(40&gt;$R95,CF95&lt;=$I95),CF95,CF95-MIN(INT(ROUND(IF($F95=1,$C95*$J95,IF(GE95&gt;0,GE95*$K95,CF95*$J95))*IF(40=$R95,$S95,12)/12,6)+$B$4),CF95-$I95)))))</f>
        <v/>
      </c>
      <c r="CH95" s="68">
        <f>IF($U95=0,0,IF($F95=4,0,IF($F95=3,0,IF(OR(41&gt;$R95,CG95&lt;=$I95),CG95,CG95-MIN(INT(ROUND(IF($F95=1,$C95*$J95,IF(GF95&gt;0,GF95*$K95,CG95*$J95))*IF(41=$R95,$S95,12)/12,6)+$B$4),CG95-$I95)))))</f>
        <v/>
      </c>
      <c r="CI95" s="68">
        <f>IF($U95=0,0,IF($F95=4,0,IF($F95=3,0,IF(OR(42&gt;$R95,CH95&lt;=$I95),CH95,CH95-MIN(INT(ROUND(IF($F95=1,$C95*$J95,IF(GG95&gt;0,GG95*$K95,CH95*$J95))*IF(42=$R95,$S95,12)/12,6)+$B$4),CH95-$I95)))))</f>
        <v/>
      </c>
      <c r="CJ95" s="68">
        <f>IF($U95=0,0,IF($F95=4,0,IF($F95=3,0,IF(OR(43&gt;$R95,CI95&lt;=$I95),CI95,CI95-MIN(INT(ROUND(IF($F95=1,$C95*$J95,IF(GH95&gt;0,GH95*$K95,CI95*$J95))*IF(43=$R95,$S95,12)/12,6)+$B$4),CI95-$I95)))))</f>
        <v/>
      </c>
      <c r="CK95" s="68">
        <f>IF($U95=0,0,IF($F95=4,0,IF($F95=3,0,IF(OR(44&gt;$R95,CJ95&lt;=$I95),CJ95,CJ95-MIN(INT(ROUND(IF($F95=1,$C95*$J95,IF(GI95&gt;0,GI95*$K95,CJ95*$J95))*IF(44=$R95,$S95,12)/12,6)+$B$4),CJ95-$I95)))))</f>
        <v/>
      </c>
      <c r="CL95" s="68">
        <f>IF($U95=0,0,IF($F95=4,0,IF($F95=3,0,IF(OR(45&gt;$R95,CK95&lt;=$I95),CK95,CK95-MIN(INT(ROUND(IF($F95=1,$C95*$J95,IF(GJ95&gt;0,GJ95*$K95,CK95*$J95))*IF(45=$R95,$S95,12)/12,6)+$B$4),CK95-$I95)))))</f>
        <v/>
      </c>
      <c r="CM95" s="68">
        <f>IF($U95=0,0,IF($F95=4,0,IF($F95=3,0,IF(OR(46&gt;$R95,CL95&lt;=$I95),CL95,CL95-MIN(INT(ROUND(IF($F95=1,$C95*$J95,IF(GK95&gt;0,GK95*$K95,CL95*$J95))*IF(46=$R95,$S95,12)/12,6)+$B$4),CL95-$I95)))))</f>
        <v/>
      </c>
      <c r="CN95" s="68">
        <f>IF($U95=0,0,IF($F95=4,0,IF($F95=3,0,IF(OR(47&gt;$R95,CM95&lt;=$I95),CM95,CM95-MIN(INT(ROUND(IF($F95=1,$C95*$J95,IF(GL95&gt;0,GL95*$K95,CM95*$J95))*IF(47=$R95,$S95,12)/12,6)+$B$4),CM95-$I95)))))</f>
        <v/>
      </c>
      <c r="CO95" s="68">
        <f>IF($U95=0,0,IF($F95=4,0,IF($F95=3,0,IF(OR(48&gt;$R95,CN95&lt;=$I95),CN95,CN95-MIN(INT(ROUND(IF($F95=1,$C95*$J95,IF(GM95&gt;0,GM95*$K95,CN95*$J95))*IF(48=$R95,$S95,12)/12,6)+$B$4),CN95-$I95)))))</f>
        <v/>
      </c>
      <c r="CP95" s="68">
        <f>IF($U95=0,0,IF($F95=4,0,IF($F95=3,0,IF(OR(49&gt;$R95,CO95&lt;=$I95),CO95,CO95-MIN(INT(ROUND(IF($F95=1,$C95*$J95,IF(GN95&gt;0,GN95*$K95,CO95*$J95))*IF(49=$R95,$S95,12)/12,6)+$B$4),CO95-$I95)))))</f>
        <v/>
      </c>
      <c r="CQ95" s="68">
        <f>IF($U95=0,0,IF($F95=4,0,IF($F95=3,0,IF(OR(50&gt;$R95,CP95&lt;=$I95),CP95,CP95-MIN(INT(ROUND(IF($F95=1,$C95*$J95,IF(GO95&gt;0,GO95*$K95,CP95*$J95))*IF(50=$R95,$S95,12)/12,6)+$B$4),CP95-$I95)))))</f>
        <v/>
      </c>
      <c r="CR95" s="68">
        <f>IF($U95=0,0,IF($F95=4,0,IF($F95=3,0,IF(OR(51&gt;$R95,CQ95&lt;=$I95),CQ95,CQ95-MIN(INT(ROUND(IF($F95=1,$C95*$J95,IF(GP95&gt;0,GP95*$K95,CQ95*$J95))*IF(51=$R95,$S95,12)/12,6)+$B$4),CQ95-$I95)))))</f>
        <v/>
      </c>
      <c r="CS95" s="68">
        <f>IF($U95=0,0,IF($F95=4,0,IF($F95=3,0,IF(OR(52&gt;$R95,CR95&lt;=$I95),CR95,CR95-MIN(INT(ROUND(IF($F95=1,$C95*$J95,IF(GQ95&gt;0,GQ95*$K95,CR95*$J95))*IF(52=$R95,$S95,12)/12,6)+$B$4),CR95-$I95)))))</f>
        <v/>
      </c>
      <c r="CT95" s="68">
        <f>IF($U95=0,0,IF($F95=4,0,IF($F95=3,0,IF(OR(53&gt;$R95,CS95&lt;=$I95),CS95,CS95-MIN(INT(ROUND(IF($F95=1,$C95*$J95,IF(GR95&gt;0,GR95*$K95,CS95*$J95))*IF(53=$R95,$S95,12)/12,6)+$B$4),CS95-$I95)))))</f>
        <v/>
      </c>
      <c r="CU95" s="68">
        <f>IF($U95=0,0,IF($F95=4,0,IF($F95=3,0,IF(OR(54&gt;$R95,CT95&lt;=$I95),CT95,CT95-MIN(INT(ROUND(IF($F95=1,$C95*$J95,IF(GS95&gt;0,GS95*$K95,CT95*$J95))*IF(54=$R95,$S95,12)/12,6)+$B$4),CT95-$I95)))))</f>
        <v/>
      </c>
      <c r="CV95" s="68">
        <f>IF($U95=0,0,IF($F95=4,0,IF($F95=3,0,IF(OR(55&gt;$R95,CU95&lt;=$I95),CU95,CU95-MIN(INT(ROUND(IF($F95=1,$C95*$J95,IF(GT95&gt;0,GT95*$K95,CU95*$J95))*IF(55=$R95,$S95,12)/12,6)+$B$4),CU95-$I95)))))</f>
        <v/>
      </c>
      <c r="CW95" s="68">
        <f>IF($U95=0,0,IF($F95=4,0,IF($F95=3,0,IF(OR(56&gt;$R95,CV95&lt;=$I95),CV95,CV95-MIN(INT(ROUND(IF($F95=1,$C95*$J95,IF(GU95&gt;0,GU95*$K95,CV95*$J95))*IF(56=$R95,$S95,12)/12,6)+$B$4),CV95-$I95)))))</f>
        <v/>
      </c>
      <c r="CX95" s="68">
        <f>IF($U95=0,0,IF($F95=4,0,IF($F95=3,0,IF(OR(57&gt;$R95,CW95&lt;=$I95),CW95,CW95-MIN(INT(ROUND(IF($F95=1,$C95*$J95,IF(GV95&gt;0,GV95*$K95,CW95*$J95))*IF(57=$R95,$S95,12)/12,6)+$B$4),CW95-$I95)))))</f>
        <v/>
      </c>
      <c r="CY95" s="68">
        <f>IF($U95=0,0,IF($F95=4,0,IF($F95=3,0,IF(OR(58&gt;$R95,CX95&lt;=$I95),CX95,CX95-MIN(INT(ROUND(IF($F95=1,$C95*$J95,IF(GW95&gt;0,GW95*$K95,CX95*$J95))*IF(58=$R95,$S95,12)/12,6)+$B$4),CX95-$I95)))))</f>
        <v/>
      </c>
      <c r="CZ95" s="68">
        <f>IF($U95=0,0,IF($F95=4,0,IF($F95=3,0,IF(OR(59&gt;$R95,CY95&lt;=$I95),CY95,CY95-MIN(INT(ROUND(IF($F95=1,$C95*$J95,IF(GX95&gt;0,GX95*$K95,CY95*$J95))*IF(59=$R95,$S95,12)/12,6)+$B$4),CY95-$I95)))))</f>
        <v/>
      </c>
      <c r="DA95" s="68">
        <f>IF($U95=0,0,IF($F95=4,0,IF($F95=3,0,IF(OR(60&gt;$R95,CZ95&lt;=$I95),CZ95,CZ95-MIN(INT(ROUND(IF($F95=1,$C95*$J95,IF(GY95&gt;0,GY95*$K95,CZ95*$J95))*IF(60=$R95,$S95,12)/12,6)+$B$4),CZ95-$I95)))))</f>
        <v/>
      </c>
      <c r="DB95" s="68">
        <f>IF($U95=0,0,IF($F95=4,0,IF($F95=3,0,IF(OR(61&gt;$R95,DA95&lt;=$I95),DA95,DA95-MIN(INT(ROUND(IF($F95=1,$C95*$J95,IF(GZ95&gt;0,GZ95*$K95,DA95*$J95))*IF(61=$R95,$S95,12)/12,6)+$B$4),DA95-$I95)))))</f>
        <v/>
      </c>
      <c r="DC95" s="68">
        <f>IF($U95=0,0,IF($F95=4,0,IF($F95=3,0,IF(OR(62&gt;$R95,DB95&lt;=$I95),DB95,DB95-MIN(INT(ROUND(IF($F95=1,$C95*$J95,IF(HA95&gt;0,HA95*$K95,DB95*$J95))*IF(62=$R95,$S95,12)/12,6)+$B$4),DB95-$I95)))))</f>
        <v/>
      </c>
      <c r="DD95" s="68">
        <f>IF($U95=0,0,IF($F95=4,0,IF($F95=3,0,IF(OR(63&gt;$R95,DC95&lt;=$I95),DC95,DC95-MIN(INT(ROUND(IF($F95=1,$C95*$J95,IF(HB95&gt;0,HB95*$K95,DC95*$J95))*IF(63=$R95,$S95,12)/12,6)+$B$4),DC95-$I95)))))</f>
        <v/>
      </c>
      <c r="DE95" s="68">
        <f>IF($U95=0,0,IF($F95=4,0,IF($F95=3,0,IF(OR(64&gt;$R95,DD95&lt;=$I95),DD95,DD95-MIN(INT(ROUND(IF($F95=1,$C95*$J95,IF(HC95&gt;0,HC95*$K95,DD95*$J95))*IF(64=$R95,$S95,12)/12,6)+$B$4),DD95-$I95)))))</f>
        <v/>
      </c>
      <c r="DF95" s="68">
        <f>IF($U95=0,0,IF($F95=4,0,IF($F95=3,0,IF(OR(65&gt;$R95,DE95&lt;=$I95),DE95,DE95-MIN(INT(ROUND(IF($F95=1,$C95*$J95,IF(HD95&gt;0,HD95*$K95,DE95*$J95))*IF(65=$R95,$S95,12)/12,6)+$B$4),DE95-$I95)))))</f>
        <v/>
      </c>
      <c r="DG95" s="68">
        <f>IF($U95=0,0,IF($F95=4,0,IF($F95=3,0,IF(OR(66&gt;$R95,DF95&lt;=$I95),DF95,DF95-MIN(INT(ROUND(IF($F95=1,$C95*$J95,IF(HE95&gt;0,HE95*$K95,DF95*$J95))*IF(66=$R95,$S95,12)/12,6)+$B$4),DF95-$I95)))))</f>
        <v/>
      </c>
      <c r="DH95" s="68">
        <f>IF($U95=0,0,IF($F95=4,0,IF($F95=3,0,IF(OR(67&gt;$R95,DG95&lt;=$I95),DG95,DG95-MIN(INT(ROUND(IF($F95=1,$C95*$J95,IF(HF95&gt;0,HF95*$K95,DG95*$J95))*IF(67=$R95,$S95,12)/12,6)+$B$4),DG95-$I95)))))</f>
        <v/>
      </c>
      <c r="DI95" s="68">
        <f>IF($U95=0,0,IF($F95=4,0,IF($F95=3,0,IF(OR(68&gt;$R95,DH95&lt;=$I95),DH95,DH95-MIN(INT(ROUND(IF($F95=1,$C95*$J95,IF(HG95&gt;0,HG95*$K95,DH95*$J95))*IF(68=$R95,$S95,12)/12,6)+$B$4),DH95-$I95)))))</f>
        <v/>
      </c>
      <c r="DJ95" s="68">
        <f>IF($U95=0,0,IF($F95=4,0,IF($F95=3,0,IF(OR(69&gt;$R95,DI95&lt;=$I95),DI95,DI95-MIN(INT(ROUND(IF($F95=1,$C95*$J95,IF(HH95&gt;0,HH95*$K95,DI95*$J95))*IF(69=$R95,$S95,12)/12,6)+$B$4),DI95-$I95)))))</f>
        <v/>
      </c>
      <c r="DK95" s="68">
        <f>IF($U95=0,0,IF($F95=4,0,IF($F95=3,0,IF(OR(70&gt;$R95,DJ95&lt;=$I95),DJ95,DJ95-MIN(INT(ROUND(IF($F95=1,$C95*$J95,IF(HI95&gt;0,HI95*$K95,DJ95*$J95))*IF(70=$R95,$S95,12)/12,6)+$B$4),DJ95-$I95)))))</f>
        <v/>
      </c>
      <c r="DL95" s="68">
        <f>IF($U95=0,0,IF($F95=4,0,IF($F95=3,0,IF(OR(71&gt;$R95,DK95&lt;=$I95),DK95,DK95-MIN(INT(ROUND(IF($F95=1,$C95*$J95,IF(HJ95&gt;0,HJ95*$K95,DK95*$J95))*IF(71=$R95,$S95,12)/12,6)+$B$4),DK95-$I95)))))</f>
        <v/>
      </c>
      <c r="DM95" s="68">
        <f>IF($U95=0,0,IF($F95=4,0,IF($F95=3,0,IF(OR(72&gt;$R95,DL95&lt;=$I95),DL95,DL95-MIN(INT(ROUND(IF($F95=1,$C95*$J95,IF(HK95&gt;0,HK95*$K95,DL95*$J95))*IF(72=$R95,$S95,12)/12,6)+$B$4),DL95-$I95)))))</f>
        <v/>
      </c>
      <c r="DN95" s="68">
        <f>IF($U95=0,0,IF($F95=4,0,IF($F95=3,0,IF(OR(73&gt;$R95,DM95&lt;=$I95),DM95,DM95-MIN(INT(ROUND(IF($F95=1,$C95*$J95,IF(HL95&gt;0,HL95*$K95,DM95*$J95))*IF(73=$R95,$S95,12)/12,6)+$B$4),DM95-$I95)))))</f>
        <v/>
      </c>
      <c r="DO95" s="68">
        <f>IF($U95=0,0,IF($F95=4,0,IF($F95=3,0,IF(OR(74&gt;$R95,DN95&lt;=$I95),DN95,DN95-MIN(INT(ROUND(IF($F95=1,$C95*$J95,IF(HM95&gt;0,HM95*$K95,DN95*$J95))*IF(74=$R95,$S95,12)/12,6)+$B$4),DN95-$I95)))))</f>
        <v/>
      </c>
      <c r="DP95" s="68">
        <f>IF($U95=0,0,IF($F95=4,0,IF($F95=3,0,IF(OR(75&gt;$R95,DO95&lt;=$I95),DO95,DO95-MIN(INT(ROUND(IF($F95=1,$C95*$J95,IF(HN95&gt;0,HN95*$K95,DO95*$J95))*IF(75=$R95,$S95,12)/12,6)+$B$4),DO95-$I95)))))</f>
        <v/>
      </c>
      <c r="DQ95" s="68">
        <f>IF($U95=0,0,IF($F95=4,0,IF($F95=3,0,IF(OR(76&gt;$R95,DP95&lt;=$I95),DP95,DP95-MIN(INT(ROUND(IF($F95=1,$C95*$J95,IF(HO95&gt;0,HO95*$K95,DP95*$J95))*IF(76=$R95,$S95,12)/12,6)+$B$4),DP95-$I95)))))</f>
        <v/>
      </c>
      <c r="DR95" s="68">
        <f>IF($U95=0,0,IF($F95=4,0,IF($F95=3,0,IF(OR(77&gt;$R95,DQ95&lt;=$I95),DQ95,DQ95-MIN(INT(ROUND(IF($F95=1,$C95*$J95,IF(HP95&gt;0,HP95*$K95,DQ95*$J95))*IF(77=$R95,$S95,12)/12,6)+$B$4),DQ95-$I95)))))</f>
        <v/>
      </c>
      <c r="DS95" s="68">
        <f>IF($U95=0,0,IF($F95=4,0,IF($F95=3,0,IF(OR(78&gt;$R95,DR95&lt;=$I95),DR95,DR95-MIN(INT(ROUND(IF($F95=1,$C95*$J95,IF(HQ95&gt;0,HQ95*$K95,DR95*$J95))*IF(78=$R95,$S95,12)/12,6)+$B$4),DR95-$I95)))))</f>
        <v/>
      </c>
      <c r="DT95" s="68">
        <f>IF($U95=0,0,IF($F95=4,0,IF($F95=3,0,IF(OR(79&gt;$R95,DS95&lt;=$I95),DS95,DS95-MIN(INT(ROUND(IF($F95=1,$C95*$J95,IF(HR95&gt;0,HR95*$K95,DS95*$J95))*IF(79=$R95,$S95,12)/12,6)+$B$4),DS95-$I95)))))</f>
        <v/>
      </c>
      <c r="DU95" s="68">
        <f>IF($U95=0,0,IF($F95=4,0,IF($F95=3,0,IF(OR(80&gt;$R95,DT95&lt;=$I95),DT95,DT95-MIN(INT(ROUND(IF($F95=1,$C95*$J95,IF(HS95&gt;0,HS95*$K95,DT95*$J95))*IF(80=$R95,$S95,12)/12,6)+$B$4),DT95-$I95)))))</f>
        <v/>
      </c>
      <c r="DV95" s="68">
        <f>IF($U95=0,0,IF($F95=4,0,IF($F95=3,0,IF(OR(81&gt;$R95,DU95&lt;=$I95),DU95,DU95-MIN(INT(ROUND(IF($F95=1,$C95*$J95,IF(HT95&gt;0,HT95*$K95,DU95*$J95))*IF(81=$R95,$S95,12)/12,6)+$B$4),DU95-$I95)))))</f>
        <v/>
      </c>
      <c r="DW95" s="68">
        <f>IF($U95=0,0,IF($F95=4,0,IF($F95=3,0,IF(OR(82&gt;$R95,DV95&lt;=$I95),DV95,DV95-MIN(INT(ROUND(IF($F95=1,$C95*$J95,IF(HU95&gt;0,HU95*$K95,DV95*$J95))*IF(82=$R95,$S95,12)/12,6)+$B$4),DV95-$I95)))))</f>
        <v/>
      </c>
      <c r="DX95" s="68">
        <f>IF($U95=0,0,IF($F95=4,0,IF($F95=3,0,IF(OR(83&gt;$R95,DW95&lt;=$I95),DW95,DW95-MIN(INT(ROUND(IF($F95=1,$C95*$J95,IF(HV95&gt;0,HV95*$K95,DW95*$J95))*IF(83=$R95,$S95,12)/12,6)+$B$4),DW95-$I95)))))</f>
        <v/>
      </c>
      <c r="DY95" s="68">
        <f>IF($U95=0,0,IF($F95=4,0,IF($F95=3,0,IF(OR(84&gt;$R95,DX95&lt;=$I95),DX95,DX95-MIN(INT(ROUND(IF($F95=1,$C95*$J95,IF(HW95&gt;0,HW95*$K95,DX95*$J95))*IF(84=$R95,$S95,12)/12,6)+$B$4),DX95-$I95)))))</f>
        <v/>
      </c>
      <c r="DZ95" s="68">
        <f>IF($U95=0,0,IF($F95=4,0,IF($F95=3,0,IF(OR(85&gt;$R95,DY95&lt;=$I95),DY95,DY95-MIN(INT(ROUND(IF($F95=1,$C95*$J95,IF(HX95&gt;0,HX95*$K95,DY95*$J95))*IF(85=$R95,$S95,12)/12,6)+$B$4),DY95-$I95)))))</f>
        <v/>
      </c>
      <c r="EA95" s="68">
        <f>IF($U95=0,0,IF($F95=4,0,IF($F95=3,0,IF(OR(86&gt;$R95,DZ95&lt;=$I95),DZ95,DZ95-MIN(INT(ROUND(IF($F95=1,$C95*$J95,IF(HY95&gt;0,HY95*$K95,DZ95*$J95))*IF(86=$R95,$S95,12)/12,6)+$B$4),DZ95-$I95)))))</f>
        <v/>
      </c>
      <c r="EB95" s="68">
        <f>IF($U95=0,0,IF($F95=4,0,IF($F95=3,0,IF(OR(87&gt;$R95,EA95&lt;=$I95),EA95,EA95-MIN(INT(ROUND(IF($F95=1,$C95*$J95,IF(HZ95&gt;0,HZ95*$K95,EA95*$J95))*IF(87=$R95,$S95,12)/12,6)+$B$4),EA95-$I95)))))</f>
        <v/>
      </c>
      <c r="EC95" s="68">
        <f>IF($U95=0,0,IF($F95=4,0,IF($F95=3,0,IF(OR(88&gt;$R95,EB95&lt;=$I95),EB95,EB95-MIN(INT(ROUND(IF($F95=1,$C95*$J95,IF(IA95&gt;0,IA95*$K95,EB95*$J95))*IF(88=$R95,$S95,12)/12,6)+$B$4),EB95-$I95)))))</f>
        <v/>
      </c>
      <c r="ED95" s="68">
        <f>IF($U95=0,0,IF($F95=4,0,IF($F95=3,0,IF(OR(89&gt;$R95,EC95&lt;=$I95),EC95,EC95-MIN(INT(ROUND(IF($F95=1,$C95*$J95,IF(IB95&gt;0,IB95*$K95,EC95*$J95))*IF(89=$R95,$S95,12)/12,6)+$B$4),EC95-$I95)))))</f>
        <v/>
      </c>
      <c r="EE95" s="68">
        <f>IF($U95=0,0,IF($F95=4,0,IF($F95=3,0,IF(OR(90&gt;$R95,ED95&lt;=$I95),ED95,ED95-MIN(INT(ROUND(IF($F95=1,$C95*$J95,IF(IC95&gt;0,IC95*$K95,ED95*$J95))*IF(90=$R95,$S95,12)/12,6)+$B$4),ED95-$I95)))))</f>
        <v/>
      </c>
      <c r="EF95" s="68">
        <f>IF($U95=0,0,IF($F95=4,0,IF($F95=3,0,IF(OR(91&gt;$R95,EE95&lt;=$I95),EE95,EE95-MIN(INT(ROUND(IF($F95=1,$C95*$J95,IF(ID95&gt;0,ID95*$K95,EE95*$J95))*IF(91=$R95,$S95,12)/12,6)+$B$4),EE95-$I95)))))</f>
        <v/>
      </c>
      <c r="EG95" s="68">
        <f>IF($U95=0,0,IF($F95=4,0,IF($F95=3,0,IF(OR(92&gt;$R95,EF95&lt;=$I95),EF95,EF95-MIN(INT(ROUND(IF($F95=1,$C95*$J95,IF(IE95&gt;0,IE95*$K95,EF95*$J95))*IF(92=$R95,$S95,12)/12,6)+$B$4),EF95-$I95)))))</f>
        <v/>
      </c>
      <c r="EH95" s="68">
        <f>IF($U95=0,0,IF($F95=4,0,IF($F95=3,0,IF(OR(93&gt;$R95,EG95&lt;=$I95),EG95,EG95-MIN(INT(ROUND(IF($F95=1,$C95*$J95,IF(IF95&gt;0,IF95*$K95,EG95*$J95))*IF(93=$R95,$S95,12)/12,6)+$B$4),EG95-$I95)))))</f>
        <v/>
      </c>
      <c r="EI95" s="68">
        <f>IF($U95=0,0,IF($F95=4,0,IF($F95=3,0,IF(OR(94&gt;$R95,EH95&lt;=$I95),EH95,EH95-MIN(INT(ROUND(IF($F95=1,$C95*$J95,IF(IG95&gt;0,IG95*$K95,EH95*$J95))*IF(94=$R95,$S95,12)/12,6)+$B$4),EH95-$I95)))))</f>
        <v/>
      </c>
      <c r="EJ95" s="68">
        <f>IF($U95=0,0,IF($F95=4,0,IF($F95=3,0,IF(OR(95&gt;$R95,EI95&lt;=$I95),EI95,EI95-MIN(INT(ROUND(IF($F95=1,$C95*$J95,IF(IH95&gt;0,IH95*$K95,EI95*$J95))*IF(95=$R95,$S95,12)/12,6)+$B$4),EI95-$I95)))))</f>
        <v/>
      </c>
      <c r="EK95" s="68">
        <f>IF($U95=0,0,IF($F95=4,0,IF($F95=3,0,IF(OR(96&gt;$R95,EJ95&lt;=$I95),EJ95,EJ95-MIN(INT(ROUND(IF($F95=1,$C95*$J95,IF(II95&gt;0,II95*$K95,EJ95*$J95))*IF(96=$R95,$S95,12)/12,6)+$B$4),EJ95-$I95)))))</f>
        <v/>
      </c>
      <c r="EL95" s="68">
        <f>IF($U95=0,0,IF($F95=4,0,IF($F95=3,0,IF(OR(97&gt;$R95,EK95&lt;=$I95),EK95,EK95-MIN(INT(ROUND(IF($F95=1,$C95*$J95,IF(IJ95&gt;0,IJ95*$K95,EK95*$J95))*IF(97=$R95,$S95,12)/12,6)+$B$4),EK95-$I95)))))</f>
        <v/>
      </c>
      <c r="EM95" s="68">
        <f>IF($U95=0,0,IF($F95=4,0,IF($F95=3,0,IF(OR(98&gt;$R95,EL95&lt;=$I95),EL95,EL95-MIN(INT(ROUND(IF($F95=1,$C95*$J95,IF(IK95&gt;0,IK95*$K95,EL95*$J95))*IF(98=$R95,$S95,12)/12,6)+$B$4),EL95-$I95)))))</f>
        <v/>
      </c>
      <c r="EN95" s="68">
        <f>IF($U95=0,0,IF($F95=4,0,IF($F95=3,0,IF(OR(99&gt;$R95,EM95&lt;=$I95),EM95,EM95-MIN(INT(ROUND(IF($F95=1,$C95*$J95,IF(IL95&gt;0,IL95*$K95,EM95*$J95))*IF(99=$R95,$S95,12)/12,6)+$B$4),EM95-$I95)))))</f>
        <v/>
      </c>
      <c r="EO95" s="68">
        <f>IF($U95=0,0,IF($F95=4,0,IF($F95=3,0,IF(OR(100&gt;$R95,EN95&lt;=$I95),EN95,EN95-MIN(INT(ROUND(IF($F95=1,$C95*$J95,IF(IM95&gt;0,IM95*$K95,EN95*$J95))*IF(100=$R95,$S95,12)/12,6)+$B$4),EN95-$I95)))))</f>
        <v/>
      </c>
      <c r="EP95" s="68">
        <f>IF($U95=0,0,IF($F95=4,0,IF($F95=3,0,IF(OR(101&gt;$R95,EO95&lt;=$I95),EO95,EO95-MIN(INT(ROUND(IF($F95=1,$C95*$J95,IF(IN95&gt;0,IN95*$K95,EO95*$J95))*IF(101=$R95,$S95,12)/12,6)+$B$4),EO95-$I95)))))</f>
        <v/>
      </c>
      <c r="EQ95" s="68" t="n"/>
      <c r="ER95" s="68">
        <f>IF(OR($U95=0,$F95&lt;&gt;2),0,IF(ROUND(AS95*$J95,6)&lt;ROUND($M95,6),AS95,0))</f>
        <v/>
      </c>
      <c r="ES95" s="68">
        <f>IF(OR($U95=0,$F95&lt;&gt;2),0,IF(ER95&gt;0,ER95,IF(ROUND(AT95*$J95,6)&lt;ROUND($M95,6),AT95,0)))</f>
        <v/>
      </c>
      <c r="ET95" s="68">
        <f>IF(OR($U95=0,$F95&lt;&gt;2),0,IF(ES95&gt;0,ES95,IF(ROUND(AU95*$J95,6)&lt;ROUND($M95,6),AU95,0)))</f>
        <v/>
      </c>
      <c r="EU95" s="68">
        <f>IF(OR($U95=0,$F95&lt;&gt;2),0,IF(ET95&gt;0,ET95,IF(ROUND(AV95*$J95,6)&lt;ROUND($M95,6),AV95,0)))</f>
        <v/>
      </c>
      <c r="EV95" s="68">
        <f>IF(OR($U95=0,$F95&lt;&gt;2),0,IF(EU95&gt;0,EU95,IF(ROUND(AW95*$J95,6)&lt;ROUND($M95,6),AW95,0)))</f>
        <v/>
      </c>
      <c r="EW95" s="68">
        <f>IF(OR($U95=0,$F95&lt;&gt;2),0,IF(EV95&gt;0,EV95,IF(ROUND(AX95*$J95,6)&lt;ROUND($M95,6),AX95,0)))</f>
        <v/>
      </c>
      <c r="EX95" s="68">
        <f>IF(OR($U95=0,$F95&lt;&gt;2),0,IF(EW95&gt;0,EW95,IF(ROUND(AY95*$J95,6)&lt;ROUND($M95,6),AY95,0)))</f>
        <v/>
      </c>
      <c r="EY95" s="68">
        <f>IF(OR($U95=0,$F95&lt;&gt;2),0,IF(EX95&gt;0,EX95,IF(ROUND(AZ95*$J95,6)&lt;ROUND($M95,6),AZ95,0)))</f>
        <v/>
      </c>
      <c r="EZ95" s="68">
        <f>IF(OR($U95=0,$F95&lt;&gt;2),0,IF(EY95&gt;0,EY95,IF(ROUND(BA95*$J95,6)&lt;ROUND($M95,6),BA95,0)))</f>
        <v/>
      </c>
      <c r="FA95" s="68">
        <f>IF(OR($U95=0,$F95&lt;&gt;2),0,IF(EZ95&gt;0,EZ95,IF(ROUND(BB95*$J95,6)&lt;ROUND($M95,6),BB95,0)))</f>
        <v/>
      </c>
      <c r="FB95" s="68">
        <f>IF(OR($U95=0,$F95&lt;&gt;2),0,IF(FA95&gt;0,FA95,IF(ROUND(BC95*$J95,6)&lt;ROUND($M95,6),BC95,0)))</f>
        <v/>
      </c>
      <c r="FC95" s="68">
        <f>IF(OR($U95=0,$F95&lt;&gt;2),0,IF(FB95&gt;0,FB95,IF(ROUND(BD95*$J95,6)&lt;ROUND($M95,6),BD95,0)))</f>
        <v/>
      </c>
      <c r="FD95" s="68">
        <f>IF(OR($U95=0,$F95&lt;&gt;2),0,IF(FC95&gt;0,FC95,IF(ROUND(BE95*$J95,6)&lt;ROUND($M95,6),BE95,0)))</f>
        <v/>
      </c>
      <c r="FE95" s="68">
        <f>IF(OR($U95=0,$F95&lt;&gt;2),0,IF(FD95&gt;0,FD95,IF(ROUND(BF95*$J95,6)&lt;ROUND($M95,6),BF95,0)))</f>
        <v/>
      </c>
      <c r="FF95" s="68">
        <f>IF(OR($U95=0,$F95&lt;&gt;2),0,IF(FE95&gt;0,FE95,IF(ROUND(BG95*$J95,6)&lt;ROUND($M95,6),BG95,0)))</f>
        <v/>
      </c>
      <c r="FG95" s="68">
        <f>IF(OR($U95=0,$F95&lt;&gt;2),0,IF(FF95&gt;0,FF95,IF(ROUND(BH95*$J95,6)&lt;ROUND($M95,6),BH95,0)))</f>
        <v/>
      </c>
      <c r="FH95" s="68">
        <f>IF(OR($U95=0,$F95&lt;&gt;2),0,IF(FG95&gt;0,FG95,IF(ROUND(BI95*$J95,6)&lt;ROUND($M95,6),BI95,0)))</f>
        <v/>
      </c>
      <c r="FI95" s="68">
        <f>IF(OR($U95=0,$F95&lt;&gt;2),0,IF(FH95&gt;0,FH95,IF(ROUND(BJ95*$J95,6)&lt;ROUND($M95,6),BJ95,0)))</f>
        <v/>
      </c>
      <c r="FJ95" s="68">
        <f>IF(OR($U95=0,$F95&lt;&gt;2),0,IF(FI95&gt;0,FI95,IF(ROUND(BK95*$J95,6)&lt;ROUND($M95,6),BK95,0)))</f>
        <v/>
      </c>
      <c r="FK95" s="68">
        <f>IF(OR($U95=0,$F95&lt;&gt;2),0,IF(FJ95&gt;0,FJ95,IF(ROUND(BL95*$J95,6)&lt;ROUND($M95,6),BL95,0)))</f>
        <v/>
      </c>
      <c r="FL95" s="68">
        <f>IF(OR($U95=0,$F95&lt;&gt;2),0,IF(FK95&gt;0,FK95,IF(ROUND(BM95*$J95,6)&lt;ROUND($M95,6),BM95,0)))</f>
        <v/>
      </c>
      <c r="FM95" s="68">
        <f>IF(OR($U95=0,$F95&lt;&gt;2),0,IF(FL95&gt;0,FL95,IF(ROUND(BN95*$J95,6)&lt;ROUND($M95,6),BN95,0)))</f>
        <v/>
      </c>
      <c r="FN95" s="68">
        <f>IF(OR($U95=0,$F95&lt;&gt;2),0,IF(FM95&gt;0,FM95,IF(ROUND(BO95*$J95,6)&lt;ROUND($M95,6),BO95,0)))</f>
        <v/>
      </c>
      <c r="FO95" s="68">
        <f>IF(OR($U95=0,$F95&lt;&gt;2),0,IF(FN95&gt;0,FN95,IF(ROUND(BP95*$J95,6)&lt;ROUND($M95,6),BP95,0)))</f>
        <v/>
      </c>
      <c r="FP95" s="68">
        <f>IF(OR($U95=0,$F95&lt;&gt;2),0,IF(FO95&gt;0,FO95,IF(ROUND(BQ95*$J95,6)&lt;ROUND($M95,6),BQ95,0)))</f>
        <v/>
      </c>
      <c r="FQ95" s="68">
        <f>IF(OR($U95=0,$F95&lt;&gt;2),0,IF(FP95&gt;0,FP95,IF(ROUND(BR95*$J95,6)&lt;ROUND($M95,6),BR95,0)))</f>
        <v/>
      </c>
      <c r="FR95" s="68">
        <f>IF(OR($U95=0,$F95&lt;&gt;2),0,IF(FQ95&gt;0,FQ95,IF(ROUND(BS95*$J95,6)&lt;ROUND($M95,6),BS95,0)))</f>
        <v/>
      </c>
      <c r="FS95" s="68">
        <f>IF(OR($U95=0,$F95&lt;&gt;2),0,IF(FR95&gt;0,FR95,IF(ROUND(BT95*$J95,6)&lt;ROUND($M95,6),BT95,0)))</f>
        <v/>
      </c>
      <c r="FT95" s="68">
        <f>IF(OR($U95=0,$F95&lt;&gt;2),0,IF(FS95&gt;0,FS95,IF(ROUND(BU95*$J95,6)&lt;ROUND($M95,6),BU95,0)))</f>
        <v/>
      </c>
      <c r="FU95" s="68">
        <f>IF(OR($U95=0,$F95&lt;&gt;2),0,IF(FT95&gt;0,FT95,IF(ROUND(BV95*$J95,6)&lt;ROUND($M95,6),BV95,0)))</f>
        <v/>
      </c>
      <c r="FV95" s="68">
        <f>IF(OR($U95=0,$F95&lt;&gt;2),0,IF(FU95&gt;0,FU95,IF(ROUND(BW95*$J95,6)&lt;ROUND($M95,6),BW95,0)))</f>
        <v/>
      </c>
      <c r="FW95" s="68">
        <f>IF(OR($U95=0,$F95&lt;&gt;2),0,IF(FV95&gt;0,FV95,IF(ROUND(BX95*$J95,6)&lt;ROUND($M95,6),BX95,0)))</f>
        <v/>
      </c>
      <c r="FX95" s="68">
        <f>IF(OR($U95=0,$F95&lt;&gt;2),0,IF(FW95&gt;0,FW95,IF(ROUND(BY95*$J95,6)&lt;ROUND($M95,6),BY95,0)))</f>
        <v/>
      </c>
      <c r="FY95" s="68">
        <f>IF(OR($U95=0,$F95&lt;&gt;2),0,IF(FX95&gt;0,FX95,IF(ROUND(BZ95*$J95,6)&lt;ROUND($M95,6),BZ95,0)))</f>
        <v/>
      </c>
      <c r="FZ95" s="68">
        <f>IF(OR($U95=0,$F95&lt;&gt;2),0,IF(FY95&gt;0,FY95,IF(ROUND(CA95*$J95,6)&lt;ROUND($M95,6),CA95,0)))</f>
        <v/>
      </c>
      <c r="GA95" s="68">
        <f>IF(OR($U95=0,$F95&lt;&gt;2),0,IF(FZ95&gt;0,FZ95,IF(ROUND(CB95*$J95,6)&lt;ROUND($M95,6),CB95,0)))</f>
        <v/>
      </c>
      <c r="GB95" s="68">
        <f>IF(OR($U95=0,$F95&lt;&gt;2),0,IF(GA95&gt;0,GA95,IF(ROUND(CC95*$J95,6)&lt;ROUND($M95,6),CC95,0)))</f>
        <v/>
      </c>
      <c r="GC95" s="68">
        <f>IF(OR($U95=0,$F95&lt;&gt;2),0,IF(GB95&gt;0,GB95,IF(ROUND(CD95*$J95,6)&lt;ROUND($M95,6),CD95,0)))</f>
        <v/>
      </c>
      <c r="GD95" s="68">
        <f>IF(OR($U95=0,$F95&lt;&gt;2),0,IF(GC95&gt;0,GC95,IF(ROUND(CE95*$J95,6)&lt;ROUND($M95,6),CE95,0)))</f>
        <v/>
      </c>
      <c r="GE95" s="68">
        <f>IF(OR($U95=0,$F95&lt;&gt;2),0,IF(GD95&gt;0,GD95,IF(ROUND(CF95*$J95,6)&lt;ROUND($M95,6),CF95,0)))</f>
        <v/>
      </c>
      <c r="GF95" s="68">
        <f>IF(OR($U95=0,$F95&lt;&gt;2),0,IF(GE95&gt;0,GE95,IF(ROUND(CG95*$J95,6)&lt;ROUND($M95,6),CG95,0)))</f>
        <v/>
      </c>
      <c r="GG95" s="68">
        <f>IF(OR($U95=0,$F95&lt;&gt;2),0,IF(GF95&gt;0,GF95,IF(ROUND(CH95*$J95,6)&lt;ROUND($M95,6),CH95,0)))</f>
        <v/>
      </c>
      <c r="GH95" s="68">
        <f>IF(OR($U95=0,$F95&lt;&gt;2),0,IF(GG95&gt;0,GG95,IF(ROUND(CI95*$J95,6)&lt;ROUND($M95,6),CI95,0)))</f>
        <v/>
      </c>
      <c r="GI95" s="68">
        <f>IF(OR($U95=0,$F95&lt;&gt;2),0,IF(GH95&gt;0,GH95,IF(ROUND(CJ95*$J95,6)&lt;ROUND($M95,6),CJ95,0)))</f>
        <v/>
      </c>
      <c r="GJ95" s="68">
        <f>IF(OR($U95=0,$F95&lt;&gt;2),0,IF(GI95&gt;0,GI95,IF(ROUND(CK95*$J95,6)&lt;ROUND($M95,6),CK95,0)))</f>
        <v/>
      </c>
      <c r="GK95" s="68">
        <f>IF(OR($U95=0,$F95&lt;&gt;2),0,IF(GJ95&gt;0,GJ95,IF(ROUND(CL95*$J95,6)&lt;ROUND($M95,6),CL95,0)))</f>
        <v/>
      </c>
      <c r="GL95" s="68">
        <f>IF(OR($U95=0,$F95&lt;&gt;2),0,IF(GK95&gt;0,GK95,IF(ROUND(CM95*$J95,6)&lt;ROUND($M95,6),CM95,0)))</f>
        <v/>
      </c>
      <c r="GM95" s="68">
        <f>IF(OR($U95=0,$F95&lt;&gt;2),0,IF(GL95&gt;0,GL95,IF(ROUND(CN95*$J95,6)&lt;ROUND($M95,6),CN95,0)))</f>
        <v/>
      </c>
      <c r="GN95" s="68">
        <f>IF(OR($U95=0,$F95&lt;&gt;2),0,IF(GM95&gt;0,GM95,IF(ROUND(CO95*$J95,6)&lt;ROUND($M95,6),CO95,0)))</f>
        <v/>
      </c>
      <c r="GO95" s="68">
        <f>IF(OR($U95=0,$F95&lt;&gt;2),0,IF(GN95&gt;0,GN95,IF(ROUND(CP95*$J95,6)&lt;ROUND($M95,6),CP95,0)))</f>
        <v/>
      </c>
      <c r="GP95" s="68">
        <f>IF(OR($U95=0,$F95&lt;&gt;2),0,IF(GO95&gt;0,GO95,IF(ROUND(CQ95*$J95,6)&lt;ROUND($M95,6),CQ95,0)))</f>
        <v/>
      </c>
      <c r="GQ95" s="68">
        <f>IF(OR($U95=0,$F95&lt;&gt;2),0,IF(GP95&gt;0,GP95,IF(ROUND(CR95*$J95,6)&lt;ROUND($M95,6),CR95,0)))</f>
        <v/>
      </c>
      <c r="GR95" s="68">
        <f>IF(OR($U95=0,$F95&lt;&gt;2),0,IF(GQ95&gt;0,GQ95,IF(ROUND(CS95*$J95,6)&lt;ROUND($M95,6),CS95,0)))</f>
        <v/>
      </c>
      <c r="GS95" s="68">
        <f>IF(OR($U95=0,$F95&lt;&gt;2),0,IF(GR95&gt;0,GR95,IF(ROUND(CT95*$J95,6)&lt;ROUND($M95,6),CT95,0)))</f>
        <v/>
      </c>
      <c r="GT95" s="68">
        <f>IF(OR($U95=0,$F95&lt;&gt;2),0,IF(GS95&gt;0,GS95,IF(ROUND(CU95*$J95,6)&lt;ROUND($M95,6),CU95,0)))</f>
        <v/>
      </c>
      <c r="GU95" s="68">
        <f>IF(OR($U95=0,$F95&lt;&gt;2),0,IF(GT95&gt;0,GT95,IF(ROUND(CV95*$J95,6)&lt;ROUND($M95,6),CV95,0)))</f>
        <v/>
      </c>
      <c r="GV95" s="68">
        <f>IF(OR($U95=0,$F95&lt;&gt;2),0,IF(GU95&gt;0,GU95,IF(ROUND(CW95*$J95,6)&lt;ROUND($M95,6),CW95,0)))</f>
        <v/>
      </c>
      <c r="GW95" s="68">
        <f>IF(OR($U95=0,$F95&lt;&gt;2),0,IF(GV95&gt;0,GV95,IF(ROUND(CX95*$J95,6)&lt;ROUND($M95,6),CX95,0)))</f>
        <v/>
      </c>
      <c r="GX95" s="68">
        <f>IF(OR($U95=0,$F95&lt;&gt;2),0,IF(GW95&gt;0,GW95,IF(ROUND(CY95*$J95,6)&lt;ROUND($M95,6),CY95,0)))</f>
        <v/>
      </c>
      <c r="GY95" s="68">
        <f>IF(OR($U95=0,$F95&lt;&gt;2),0,IF(GX95&gt;0,GX95,IF(ROUND(CZ95*$J95,6)&lt;ROUND($M95,6),CZ95,0)))</f>
        <v/>
      </c>
      <c r="GZ95" s="68">
        <f>IF(OR($U95=0,$F95&lt;&gt;2),0,IF(GY95&gt;0,GY95,IF(ROUND(DA95*$J95,6)&lt;ROUND($M95,6),DA95,0)))</f>
        <v/>
      </c>
      <c r="HA95" s="68">
        <f>IF(OR($U95=0,$F95&lt;&gt;2),0,IF(GZ95&gt;0,GZ95,IF(ROUND(DB95*$J95,6)&lt;ROUND($M95,6),DB95,0)))</f>
        <v/>
      </c>
      <c r="HB95" s="68">
        <f>IF(OR($U95=0,$F95&lt;&gt;2),0,IF(HA95&gt;0,HA95,IF(ROUND(DC95*$J95,6)&lt;ROUND($M95,6),DC95,0)))</f>
        <v/>
      </c>
      <c r="HC95" s="68">
        <f>IF(OR($U95=0,$F95&lt;&gt;2),0,IF(HB95&gt;0,HB95,IF(ROUND(DD95*$J95,6)&lt;ROUND($M95,6),DD95,0)))</f>
        <v/>
      </c>
      <c r="HD95" s="68">
        <f>IF(OR($U95=0,$F95&lt;&gt;2),0,IF(HC95&gt;0,HC95,IF(ROUND(DE95*$J95,6)&lt;ROUND($M95,6),DE95,0)))</f>
        <v/>
      </c>
      <c r="HE95" s="68">
        <f>IF(OR($U95=0,$F95&lt;&gt;2),0,IF(HD95&gt;0,HD95,IF(ROUND(DF95*$J95,6)&lt;ROUND($M95,6),DF95,0)))</f>
        <v/>
      </c>
      <c r="HF95" s="68">
        <f>IF(OR($U95=0,$F95&lt;&gt;2),0,IF(HE95&gt;0,HE95,IF(ROUND(DG95*$J95,6)&lt;ROUND($M95,6),DG95,0)))</f>
        <v/>
      </c>
      <c r="HG95" s="68">
        <f>IF(OR($U95=0,$F95&lt;&gt;2),0,IF(HF95&gt;0,HF95,IF(ROUND(DH95*$J95,6)&lt;ROUND($M95,6),DH95,0)))</f>
        <v/>
      </c>
      <c r="HH95" s="68">
        <f>IF(OR($U95=0,$F95&lt;&gt;2),0,IF(HG95&gt;0,HG95,IF(ROUND(DI95*$J95,6)&lt;ROUND($M95,6),DI95,0)))</f>
        <v/>
      </c>
      <c r="HI95" s="68">
        <f>IF(OR($U95=0,$F95&lt;&gt;2),0,IF(HH95&gt;0,HH95,IF(ROUND(DJ95*$J95,6)&lt;ROUND($M95,6),DJ95,0)))</f>
        <v/>
      </c>
      <c r="HJ95" s="68">
        <f>IF(OR($U95=0,$F95&lt;&gt;2),0,IF(HI95&gt;0,HI95,IF(ROUND(DK95*$J95,6)&lt;ROUND($M95,6),DK95,0)))</f>
        <v/>
      </c>
      <c r="HK95" s="68">
        <f>IF(OR($U95=0,$F95&lt;&gt;2),0,IF(HJ95&gt;0,HJ95,IF(ROUND(DL95*$J95,6)&lt;ROUND($M95,6),DL95,0)))</f>
        <v/>
      </c>
      <c r="HL95" s="68">
        <f>IF(OR($U95=0,$F95&lt;&gt;2),0,IF(HK95&gt;0,HK95,IF(ROUND(DM95*$J95,6)&lt;ROUND($M95,6),DM95,0)))</f>
        <v/>
      </c>
      <c r="HM95" s="68">
        <f>IF(OR($U95=0,$F95&lt;&gt;2),0,IF(HL95&gt;0,HL95,IF(ROUND(DN95*$J95,6)&lt;ROUND($M95,6),DN95,0)))</f>
        <v/>
      </c>
      <c r="HN95" s="68">
        <f>IF(OR($U95=0,$F95&lt;&gt;2),0,IF(HM95&gt;0,HM95,IF(ROUND(DO95*$J95,6)&lt;ROUND($M95,6),DO95,0)))</f>
        <v/>
      </c>
      <c r="HO95" s="68">
        <f>IF(OR($U95=0,$F95&lt;&gt;2),0,IF(HN95&gt;0,HN95,IF(ROUND(DP95*$J95,6)&lt;ROUND($M95,6),DP95,0)))</f>
        <v/>
      </c>
      <c r="HP95" s="68">
        <f>IF(OR($U95=0,$F95&lt;&gt;2),0,IF(HO95&gt;0,HO95,IF(ROUND(DQ95*$J95,6)&lt;ROUND($M95,6),DQ95,0)))</f>
        <v/>
      </c>
      <c r="HQ95" s="68">
        <f>IF(OR($U95=0,$F95&lt;&gt;2),0,IF(HP95&gt;0,HP95,IF(ROUND(DR95*$J95,6)&lt;ROUND($M95,6),DR95,0)))</f>
        <v/>
      </c>
      <c r="HR95" s="68">
        <f>IF(OR($U95=0,$F95&lt;&gt;2),0,IF(HQ95&gt;0,HQ95,IF(ROUND(DS95*$J95,6)&lt;ROUND($M95,6),DS95,0)))</f>
        <v/>
      </c>
      <c r="HS95" s="68">
        <f>IF(OR($U95=0,$F95&lt;&gt;2),0,IF(HR95&gt;0,HR95,IF(ROUND(DT95*$J95,6)&lt;ROUND($M95,6),DT95,0)))</f>
        <v/>
      </c>
      <c r="HT95" s="68">
        <f>IF(OR($U95=0,$F95&lt;&gt;2),0,IF(HS95&gt;0,HS95,IF(ROUND(DU95*$J95,6)&lt;ROUND($M95,6),DU95,0)))</f>
        <v/>
      </c>
      <c r="HU95" s="68">
        <f>IF(OR($U95=0,$F95&lt;&gt;2),0,IF(HT95&gt;0,HT95,IF(ROUND(DV95*$J95,6)&lt;ROUND($M95,6),DV95,0)))</f>
        <v/>
      </c>
      <c r="HV95" s="68">
        <f>IF(OR($U95=0,$F95&lt;&gt;2),0,IF(HU95&gt;0,HU95,IF(ROUND(DW95*$J95,6)&lt;ROUND($M95,6),DW95,0)))</f>
        <v/>
      </c>
      <c r="HW95" s="68">
        <f>IF(OR($U95=0,$F95&lt;&gt;2),0,IF(HV95&gt;0,HV95,IF(ROUND(DX95*$J95,6)&lt;ROUND($M95,6),DX95,0)))</f>
        <v/>
      </c>
      <c r="HX95" s="68">
        <f>IF(OR($U95=0,$F95&lt;&gt;2),0,IF(HW95&gt;0,HW95,IF(ROUND(DY95*$J95,6)&lt;ROUND($M95,6),DY95,0)))</f>
        <v/>
      </c>
      <c r="HY95" s="68">
        <f>IF(OR($U95=0,$F95&lt;&gt;2),0,IF(HX95&gt;0,HX95,IF(ROUND(DZ95*$J95,6)&lt;ROUND($M95,6),DZ95,0)))</f>
        <v/>
      </c>
      <c r="HZ95" s="68">
        <f>IF(OR($U95=0,$F95&lt;&gt;2),0,IF(HY95&gt;0,HY95,IF(ROUND(EA95*$J95,6)&lt;ROUND($M95,6),EA95,0)))</f>
        <v/>
      </c>
      <c r="IA95" s="68">
        <f>IF(OR($U95=0,$F95&lt;&gt;2),0,IF(HZ95&gt;0,HZ95,IF(ROUND(EB95*$J95,6)&lt;ROUND($M95,6),EB95,0)))</f>
        <v/>
      </c>
      <c r="IB95" s="68">
        <f>IF(OR($U95=0,$F95&lt;&gt;2),0,IF(IA95&gt;0,IA95,IF(ROUND(EC95*$J95,6)&lt;ROUND($M95,6),EC95,0)))</f>
        <v/>
      </c>
      <c r="IC95" s="68">
        <f>IF(OR($U95=0,$F95&lt;&gt;2),0,IF(IB95&gt;0,IB95,IF(ROUND(ED95*$J95,6)&lt;ROUND($M95,6),ED95,0)))</f>
        <v/>
      </c>
      <c r="ID95" s="68">
        <f>IF(OR($U95=0,$F95&lt;&gt;2),0,IF(IC95&gt;0,IC95,IF(ROUND(EE95*$J95,6)&lt;ROUND($M95,6),EE95,0)))</f>
        <v/>
      </c>
      <c r="IE95" s="68">
        <f>IF(OR($U95=0,$F95&lt;&gt;2),0,IF(ID95&gt;0,ID95,IF(ROUND(EF95*$J95,6)&lt;ROUND($M95,6),EF95,0)))</f>
        <v/>
      </c>
      <c r="IF95" s="68">
        <f>IF(OR($U95=0,$F95&lt;&gt;2),0,IF(IE95&gt;0,IE95,IF(ROUND(EG95*$J95,6)&lt;ROUND($M95,6),EG95,0)))</f>
        <v/>
      </c>
      <c r="IG95" s="68">
        <f>IF(OR($U95=0,$F95&lt;&gt;2),0,IF(IF95&gt;0,IF95,IF(ROUND(EH95*$J95,6)&lt;ROUND($M95,6),EH95,0)))</f>
        <v/>
      </c>
      <c r="IH95" s="68">
        <f>IF(OR($U95=0,$F95&lt;&gt;2),0,IF(IG95&gt;0,IG95,IF(ROUND(EI95*$J95,6)&lt;ROUND($M95,6),EI95,0)))</f>
        <v/>
      </c>
      <c r="II95" s="68">
        <f>IF(OR($U95=0,$F95&lt;&gt;2),0,IF(IH95&gt;0,IH95,IF(ROUND(EJ95*$J95,6)&lt;ROUND($M95,6),EJ95,0)))</f>
        <v/>
      </c>
      <c r="IJ95" s="68">
        <f>IF(OR($U95=0,$F95&lt;&gt;2),0,IF(II95&gt;0,II95,IF(ROUND(EK95*$J95,6)&lt;ROUND($M95,6),EK95,0)))</f>
        <v/>
      </c>
      <c r="IK95" s="68">
        <f>IF(OR($U95=0,$F95&lt;&gt;2),0,IF(IJ95&gt;0,IJ95,IF(ROUND(EL95*$J95,6)&lt;ROUND($M95,6),EL95,0)))</f>
        <v/>
      </c>
      <c r="IL95" s="68">
        <f>IF(OR($U95=0,$F95&lt;&gt;2),0,IF(IK95&gt;0,IK95,IF(ROUND(EM95*$J95,6)&lt;ROUND($M95,6),EM95,0)))</f>
        <v/>
      </c>
      <c r="IM95" s="68">
        <f>IF(OR($U95=0,$F95&lt;&gt;2),0,IF(IL95&gt;0,IL95,IF(ROUND(EN95*$J95,6)&lt;ROUND($M95,6),EN95,0)))</f>
        <v/>
      </c>
      <c r="IN95" s="68">
        <f>IF(OR($U95=0,$F95&lt;&gt;2),0,IF(IM95&gt;0,IM95,IF(ROUND(EO95*$J95,6)&lt;ROUND($M95,6),EO95,0)))</f>
        <v/>
      </c>
    </row>
    <row r="96">
      <c r="A96" s="68" t="n">
        <v>91</v>
      </c>
      <c r="B96" s="68">
        <f>IF(OR(TRIM('固定資産台帳'!$B96)&lt;&gt;"",'固定資産台帳'!$E96&lt;&gt;"",'固定資産台帳'!$G96&lt;&gt;"",'固定資産台帳'!$H96&lt;&gt;""),1,0)</f>
        <v/>
      </c>
      <c r="C96" s="68">
        <f>IF(ISNUMBER('固定資産台帳'!$G96),MAX(ROUND('固定資産台帳'!$G96,0),0),0)</f>
        <v/>
      </c>
      <c r="D96" s="84">
        <f>IF(ISNUMBER('固定資産台帳'!$E96),INT('固定資産台帳'!$E96),0)</f>
        <v/>
      </c>
      <c r="E96" s="84">
        <f>IF(ISNUMBER('固定資産台帳'!$F96),INT('固定資産台帳'!$F96),$D96)</f>
        <v/>
      </c>
      <c r="F96" s="68">
        <f>IF('固定資産台帳'!$H96="定額法",1,IF(OR('固定資産台帳'!$H96="定率法",'固定資産台帳'!$H96="定率法（200%）",'固定資産台帳'!$H96="定率法（250%）"),2,IF('固定資産台帳'!$H96="一括償却（3年）",3,IF('固定資産台帳'!$H96="少額特例",4,0))))</f>
        <v/>
      </c>
      <c r="G96" s="68">
        <f>IF('固定資産台帳'!$H96="定率法（250%）",250,IF('固定資産台帳'!$H96="定率法（200%）",200,IF($D96&gt;=DATE(2012,4,1),200,250)))</f>
        <v/>
      </c>
      <c r="H96" s="68">
        <f>IF(ISNUMBER('固定資産台帳'!$I96),IF(AND('固定資産台帳'!$I96&gt;=2,'固定資産台帳'!$I96&lt;=100,'固定資産台帳'!$I96=INT('固定資産台帳'!$I96)),'固定資産台帳'!$I96,0),0)</f>
        <v/>
      </c>
      <c r="I96" s="68">
        <f>IF('固定資産台帳'!$C96="無形固定資産",0,1)</f>
        <v/>
      </c>
      <c r="J96" s="68">
        <f>IF(OR($H96=0,$F96=0,$F96&gt;2),0,IF($F96=1,INDEX('償却率表'!$B$6:$B$104,$H96-1),IF($G96=200,INDEX('償却率表'!$C$6:$C$104,$H96-1),INDEX('償却率表'!$F$6:$F$104,$H96-1))))</f>
        <v/>
      </c>
      <c r="K96" s="68">
        <f>IF(AND($F96=2,$H96&gt;0),IF($G96=200,INDEX('償却率表'!$D$6:$D$104,$H96-1),INDEX('償却率表'!$G$6:$G$104,$H96-1)),0)</f>
        <v/>
      </c>
      <c r="L96" s="68">
        <f>IF(AND($F96=2,$H96&gt;0),IF($G96=200,INDEX('償却率表'!$E$6:$E$104,$H96-1),INDEX('償却率表'!$H$6:$H$104,$H96-1)),0)</f>
        <v/>
      </c>
      <c r="M96" s="68">
        <f>$C96*$L96</f>
        <v/>
      </c>
      <c r="N96" s="68">
        <f>IF($B$1=1,1,IF('固定資産台帳'!$J96="",1,IF(ISNUMBER('固定資産台帳'!$J96),IF(AND('固定資産台帳'!$J96&gt;0,'固定資産台帳'!$J96&lt;=1),'固定資産台帳'!$J96,0),0)))</f>
        <v/>
      </c>
      <c r="O96" s="68">
        <f>IF($E96=0,0,YEAR($E96)-IF(MONTH($E96)&lt;$B$2,1,0))</f>
        <v/>
      </c>
      <c r="P96" s="68">
        <f>IF($E96=0,0,12-MOD(MONTH($E96)-$B$2,12))</f>
        <v/>
      </c>
      <c r="Q96" s="84">
        <f>IF(ISNUMBER('固定資産台帳'!$K96),INT('固定資産台帳'!$K96),0)</f>
        <v/>
      </c>
      <c r="R96" s="68">
        <f>IF(OR($Q96=0,$E96=0),999,YEAR($Q96)-IF(MONTH($Q96)&lt;$B$2,1,0)-$O96)</f>
        <v/>
      </c>
      <c r="S96" s="68">
        <f>IF($R96=999,0,MOD(MONTH($Q96)-$B$2,12)+1-IF($R96=0,12-$P96,0))</f>
        <v/>
      </c>
      <c r="T96" s="68">
        <f>IF($B96=0,0,IF($C96&lt;=0,1,IF($D96=0,2,IF($F96=0,3,IF(AND($F96&lt;=2,$H96=0),4,IF(AND($F96&lt;=2,$D96&lt;DATE(2007,4,1)),5,IF($E96&lt;$D96,6,IF(AND($Q96&gt;0,$Q96&lt;$E96),7,IF($N96=0,8,IF($B$3=0,9,0))))))))))</f>
        <v/>
      </c>
      <c r="U96" s="68">
        <f>IF(AND($B96=1,$T96=0),1,0)</f>
        <v/>
      </c>
      <c r="V96" s="68">
        <f>$B$3-$O96</f>
        <v/>
      </c>
      <c r="W96" s="68">
        <f>IF(AND($U96=1,$V96&gt;=0),1,0)</f>
        <v/>
      </c>
      <c r="X96" s="68">
        <f>IF($W96=0,0,IF($V96=0,$C96,INDEX($AS96:$EP96,MIN($V96,102))))</f>
        <v/>
      </c>
      <c r="Y96" s="68">
        <f>IF($W96=0,0,INDEX($AS96:$EP96,MIN($V96,101)+1))</f>
        <v/>
      </c>
      <c r="Z96" s="68">
        <f>$X96-$Y96</f>
        <v/>
      </c>
      <c r="AA96" s="68">
        <f>IF(AND($W96=1,$F96=2,$V96&gt;=1),INDEX($ER96:$IN96,MIN($V96,101)),0)</f>
        <v/>
      </c>
      <c r="AB96" s="68">
        <f>IF(OR($W96=0,$F96&gt;2,$Z96=0),0,IF($V96=0,IF($R96=0,$S96,$P96),IF($V96=$R96,$S96,12)))</f>
        <v/>
      </c>
      <c r="AC96" s="68">
        <f>IF($W96=0,0,INT(ROUND($Z96*$N96,6)+$B$4))</f>
        <v/>
      </c>
      <c r="AD96" s="68">
        <f>IF(AND($W96=1,$F96&lt;=2,$V96=$R96),1,0)</f>
        <v/>
      </c>
      <c r="AE96" s="68">
        <f>IF(AND($W96=1,$F96&lt;=2,$V96&gt;$R96),1,0)</f>
        <v/>
      </c>
      <c r="AF96" s="68">
        <f>IF(AND($W96=1,$AE96=0,OR($Z96&gt;0,$AD96=1)),1,0)</f>
        <v/>
      </c>
      <c r="AG96" s="68">
        <f>IF($AF96=1,SUM($AF$6:$AF96),0)</f>
        <v/>
      </c>
      <c r="AH96" s="68">
        <f>IF($T96=0,"",CHOOSE($T96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96" s="68">
        <f>IF(AND($F96=2,OR('固定資産台帳'!$C96="建物",'固定資産台帳'!$C96="無形固定資産",AND(OR('固定資産台帳'!$C96="建物附属設備",'固定資産台帳'!$C96="構築物"),$D96&gt;=DATE(2016,4,1)))),"この資産は定額法だけです（定率法は使えません）。","")&amp;IF(AND($F96=3,$C96&gt;=200000),"一括償却は20万円未満の資産だけです。","")&amp;IF(AND($F96=3,$B$1=0,$C96&lt;100000),"10万円未満は一括償却にせず、全額をその年の経費にします。","")&amp;IF(AND($F96=4,$C96&lt;100000),"10万円未満は少額特例ではなく、全額をその年の経費にします。","")&amp;IF(AND($F96=4,$D96&lt;DATE(2026,4,1),$C96&gt;=300000),"2026年3月31日までの取得で少額特例が使えるのは30万円未満です。","")&amp;IF(AND($F96=4,$D96&gt;=DATE(2026,4,1),$C96&gt;=400000),"少額特例は40万円未満の資産だけです。","")&amp;IF(AND($F96=4,OR($D96&lt;DATE(2006,4,1),$D96&gt;DATE(2029,3,31))),"少額特例は2006年4月1日〜2029年3月31日に取得した資産だけです。","")&amp;IF(AND($F96=2,$G96=250,$D96&gt;DATE(2012,12,31)),"250%定率法は2012年12月31日までの取得だけです。","")</f>
        <v/>
      </c>
      <c r="AJ96" s="68">
        <f>IF(AND($F96=2,'固定資産台帳'!$H96="定率法（200%）",$D96&lt;DATE(2012,4,1)),"2012年3月31日までの取得に200%を使うのは、経過措置の届出をした場合です。","")&amp;IF(AND($F96=2,'固定資産台帳'!$H96="定率法（250%）",$D96&gt;=DATE(2012,4,1),$D96&lt;=DATE(2012,12,31)),"2012年4〜12月の取得に250%を使うのは、経過措置を選んだ場合です。","")</f>
        <v/>
      </c>
      <c r="AK96" s="68">
        <f>IF($U96=0,"",IF($V96&lt;0,"表示している年より後に使い始める資産です。",IF($AE96=1,"売却・除却済みです。",IF($AD96=1,"この年に売却・除却。期末の帳簿価額 "&amp;TEXT($Y96,"#,##0")&amp;"円を帳簿から外します。",IF($F96=4,IF($V96=0,"少額特例：この年に全額を経費にします。","少額特例で経費にした資産です。"),IF($F96=3,IF($V96&gt;2,"一括償却は終わっています。","一括償却 "&amp;($V96+1)&amp;"年目（3年のうち）。"),IF($Z96=0,"償却済み（帳簿価額 "&amp;TEXT($Y96,"#,##0")&amp;"円）。",IF($AA96&gt;0,"改定償却率で計算（改定取得価額 "&amp;TEXT($AA96,"#,##0")&amp;"円）。",IF($V96=0,"この年に使い始め（"&amp;$AB96&amp;"か月分）。","")))))))))</f>
        <v/>
      </c>
      <c r="AL96" s="68">
        <f>IF(AND($U96=1,$F96=4,$V96=0),$C96,0)</f>
        <v/>
      </c>
      <c r="AM96" s="68">
        <f>IF($F96=2,INT(ROUND($M96,6)+$B$4),0)</f>
        <v/>
      </c>
      <c r="AN96" s="68">
        <f>IF($W96=0,0,IF($F96=2,IF($AA96&gt;0,$AA96,$X96),$C96))</f>
        <v/>
      </c>
      <c r="AO96" s="68">
        <f>IF($W96=0,"",IF($F96=3,"1/3",IF($F96=4,"―",IF($AA96&gt;0,$K96,$J96))))</f>
        <v/>
      </c>
      <c r="AP96" s="68" t="n"/>
      <c r="AQ96" s="68" t="n"/>
      <c r="AR96" s="68" t="n"/>
      <c r="AS96" s="68">
        <f>IF($U96=0,0,IF($F96=4,0,IF($F96=3,MAX($C96-INT(ROUND($C96/3,6)+$B$4),0),$C96-MIN(INT(ROUND($C96*$J96*IF($R96=0,$S96,$P96)/12,6)+$B$4),MAX($C96-$I96,0)))))</f>
        <v/>
      </c>
      <c r="AT96" s="68">
        <f>IF($U96=0,0,IF($F96=4,0,IF($F96=3,AS96-MIN(INT(ROUND($C96/3,6)+$B$4),AS96),IF(OR(1&gt;$R96,AS96&lt;=$I96),AS96,AS96-MIN(INT(ROUND(IF($F96=1,$C96*$J96,IF(ER96&gt;0,ER96*$K96,AS96*$J96))*IF(1=$R96,$S96,12)/12,6)+$B$4),AS96-$I96)))))</f>
        <v/>
      </c>
      <c r="AU96" s="68">
        <f>IF($U96=0,0,IF($F96=4,0,IF($F96=3,0,IF(OR(2&gt;$R96,AT96&lt;=$I96),AT96,AT96-MIN(INT(ROUND(IF($F96=1,$C96*$J96,IF(ES96&gt;0,ES96*$K96,AT96*$J96))*IF(2=$R96,$S96,12)/12,6)+$B$4),AT96-$I96)))))</f>
        <v/>
      </c>
      <c r="AV96" s="68">
        <f>IF($U96=0,0,IF($F96=4,0,IF($F96=3,0,IF(OR(3&gt;$R96,AU96&lt;=$I96),AU96,AU96-MIN(INT(ROUND(IF($F96=1,$C96*$J96,IF(ET96&gt;0,ET96*$K96,AU96*$J96))*IF(3=$R96,$S96,12)/12,6)+$B$4),AU96-$I96)))))</f>
        <v/>
      </c>
      <c r="AW96" s="68">
        <f>IF($U96=0,0,IF($F96=4,0,IF($F96=3,0,IF(OR(4&gt;$R96,AV96&lt;=$I96),AV96,AV96-MIN(INT(ROUND(IF($F96=1,$C96*$J96,IF(EU96&gt;0,EU96*$K96,AV96*$J96))*IF(4=$R96,$S96,12)/12,6)+$B$4),AV96-$I96)))))</f>
        <v/>
      </c>
      <c r="AX96" s="68">
        <f>IF($U96=0,0,IF($F96=4,0,IF($F96=3,0,IF(OR(5&gt;$R96,AW96&lt;=$I96),AW96,AW96-MIN(INT(ROUND(IF($F96=1,$C96*$J96,IF(EV96&gt;0,EV96*$K96,AW96*$J96))*IF(5=$R96,$S96,12)/12,6)+$B$4),AW96-$I96)))))</f>
        <v/>
      </c>
      <c r="AY96" s="68">
        <f>IF($U96=0,0,IF($F96=4,0,IF($F96=3,0,IF(OR(6&gt;$R96,AX96&lt;=$I96),AX96,AX96-MIN(INT(ROUND(IF($F96=1,$C96*$J96,IF(EW96&gt;0,EW96*$K96,AX96*$J96))*IF(6=$R96,$S96,12)/12,6)+$B$4),AX96-$I96)))))</f>
        <v/>
      </c>
      <c r="AZ96" s="68">
        <f>IF($U96=0,0,IF($F96=4,0,IF($F96=3,0,IF(OR(7&gt;$R96,AY96&lt;=$I96),AY96,AY96-MIN(INT(ROUND(IF($F96=1,$C96*$J96,IF(EX96&gt;0,EX96*$K96,AY96*$J96))*IF(7=$R96,$S96,12)/12,6)+$B$4),AY96-$I96)))))</f>
        <v/>
      </c>
      <c r="BA96" s="68">
        <f>IF($U96=0,0,IF($F96=4,0,IF($F96=3,0,IF(OR(8&gt;$R96,AZ96&lt;=$I96),AZ96,AZ96-MIN(INT(ROUND(IF($F96=1,$C96*$J96,IF(EY96&gt;0,EY96*$K96,AZ96*$J96))*IF(8=$R96,$S96,12)/12,6)+$B$4),AZ96-$I96)))))</f>
        <v/>
      </c>
      <c r="BB96" s="68">
        <f>IF($U96=0,0,IF($F96=4,0,IF($F96=3,0,IF(OR(9&gt;$R96,BA96&lt;=$I96),BA96,BA96-MIN(INT(ROUND(IF($F96=1,$C96*$J96,IF(EZ96&gt;0,EZ96*$K96,BA96*$J96))*IF(9=$R96,$S96,12)/12,6)+$B$4),BA96-$I96)))))</f>
        <v/>
      </c>
      <c r="BC96" s="68">
        <f>IF($U96=0,0,IF($F96=4,0,IF($F96=3,0,IF(OR(10&gt;$R96,BB96&lt;=$I96),BB96,BB96-MIN(INT(ROUND(IF($F96=1,$C96*$J96,IF(FA96&gt;0,FA96*$K96,BB96*$J96))*IF(10=$R96,$S96,12)/12,6)+$B$4),BB96-$I96)))))</f>
        <v/>
      </c>
      <c r="BD96" s="68">
        <f>IF($U96=0,0,IF($F96=4,0,IF($F96=3,0,IF(OR(11&gt;$R96,BC96&lt;=$I96),BC96,BC96-MIN(INT(ROUND(IF($F96=1,$C96*$J96,IF(FB96&gt;0,FB96*$K96,BC96*$J96))*IF(11=$R96,$S96,12)/12,6)+$B$4),BC96-$I96)))))</f>
        <v/>
      </c>
      <c r="BE96" s="68">
        <f>IF($U96=0,0,IF($F96=4,0,IF($F96=3,0,IF(OR(12&gt;$R96,BD96&lt;=$I96),BD96,BD96-MIN(INT(ROUND(IF($F96=1,$C96*$J96,IF(FC96&gt;0,FC96*$K96,BD96*$J96))*IF(12=$R96,$S96,12)/12,6)+$B$4),BD96-$I96)))))</f>
        <v/>
      </c>
      <c r="BF96" s="68">
        <f>IF($U96=0,0,IF($F96=4,0,IF($F96=3,0,IF(OR(13&gt;$R96,BE96&lt;=$I96),BE96,BE96-MIN(INT(ROUND(IF($F96=1,$C96*$J96,IF(FD96&gt;0,FD96*$K96,BE96*$J96))*IF(13=$R96,$S96,12)/12,6)+$B$4),BE96-$I96)))))</f>
        <v/>
      </c>
      <c r="BG96" s="68">
        <f>IF($U96=0,0,IF($F96=4,0,IF($F96=3,0,IF(OR(14&gt;$R96,BF96&lt;=$I96),BF96,BF96-MIN(INT(ROUND(IF($F96=1,$C96*$J96,IF(FE96&gt;0,FE96*$K96,BF96*$J96))*IF(14=$R96,$S96,12)/12,6)+$B$4),BF96-$I96)))))</f>
        <v/>
      </c>
      <c r="BH96" s="68">
        <f>IF($U96=0,0,IF($F96=4,0,IF($F96=3,0,IF(OR(15&gt;$R96,BG96&lt;=$I96),BG96,BG96-MIN(INT(ROUND(IF($F96=1,$C96*$J96,IF(FF96&gt;0,FF96*$K96,BG96*$J96))*IF(15=$R96,$S96,12)/12,6)+$B$4),BG96-$I96)))))</f>
        <v/>
      </c>
      <c r="BI96" s="68">
        <f>IF($U96=0,0,IF($F96=4,0,IF($F96=3,0,IF(OR(16&gt;$R96,BH96&lt;=$I96),BH96,BH96-MIN(INT(ROUND(IF($F96=1,$C96*$J96,IF(FG96&gt;0,FG96*$K96,BH96*$J96))*IF(16=$R96,$S96,12)/12,6)+$B$4),BH96-$I96)))))</f>
        <v/>
      </c>
      <c r="BJ96" s="68">
        <f>IF($U96=0,0,IF($F96=4,0,IF($F96=3,0,IF(OR(17&gt;$R96,BI96&lt;=$I96),BI96,BI96-MIN(INT(ROUND(IF($F96=1,$C96*$J96,IF(FH96&gt;0,FH96*$K96,BI96*$J96))*IF(17=$R96,$S96,12)/12,6)+$B$4),BI96-$I96)))))</f>
        <v/>
      </c>
      <c r="BK96" s="68">
        <f>IF($U96=0,0,IF($F96=4,0,IF($F96=3,0,IF(OR(18&gt;$R96,BJ96&lt;=$I96),BJ96,BJ96-MIN(INT(ROUND(IF($F96=1,$C96*$J96,IF(FI96&gt;0,FI96*$K96,BJ96*$J96))*IF(18=$R96,$S96,12)/12,6)+$B$4),BJ96-$I96)))))</f>
        <v/>
      </c>
      <c r="BL96" s="68">
        <f>IF($U96=0,0,IF($F96=4,0,IF($F96=3,0,IF(OR(19&gt;$R96,BK96&lt;=$I96),BK96,BK96-MIN(INT(ROUND(IF($F96=1,$C96*$J96,IF(FJ96&gt;0,FJ96*$K96,BK96*$J96))*IF(19=$R96,$S96,12)/12,6)+$B$4),BK96-$I96)))))</f>
        <v/>
      </c>
      <c r="BM96" s="68">
        <f>IF($U96=0,0,IF($F96=4,0,IF($F96=3,0,IF(OR(20&gt;$R96,BL96&lt;=$I96),BL96,BL96-MIN(INT(ROUND(IF($F96=1,$C96*$J96,IF(FK96&gt;0,FK96*$K96,BL96*$J96))*IF(20=$R96,$S96,12)/12,6)+$B$4),BL96-$I96)))))</f>
        <v/>
      </c>
      <c r="BN96" s="68">
        <f>IF($U96=0,0,IF($F96=4,0,IF($F96=3,0,IF(OR(21&gt;$R96,BM96&lt;=$I96),BM96,BM96-MIN(INT(ROUND(IF($F96=1,$C96*$J96,IF(FL96&gt;0,FL96*$K96,BM96*$J96))*IF(21=$R96,$S96,12)/12,6)+$B$4),BM96-$I96)))))</f>
        <v/>
      </c>
      <c r="BO96" s="68">
        <f>IF($U96=0,0,IF($F96=4,0,IF($F96=3,0,IF(OR(22&gt;$R96,BN96&lt;=$I96),BN96,BN96-MIN(INT(ROUND(IF($F96=1,$C96*$J96,IF(FM96&gt;0,FM96*$K96,BN96*$J96))*IF(22=$R96,$S96,12)/12,6)+$B$4),BN96-$I96)))))</f>
        <v/>
      </c>
      <c r="BP96" s="68">
        <f>IF($U96=0,0,IF($F96=4,0,IF($F96=3,0,IF(OR(23&gt;$R96,BO96&lt;=$I96),BO96,BO96-MIN(INT(ROUND(IF($F96=1,$C96*$J96,IF(FN96&gt;0,FN96*$K96,BO96*$J96))*IF(23=$R96,$S96,12)/12,6)+$B$4),BO96-$I96)))))</f>
        <v/>
      </c>
      <c r="BQ96" s="68">
        <f>IF($U96=0,0,IF($F96=4,0,IF($F96=3,0,IF(OR(24&gt;$R96,BP96&lt;=$I96),BP96,BP96-MIN(INT(ROUND(IF($F96=1,$C96*$J96,IF(FO96&gt;0,FO96*$K96,BP96*$J96))*IF(24=$R96,$S96,12)/12,6)+$B$4),BP96-$I96)))))</f>
        <v/>
      </c>
      <c r="BR96" s="68">
        <f>IF($U96=0,0,IF($F96=4,0,IF($F96=3,0,IF(OR(25&gt;$R96,BQ96&lt;=$I96),BQ96,BQ96-MIN(INT(ROUND(IF($F96=1,$C96*$J96,IF(FP96&gt;0,FP96*$K96,BQ96*$J96))*IF(25=$R96,$S96,12)/12,6)+$B$4),BQ96-$I96)))))</f>
        <v/>
      </c>
      <c r="BS96" s="68">
        <f>IF($U96=0,0,IF($F96=4,0,IF($F96=3,0,IF(OR(26&gt;$R96,BR96&lt;=$I96),BR96,BR96-MIN(INT(ROUND(IF($F96=1,$C96*$J96,IF(FQ96&gt;0,FQ96*$K96,BR96*$J96))*IF(26=$R96,$S96,12)/12,6)+$B$4),BR96-$I96)))))</f>
        <v/>
      </c>
      <c r="BT96" s="68">
        <f>IF($U96=0,0,IF($F96=4,0,IF($F96=3,0,IF(OR(27&gt;$R96,BS96&lt;=$I96),BS96,BS96-MIN(INT(ROUND(IF($F96=1,$C96*$J96,IF(FR96&gt;0,FR96*$K96,BS96*$J96))*IF(27=$R96,$S96,12)/12,6)+$B$4),BS96-$I96)))))</f>
        <v/>
      </c>
      <c r="BU96" s="68">
        <f>IF($U96=0,0,IF($F96=4,0,IF($F96=3,0,IF(OR(28&gt;$R96,BT96&lt;=$I96),BT96,BT96-MIN(INT(ROUND(IF($F96=1,$C96*$J96,IF(FS96&gt;0,FS96*$K96,BT96*$J96))*IF(28=$R96,$S96,12)/12,6)+$B$4),BT96-$I96)))))</f>
        <v/>
      </c>
      <c r="BV96" s="68">
        <f>IF($U96=0,0,IF($F96=4,0,IF($F96=3,0,IF(OR(29&gt;$R96,BU96&lt;=$I96),BU96,BU96-MIN(INT(ROUND(IF($F96=1,$C96*$J96,IF(FT96&gt;0,FT96*$K96,BU96*$J96))*IF(29=$R96,$S96,12)/12,6)+$B$4),BU96-$I96)))))</f>
        <v/>
      </c>
      <c r="BW96" s="68">
        <f>IF($U96=0,0,IF($F96=4,0,IF($F96=3,0,IF(OR(30&gt;$R96,BV96&lt;=$I96),BV96,BV96-MIN(INT(ROUND(IF($F96=1,$C96*$J96,IF(FU96&gt;0,FU96*$K96,BV96*$J96))*IF(30=$R96,$S96,12)/12,6)+$B$4),BV96-$I96)))))</f>
        <v/>
      </c>
      <c r="BX96" s="68">
        <f>IF($U96=0,0,IF($F96=4,0,IF($F96=3,0,IF(OR(31&gt;$R96,BW96&lt;=$I96),BW96,BW96-MIN(INT(ROUND(IF($F96=1,$C96*$J96,IF(FV96&gt;0,FV96*$K96,BW96*$J96))*IF(31=$R96,$S96,12)/12,6)+$B$4),BW96-$I96)))))</f>
        <v/>
      </c>
      <c r="BY96" s="68">
        <f>IF($U96=0,0,IF($F96=4,0,IF($F96=3,0,IF(OR(32&gt;$R96,BX96&lt;=$I96),BX96,BX96-MIN(INT(ROUND(IF($F96=1,$C96*$J96,IF(FW96&gt;0,FW96*$K96,BX96*$J96))*IF(32=$R96,$S96,12)/12,6)+$B$4),BX96-$I96)))))</f>
        <v/>
      </c>
      <c r="BZ96" s="68">
        <f>IF($U96=0,0,IF($F96=4,0,IF($F96=3,0,IF(OR(33&gt;$R96,BY96&lt;=$I96),BY96,BY96-MIN(INT(ROUND(IF($F96=1,$C96*$J96,IF(FX96&gt;0,FX96*$K96,BY96*$J96))*IF(33=$R96,$S96,12)/12,6)+$B$4),BY96-$I96)))))</f>
        <v/>
      </c>
      <c r="CA96" s="68">
        <f>IF($U96=0,0,IF($F96=4,0,IF($F96=3,0,IF(OR(34&gt;$R96,BZ96&lt;=$I96),BZ96,BZ96-MIN(INT(ROUND(IF($F96=1,$C96*$J96,IF(FY96&gt;0,FY96*$K96,BZ96*$J96))*IF(34=$R96,$S96,12)/12,6)+$B$4),BZ96-$I96)))))</f>
        <v/>
      </c>
      <c r="CB96" s="68">
        <f>IF($U96=0,0,IF($F96=4,0,IF($F96=3,0,IF(OR(35&gt;$R96,CA96&lt;=$I96),CA96,CA96-MIN(INT(ROUND(IF($F96=1,$C96*$J96,IF(FZ96&gt;0,FZ96*$K96,CA96*$J96))*IF(35=$R96,$S96,12)/12,6)+$B$4),CA96-$I96)))))</f>
        <v/>
      </c>
      <c r="CC96" s="68">
        <f>IF($U96=0,0,IF($F96=4,0,IF($F96=3,0,IF(OR(36&gt;$R96,CB96&lt;=$I96),CB96,CB96-MIN(INT(ROUND(IF($F96=1,$C96*$J96,IF(GA96&gt;0,GA96*$K96,CB96*$J96))*IF(36=$R96,$S96,12)/12,6)+$B$4),CB96-$I96)))))</f>
        <v/>
      </c>
      <c r="CD96" s="68">
        <f>IF($U96=0,0,IF($F96=4,0,IF($F96=3,0,IF(OR(37&gt;$R96,CC96&lt;=$I96),CC96,CC96-MIN(INT(ROUND(IF($F96=1,$C96*$J96,IF(GB96&gt;0,GB96*$K96,CC96*$J96))*IF(37=$R96,$S96,12)/12,6)+$B$4),CC96-$I96)))))</f>
        <v/>
      </c>
      <c r="CE96" s="68">
        <f>IF($U96=0,0,IF($F96=4,0,IF($F96=3,0,IF(OR(38&gt;$R96,CD96&lt;=$I96),CD96,CD96-MIN(INT(ROUND(IF($F96=1,$C96*$J96,IF(GC96&gt;0,GC96*$K96,CD96*$J96))*IF(38=$R96,$S96,12)/12,6)+$B$4),CD96-$I96)))))</f>
        <v/>
      </c>
      <c r="CF96" s="68">
        <f>IF($U96=0,0,IF($F96=4,0,IF($F96=3,0,IF(OR(39&gt;$R96,CE96&lt;=$I96),CE96,CE96-MIN(INT(ROUND(IF($F96=1,$C96*$J96,IF(GD96&gt;0,GD96*$K96,CE96*$J96))*IF(39=$R96,$S96,12)/12,6)+$B$4),CE96-$I96)))))</f>
        <v/>
      </c>
      <c r="CG96" s="68">
        <f>IF($U96=0,0,IF($F96=4,0,IF($F96=3,0,IF(OR(40&gt;$R96,CF96&lt;=$I96),CF96,CF96-MIN(INT(ROUND(IF($F96=1,$C96*$J96,IF(GE96&gt;0,GE96*$K96,CF96*$J96))*IF(40=$R96,$S96,12)/12,6)+$B$4),CF96-$I96)))))</f>
        <v/>
      </c>
      <c r="CH96" s="68">
        <f>IF($U96=0,0,IF($F96=4,0,IF($F96=3,0,IF(OR(41&gt;$R96,CG96&lt;=$I96),CG96,CG96-MIN(INT(ROUND(IF($F96=1,$C96*$J96,IF(GF96&gt;0,GF96*$K96,CG96*$J96))*IF(41=$R96,$S96,12)/12,6)+$B$4),CG96-$I96)))))</f>
        <v/>
      </c>
      <c r="CI96" s="68">
        <f>IF($U96=0,0,IF($F96=4,0,IF($F96=3,0,IF(OR(42&gt;$R96,CH96&lt;=$I96),CH96,CH96-MIN(INT(ROUND(IF($F96=1,$C96*$J96,IF(GG96&gt;0,GG96*$K96,CH96*$J96))*IF(42=$R96,$S96,12)/12,6)+$B$4),CH96-$I96)))))</f>
        <v/>
      </c>
      <c r="CJ96" s="68">
        <f>IF($U96=0,0,IF($F96=4,0,IF($F96=3,0,IF(OR(43&gt;$R96,CI96&lt;=$I96),CI96,CI96-MIN(INT(ROUND(IF($F96=1,$C96*$J96,IF(GH96&gt;0,GH96*$K96,CI96*$J96))*IF(43=$R96,$S96,12)/12,6)+$B$4),CI96-$I96)))))</f>
        <v/>
      </c>
      <c r="CK96" s="68">
        <f>IF($U96=0,0,IF($F96=4,0,IF($F96=3,0,IF(OR(44&gt;$R96,CJ96&lt;=$I96),CJ96,CJ96-MIN(INT(ROUND(IF($F96=1,$C96*$J96,IF(GI96&gt;0,GI96*$K96,CJ96*$J96))*IF(44=$R96,$S96,12)/12,6)+$B$4),CJ96-$I96)))))</f>
        <v/>
      </c>
      <c r="CL96" s="68">
        <f>IF($U96=0,0,IF($F96=4,0,IF($F96=3,0,IF(OR(45&gt;$R96,CK96&lt;=$I96),CK96,CK96-MIN(INT(ROUND(IF($F96=1,$C96*$J96,IF(GJ96&gt;0,GJ96*$K96,CK96*$J96))*IF(45=$R96,$S96,12)/12,6)+$B$4),CK96-$I96)))))</f>
        <v/>
      </c>
      <c r="CM96" s="68">
        <f>IF($U96=0,0,IF($F96=4,0,IF($F96=3,0,IF(OR(46&gt;$R96,CL96&lt;=$I96),CL96,CL96-MIN(INT(ROUND(IF($F96=1,$C96*$J96,IF(GK96&gt;0,GK96*$K96,CL96*$J96))*IF(46=$R96,$S96,12)/12,6)+$B$4),CL96-$I96)))))</f>
        <v/>
      </c>
      <c r="CN96" s="68">
        <f>IF($U96=0,0,IF($F96=4,0,IF($F96=3,0,IF(OR(47&gt;$R96,CM96&lt;=$I96),CM96,CM96-MIN(INT(ROUND(IF($F96=1,$C96*$J96,IF(GL96&gt;0,GL96*$K96,CM96*$J96))*IF(47=$R96,$S96,12)/12,6)+$B$4),CM96-$I96)))))</f>
        <v/>
      </c>
      <c r="CO96" s="68">
        <f>IF($U96=0,0,IF($F96=4,0,IF($F96=3,0,IF(OR(48&gt;$R96,CN96&lt;=$I96),CN96,CN96-MIN(INT(ROUND(IF($F96=1,$C96*$J96,IF(GM96&gt;0,GM96*$K96,CN96*$J96))*IF(48=$R96,$S96,12)/12,6)+$B$4),CN96-$I96)))))</f>
        <v/>
      </c>
      <c r="CP96" s="68">
        <f>IF($U96=0,0,IF($F96=4,0,IF($F96=3,0,IF(OR(49&gt;$R96,CO96&lt;=$I96),CO96,CO96-MIN(INT(ROUND(IF($F96=1,$C96*$J96,IF(GN96&gt;0,GN96*$K96,CO96*$J96))*IF(49=$R96,$S96,12)/12,6)+$B$4),CO96-$I96)))))</f>
        <v/>
      </c>
      <c r="CQ96" s="68">
        <f>IF($U96=0,0,IF($F96=4,0,IF($F96=3,0,IF(OR(50&gt;$R96,CP96&lt;=$I96),CP96,CP96-MIN(INT(ROUND(IF($F96=1,$C96*$J96,IF(GO96&gt;0,GO96*$K96,CP96*$J96))*IF(50=$R96,$S96,12)/12,6)+$B$4),CP96-$I96)))))</f>
        <v/>
      </c>
      <c r="CR96" s="68">
        <f>IF($U96=0,0,IF($F96=4,0,IF($F96=3,0,IF(OR(51&gt;$R96,CQ96&lt;=$I96),CQ96,CQ96-MIN(INT(ROUND(IF($F96=1,$C96*$J96,IF(GP96&gt;0,GP96*$K96,CQ96*$J96))*IF(51=$R96,$S96,12)/12,6)+$B$4),CQ96-$I96)))))</f>
        <v/>
      </c>
      <c r="CS96" s="68">
        <f>IF($U96=0,0,IF($F96=4,0,IF($F96=3,0,IF(OR(52&gt;$R96,CR96&lt;=$I96),CR96,CR96-MIN(INT(ROUND(IF($F96=1,$C96*$J96,IF(GQ96&gt;0,GQ96*$K96,CR96*$J96))*IF(52=$R96,$S96,12)/12,6)+$B$4),CR96-$I96)))))</f>
        <v/>
      </c>
      <c r="CT96" s="68">
        <f>IF($U96=0,0,IF($F96=4,0,IF($F96=3,0,IF(OR(53&gt;$R96,CS96&lt;=$I96),CS96,CS96-MIN(INT(ROUND(IF($F96=1,$C96*$J96,IF(GR96&gt;0,GR96*$K96,CS96*$J96))*IF(53=$R96,$S96,12)/12,6)+$B$4),CS96-$I96)))))</f>
        <v/>
      </c>
      <c r="CU96" s="68">
        <f>IF($U96=0,0,IF($F96=4,0,IF($F96=3,0,IF(OR(54&gt;$R96,CT96&lt;=$I96),CT96,CT96-MIN(INT(ROUND(IF($F96=1,$C96*$J96,IF(GS96&gt;0,GS96*$K96,CT96*$J96))*IF(54=$R96,$S96,12)/12,6)+$B$4),CT96-$I96)))))</f>
        <v/>
      </c>
      <c r="CV96" s="68">
        <f>IF($U96=0,0,IF($F96=4,0,IF($F96=3,0,IF(OR(55&gt;$R96,CU96&lt;=$I96),CU96,CU96-MIN(INT(ROUND(IF($F96=1,$C96*$J96,IF(GT96&gt;0,GT96*$K96,CU96*$J96))*IF(55=$R96,$S96,12)/12,6)+$B$4),CU96-$I96)))))</f>
        <v/>
      </c>
      <c r="CW96" s="68">
        <f>IF($U96=0,0,IF($F96=4,0,IF($F96=3,0,IF(OR(56&gt;$R96,CV96&lt;=$I96),CV96,CV96-MIN(INT(ROUND(IF($F96=1,$C96*$J96,IF(GU96&gt;0,GU96*$K96,CV96*$J96))*IF(56=$R96,$S96,12)/12,6)+$B$4),CV96-$I96)))))</f>
        <v/>
      </c>
      <c r="CX96" s="68">
        <f>IF($U96=0,0,IF($F96=4,0,IF($F96=3,0,IF(OR(57&gt;$R96,CW96&lt;=$I96),CW96,CW96-MIN(INT(ROUND(IF($F96=1,$C96*$J96,IF(GV96&gt;0,GV96*$K96,CW96*$J96))*IF(57=$R96,$S96,12)/12,6)+$B$4),CW96-$I96)))))</f>
        <v/>
      </c>
      <c r="CY96" s="68">
        <f>IF($U96=0,0,IF($F96=4,0,IF($F96=3,0,IF(OR(58&gt;$R96,CX96&lt;=$I96),CX96,CX96-MIN(INT(ROUND(IF($F96=1,$C96*$J96,IF(GW96&gt;0,GW96*$K96,CX96*$J96))*IF(58=$R96,$S96,12)/12,6)+$B$4),CX96-$I96)))))</f>
        <v/>
      </c>
      <c r="CZ96" s="68">
        <f>IF($U96=0,0,IF($F96=4,0,IF($F96=3,0,IF(OR(59&gt;$R96,CY96&lt;=$I96),CY96,CY96-MIN(INT(ROUND(IF($F96=1,$C96*$J96,IF(GX96&gt;0,GX96*$K96,CY96*$J96))*IF(59=$R96,$S96,12)/12,6)+$B$4),CY96-$I96)))))</f>
        <v/>
      </c>
      <c r="DA96" s="68">
        <f>IF($U96=0,0,IF($F96=4,0,IF($F96=3,0,IF(OR(60&gt;$R96,CZ96&lt;=$I96),CZ96,CZ96-MIN(INT(ROUND(IF($F96=1,$C96*$J96,IF(GY96&gt;0,GY96*$K96,CZ96*$J96))*IF(60=$R96,$S96,12)/12,6)+$B$4),CZ96-$I96)))))</f>
        <v/>
      </c>
      <c r="DB96" s="68">
        <f>IF($U96=0,0,IF($F96=4,0,IF($F96=3,0,IF(OR(61&gt;$R96,DA96&lt;=$I96),DA96,DA96-MIN(INT(ROUND(IF($F96=1,$C96*$J96,IF(GZ96&gt;0,GZ96*$K96,DA96*$J96))*IF(61=$R96,$S96,12)/12,6)+$B$4),DA96-$I96)))))</f>
        <v/>
      </c>
      <c r="DC96" s="68">
        <f>IF($U96=0,0,IF($F96=4,0,IF($F96=3,0,IF(OR(62&gt;$R96,DB96&lt;=$I96),DB96,DB96-MIN(INT(ROUND(IF($F96=1,$C96*$J96,IF(HA96&gt;0,HA96*$K96,DB96*$J96))*IF(62=$R96,$S96,12)/12,6)+$B$4),DB96-$I96)))))</f>
        <v/>
      </c>
      <c r="DD96" s="68">
        <f>IF($U96=0,0,IF($F96=4,0,IF($F96=3,0,IF(OR(63&gt;$R96,DC96&lt;=$I96),DC96,DC96-MIN(INT(ROUND(IF($F96=1,$C96*$J96,IF(HB96&gt;0,HB96*$K96,DC96*$J96))*IF(63=$R96,$S96,12)/12,6)+$B$4),DC96-$I96)))))</f>
        <v/>
      </c>
      <c r="DE96" s="68">
        <f>IF($U96=0,0,IF($F96=4,0,IF($F96=3,0,IF(OR(64&gt;$R96,DD96&lt;=$I96),DD96,DD96-MIN(INT(ROUND(IF($F96=1,$C96*$J96,IF(HC96&gt;0,HC96*$K96,DD96*$J96))*IF(64=$R96,$S96,12)/12,6)+$B$4),DD96-$I96)))))</f>
        <v/>
      </c>
      <c r="DF96" s="68">
        <f>IF($U96=0,0,IF($F96=4,0,IF($F96=3,0,IF(OR(65&gt;$R96,DE96&lt;=$I96),DE96,DE96-MIN(INT(ROUND(IF($F96=1,$C96*$J96,IF(HD96&gt;0,HD96*$K96,DE96*$J96))*IF(65=$R96,$S96,12)/12,6)+$B$4),DE96-$I96)))))</f>
        <v/>
      </c>
      <c r="DG96" s="68">
        <f>IF($U96=0,0,IF($F96=4,0,IF($F96=3,0,IF(OR(66&gt;$R96,DF96&lt;=$I96),DF96,DF96-MIN(INT(ROUND(IF($F96=1,$C96*$J96,IF(HE96&gt;0,HE96*$K96,DF96*$J96))*IF(66=$R96,$S96,12)/12,6)+$B$4),DF96-$I96)))))</f>
        <v/>
      </c>
      <c r="DH96" s="68">
        <f>IF($U96=0,0,IF($F96=4,0,IF($F96=3,0,IF(OR(67&gt;$R96,DG96&lt;=$I96),DG96,DG96-MIN(INT(ROUND(IF($F96=1,$C96*$J96,IF(HF96&gt;0,HF96*$K96,DG96*$J96))*IF(67=$R96,$S96,12)/12,6)+$B$4),DG96-$I96)))))</f>
        <v/>
      </c>
      <c r="DI96" s="68">
        <f>IF($U96=0,0,IF($F96=4,0,IF($F96=3,0,IF(OR(68&gt;$R96,DH96&lt;=$I96),DH96,DH96-MIN(INT(ROUND(IF($F96=1,$C96*$J96,IF(HG96&gt;0,HG96*$K96,DH96*$J96))*IF(68=$R96,$S96,12)/12,6)+$B$4),DH96-$I96)))))</f>
        <v/>
      </c>
      <c r="DJ96" s="68">
        <f>IF($U96=0,0,IF($F96=4,0,IF($F96=3,0,IF(OR(69&gt;$R96,DI96&lt;=$I96),DI96,DI96-MIN(INT(ROUND(IF($F96=1,$C96*$J96,IF(HH96&gt;0,HH96*$K96,DI96*$J96))*IF(69=$R96,$S96,12)/12,6)+$B$4),DI96-$I96)))))</f>
        <v/>
      </c>
      <c r="DK96" s="68">
        <f>IF($U96=0,0,IF($F96=4,0,IF($F96=3,0,IF(OR(70&gt;$R96,DJ96&lt;=$I96),DJ96,DJ96-MIN(INT(ROUND(IF($F96=1,$C96*$J96,IF(HI96&gt;0,HI96*$K96,DJ96*$J96))*IF(70=$R96,$S96,12)/12,6)+$B$4),DJ96-$I96)))))</f>
        <v/>
      </c>
      <c r="DL96" s="68">
        <f>IF($U96=0,0,IF($F96=4,0,IF($F96=3,0,IF(OR(71&gt;$R96,DK96&lt;=$I96),DK96,DK96-MIN(INT(ROUND(IF($F96=1,$C96*$J96,IF(HJ96&gt;0,HJ96*$K96,DK96*$J96))*IF(71=$R96,$S96,12)/12,6)+$B$4),DK96-$I96)))))</f>
        <v/>
      </c>
      <c r="DM96" s="68">
        <f>IF($U96=0,0,IF($F96=4,0,IF($F96=3,0,IF(OR(72&gt;$R96,DL96&lt;=$I96),DL96,DL96-MIN(INT(ROUND(IF($F96=1,$C96*$J96,IF(HK96&gt;0,HK96*$K96,DL96*$J96))*IF(72=$R96,$S96,12)/12,6)+$B$4),DL96-$I96)))))</f>
        <v/>
      </c>
      <c r="DN96" s="68">
        <f>IF($U96=0,0,IF($F96=4,0,IF($F96=3,0,IF(OR(73&gt;$R96,DM96&lt;=$I96),DM96,DM96-MIN(INT(ROUND(IF($F96=1,$C96*$J96,IF(HL96&gt;0,HL96*$K96,DM96*$J96))*IF(73=$R96,$S96,12)/12,6)+$B$4),DM96-$I96)))))</f>
        <v/>
      </c>
      <c r="DO96" s="68">
        <f>IF($U96=0,0,IF($F96=4,0,IF($F96=3,0,IF(OR(74&gt;$R96,DN96&lt;=$I96),DN96,DN96-MIN(INT(ROUND(IF($F96=1,$C96*$J96,IF(HM96&gt;0,HM96*$K96,DN96*$J96))*IF(74=$R96,$S96,12)/12,6)+$B$4),DN96-$I96)))))</f>
        <v/>
      </c>
      <c r="DP96" s="68">
        <f>IF($U96=0,0,IF($F96=4,0,IF($F96=3,0,IF(OR(75&gt;$R96,DO96&lt;=$I96),DO96,DO96-MIN(INT(ROUND(IF($F96=1,$C96*$J96,IF(HN96&gt;0,HN96*$K96,DO96*$J96))*IF(75=$R96,$S96,12)/12,6)+$B$4),DO96-$I96)))))</f>
        <v/>
      </c>
      <c r="DQ96" s="68">
        <f>IF($U96=0,0,IF($F96=4,0,IF($F96=3,0,IF(OR(76&gt;$R96,DP96&lt;=$I96),DP96,DP96-MIN(INT(ROUND(IF($F96=1,$C96*$J96,IF(HO96&gt;0,HO96*$K96,DP96*$J96))*IF(76=$R96,$S96,12)/12,6)+$B$4),DP96-$I96)))))</f>
        <v/>
      </c>
      <c r="DR96" s="68">
        <f>IF($U96=0,0,IF($F96=4,0,IF($F96=3,0,IF(OR(77&gt;$R96,DQ96&lt;=$I96),DQ96,DQ96-MIN(INT(ROUND(IF($F96=1,$C96*$J96,IF(HP96&gt;0,HP96*$K96,DQ96*$J96))*IF(77=$R96,$S96,12)/12,6)+$B$4),DQ96-$I96)))))</f>
        <v/>
      </c>
      <c r="DS96" s="68">
        <f>IF($U96=0,0,IF($F96=4,0,IF($F96=3,0,IF(OR(78&gt;$R96,DR96&lt;=$I96),DR96,DR96-MIN(INT(ROUND(IF($F96=1,$C96*$J96,IF(HQ96&gt;0,HQ96*$K96,DR96*$J96))*IF(78=$R96,$S96,12)/12,6)+$B$4),DR96-$I96)))))</f>
        <v/>
      </c>
      <c r="DT96" s="68">
        <f>IF($U96=0,0,IF($F96=4,0,IF($F96=3,0,IF(OR(79&gt;$R96,DS96&lt;=$I96),DS96,DS96-MIN(INT(ROUND(IF($F96=1,$C96*$J96,IF(HR96&gt;0,HR96*$K96,DS96*$J96))*IF(79=$R96,$S96,12)/12,6)+$B$4),DS96-$I96)))))</f>
        <v/>
      </c>
      <c r="DU96" s="68">
        <f>IF($U96=0,0,IF($F96=4,0,IF($F96=3,0,IF(OR(80&gt;$R96,DT96&lt;=$I96),DT96,DT96-MIN(INT(ROUND(IF($F96=1,$C96*$J96,IF(HS96&gt;0,HS96*$K96,DT96*$J96))*IF(80=$R96,$S96,12)/12,6)+$B$4),DT96-$I96)))))</f>
        <v/>
      </c>
      <c r="DV96" s="68">
        <f>IF($U96=0,0,IF($F96=4,0,IF($F96=3,0,IF(OR(81&gt;$R96,DU96&lt;=$I96),DU96,DU96-MIN(INT(ROUND(IF($F96=1,$C96*$J96,IF(HT96&gt;0,HT96*$K96,DU96*$J96))*IF(81=$R96,$S96,12)/12,6)+$B$4),DU96-$I96)))))</f>
        <v/>
      </c>
      <c r="DW96" s="68">
        <f>IF($U96=0,0,IF($F96=4,0,IF($F96=3,0,IF(OR(82&gt;$R96,DV96&lt;=$I96),DV96,DV96-MIN(INT(ROUND(IF($F96=1,$C96*$J96,IF(HU96&gt;0,HU96*$K96,DV96*$J96))*IF(82=$R96,$S96,12)/12,6)+$B$4),DV96-$I96)))))</f>
        <v/>
      </c>
      <c r="DX96" s="68">
        <f>IF($U96=0,0,IF($F96=4,0,IF($F96=3,0,IF(OR(83&gt;$R96,DW96&lt;=$I96),DW96,DW96-MIN(INT(ROUND(IF($F96=1,$C96*$J96,IF(HV96&gt;0,HV96*$K96,DW96*$J96))*IF(83=$R96,$S96,12)/12,6)+$B$4),DW96-$I96)))))</f>
        <v/>
      </c>
      <c r="DY96" s="68">
        <f>IF($U96=0,0,IF($F96=4,0,IF($F96=3,0,IF(OR(84&gt;$R96,DX96&lt;=$I96),DX96,DX96-MIN(INT(ROUND(IF($F96=1,$C96*$J96,IF(HW96&gt;0,HW96*$K96,DX96*$J96))*IF(84=$R96,$S96,12)/12,6)+$B$4),DX96-$I96)))))</f>
        <v/>
      </c>
      <c r="DZ96" s="68">
        <f>IF($U96=0,0,IF($F96=4,0,IF($F96=3,0,IF(OR(85&gt;$R96,DY96&lt;=$I96),DY96,DY96-MIN(INT(ROUND(IF($F96=1,$C96*$J96,IF(HX96&gt;0,HX96*$K96,DY96*$J96))*IF(85=$R96,$S96,12)/12,6)+$B$4),DY96-$I96)))))</f>
        <v/>
      </c>
      <c r="EA96" s="68">
        <f>IF($U96=0,0,IF($F96=4,0,IF($F96=3,0,IF(OR(86&gt;$R96,DZ96&lt;=$I96),DZ96,DZ96-MIN(INT(ROUND(IF($F96=1,$C96*$J96,IF(HY96&gt;0,HY96*$K96,DZ96*$J96))*IF(86=$R96,$S96,12)/12,6)+$B$4),DZ96-$I96)))))</f>
        <v/>
      </c>
      <c r="EB96" s="68">
        <f>IF($U96=0,0,IF($F96=4,0,IF($F96=3,0,IF(OR(87&gt;$R96,EA96&lt;=$I96),EA96,EA96-MIN(INT(ROUND(IF($F96=1,$C96*$J96,IF(HZ96&gt;0,HZ96*$K96,EA96*$J96))*IF(87=$R96,$S96,12)/12,6)+$B$4),EA96-$I96)))))</f>
        <v/>
      </c>
      <c r="EC96" s="68">
        <f>IF($U96=0,0,IF($F96=4,0,IF($F96=3,0,IF(OR(88&gt;$R96,EB96&lt;=$I96),EB96,EB96-MIN(INT(ROUND(IF($F96=1,$C96*$J96,IF(IA96&gt;0,IA96*$K96,EB96*$J96))*IF(88=$R96,$S96,12)/12,6)+$B$4),EB96-$I96)))))</f>
        <v/>
      </c>
      <c r="ED96" s="68">
        <f>IF($U96=0,0,IF($F96=4,0,IF($F96=3,0,IF(OR(89&gt;$R96,EC96&lt;=$I96),EC96,EC96-MIN(INT(ROUND(IF($F96=1,$C96*$J96,IF(IB96&gt;0,IB96*$K96,EC96*$J96))*IF(89=$R96,$S96,12)/12,6)+$B$4),EC96-$I96)))))</f>
        <v/>
      </c>
      <c r="EE96" s="68">
        <f>IF($U96=0,0,IF($F96=4,0,IF($F96=3,0,IF(OR(90&gt;$R96,ED96&lt;=$I96),ED96,ED96-MIN(INT(ROUND(IF($F96=1,$C96*$J96,IF(IC96&gt;0,IC96*$K96,ED96*$J96))*IF(90=$R96,$S96,12)/12,6)+$B$4),ED96-$I96)))))</f>
        <v/>
      </c>
      <c r="EF96" s="68">
        <f>IF($U96=0,0,IF($F96=4,0,IF($F96=3,0,IF(OR(91&gt;$R96,EE96&lt;=$I96),EE96,EE96-MIN(INT(ROUND(IF($F96=1,$C96*$J96,IF(ID96&gt;0,ID96*$K96,EE96*$J96))*IF(91=$R96,$S96,12)/12,6)+$B$4),EE96-$I96)))))</f>
        <v/>
      </c>
      <c r="EG96" s="68">
        <f>IF($U96=0,0,IF($F96=4,0,IF($F96=3,0,IF(OR(92&gt;$R96,EF96&lt;=$I96),EF96,EF96-MIN(INT(ROUND(IF($F96=1,$C96*$J96,IF(IE96&gt;0,IE96*$K96,EF96*$J96))*IF(92=$R96,$S96,12)/12,6)+$B$4),EF96-$I96)))))</f>
        <v/>
      </c>
      <c r="EH96" s="68">
        <f>IF($U96=0,0,IF($F96=4,0,IF($F96=3,0,IF(OR(93&gt;$R96,EG96&lt;=$I96),EG96,EG96-MIN(INT(ROUND(IF($F96=1,$C96*$J96,IF(IF96&gt;0,IF96*$K96,EG96*$J96))*IF(93=$R96,$S96,12)/12,6)+$B$4),EG96-$I96)))))</f>
        <v/>
      </c>
      <c r="EI96" s="68">
        <f>IF($U96=0,0,IF($F96=4,0,IF($F96=3,0,IF(OR(94&gt;$R96,EH96&lt;=$I96),EH96,EH96-MIN(INT(ROUND(IF($F96=1,$C96*$J96,IF(IG96&gt;0,IG96*$K96,EH96*$J96))*IF(94=$R96,$S96,12)/12,6)+$B$4),EH96-$I96)))))</f>
        <v/>
      </c>
      <c r="EJ96" s="68">
        <f>IF($U96=0,0,IF($F96=4,0,IF($F96=3,0,IF(OR(95&gt;$R96,EI96&lt;=$I96),EI96,EI96-MIN(INT(ROUND(IF($F96=1,$C96*$J96,IF(IH96&gt;0,IH96*$K96,EI96*$J96))*IF(95=$R96,$S96,12)/12,6)+$B$4),EI96-$I96)))))</f>
        <v/>
      </c>
      <c r="EK96" s="68">
        <f>IF($U96=0,0,IF($F96=4,0,IF($F96=3,0,IF(OR(96&gt;$R96,EJ96&lt;=$I96),EJ96,EJ96-MIN(INT(ROUND(IF($F96=1,$C96*$J96,IF(II96&gt;0,II96*$K96,EJ96*$J96))*IF(96=$R96,$S96,12)/12,6)+$B$4),EJ96-$I96)))))</f>
        <v/>
      </c>
      <c r="EL96" s="68">
        <f>IF($U96=0,0,IF($F96=4,0,IF($F96=3,0,IF(OR(97&gt;$R96,EK96&lt;=$I96),EK96,EK96-MIN(INT(ROUND(IF($F96=1,$C96*$J96,IF(IJ96&gt;0,IJ96*$K96,EK96*$J96))*IF(97=$R96,$S96,12)/12,6)+$B$4),EK96-$I96)))))</f>
        <v/>
      </c>
      <c r="EM96" s="68">
        <f>IF($U96=0,0,IF($F96=4,0,IF($F96=3,0,IF(OR(98&gt;$R96,EL96&lt;=$I96),EL96,EL96-MIN(INT(ROUND(IF($F96=1,$C96*$J96,IF(IK96&gt;0,IK96*$K96,EL96*$J96))*IF(98=$R96,$S96,12)/12,6)+$B$4),EL96-$I96)))))</f>
        <v/>
      </c>
      <c r="EN96" s="68">
        <f>IF($U96=0,0,IF($F96=4,0,IF($F96=3,0,IF(OR(99&gt;$R96,EM96&lt;=$I96),EM96,EM96-MIN(INT(ROUND(IF($F96=1,$C96*$J96,IF(IL96&gt;0,IL96*$K96,EM96*$J96))*IF(99=$R96,$S96,12)/12,6)+$B$4),EM96-$I96)))))</f>
        <v/>
      </c>
      <c r="EO96" s="68">
        <f>IF($U96=0,0,IF($F96=4,0,IF($F96=3,0,IF(OR(100&gt;$R96,EN96&lt;=$I96),EN96,EN96-MIN(INT(ROUND(IF($F96=1,$C96*$J96,IF(IM96&gt;0,IM96*$K96,EN96*$J96))*IF(100=$R96,$S96,12)/12,6)+$B$4),EN96-$I96)))))</f>
        <v/>
      </c>
      <c r="EP96" s="68">
        <f>IF($U96=0,0,IF($F96=4,0,IF($F96=3,0,IF(OR(101&gt;$R96,EO96&lt;=$I96),EO96,EO96-MIN(INT(ROUND(IF($F96=1,$C96*$J96,IF(IN96&gt;0,IN96*$K96,EO96*$J96))*IF(101=$R96,$S96,12)/12,6)+$B$4),EO96-$I96)))))</f>
        <v/>
      </c>
      <c r="EQ96" s="68" t="n"/>
      <c r="ER96" s="68">
        <f>IF(OR($U96=0,$F96&lt;&gt;2),0,IF(ROUND(AS96*$J96,6)&lt;ROUND($M96,6),AS96,0))</f>
        <v/>
      </c>
      <c r="ES96" s="68">
        <f>IF(OR($U96=0,$F96&lt;&gt;2),0,IF(ER96&gt;0,ER96,IF(ROUND(AT96*$J96,6)&lt;ROUND($M96,6),AT96,0)))</f>
        <v/>
      </c>
      <c r="ET96" s="68">
        <f>IF(OR($U96=0,$F96&lt;&gt;2),0,IF(ES96&gt;0,ES96,IF(ROUND(AU96*$J96,6)&lt;ROUND($M96,6),AU96,0)))</f>
        <v/>
      </c>
      <c r="EU96" s="68">
        <f>IF(OR($U96=0,$F96&lt;&gt;2),0,IF(ET96&gt;0,ET96,IF(ROUND(AV96*$J96,6)&lt;ROUND($M96,6),AV96,0)))</f>
        <v/>
      </c>
      <c r="EV96" s="68">
        <f>IF(OR($U96=0,$F96&lt;&gt;2),0,IF(EU96&gt;0,EU96,IF(ROUND(AW96*$J96,6)&lt;ROUND($M96,6),AW96,0)))</f>
        <v/>
      </c>
      <c r="EW96" s="68">
        <f>IF(OR($U96=0,$F96&lt;&gt;2),0,IF(EV96&gt;0,EV96,IF(ROUND(AX96*$J96,6)&lt;ROUND($M96,6),AX96,0)))</f>
        <v/>
      </c>
      <c r="EX96" s="68">
        <f>IF(OR($U96=0,$F96&lt;&gt;2),0,IF(EW96&gt;0,EW96,IF(ROUND(AY96*$J96,6)&lt;ROUND($M96,6),AY96,0)))</f>
        <v/>
      </c>
      <c r="EY96" s="68">
        <f>IF(OR($U96=0,$F96&lt;&gt;2),0,IF(EX96&gt;0,EX96,IF(ROUND(AZ96*$J96,6)&lt;ROUND($M96,6),AZ96,0)))</f>
        <v/>
      </c>
      <c r="EZ96" s="68">
        <f>IF(OR($U96=0,$F96&lt;&gt;2),0,IF(EY96&gt;0,EY96,IF(ROUND(BA96*$J96,6)&lt;ROUND($M96,6),BA96,0)))</f>
        <v/>
      </c>
      <c r="FA96" s="68">
        <f>IF(OR($U96=0,$F96&lt;&gt;2),0,IF(EZ96&gt;0,EZ96,IF(ROUND(BB96*$J96,6)&lt;ROUND($M96,6),BB96,0)))</f>
        <v/>
      </c>
      <c r="FB96" s="68">
        <f>IF(OR($U96=0,$F96&lt;&gt;2),0,IF(FA96&gt;0,FA96,IF(ROUND(BC96*$J96,6)&lt;ROUND($M96,6),BC96,0)))</f>
        <v/>
      </c>
      <c r="FC96" s="68">
        <f>IF(OR($U96=0,$F96&lt;&gt;2),0,IF(FB96&gt;0,FB96,IF(ROUND(BD96*$J96,6)&lt;ROUND($M96,6),BD96,0)))</f>
        <v/>
      </c>
      <c r="FD96" s="68">
        <f>IF(OR($U96=0,$F96&lt;&gt;2),0,IF(FC96&gt;0,FC96,IF(ROUND(BE96*$J96,6)&lt;ROUND($M96,6),BE96,0)))</f>
        <v/>
      </c>
      <c r="FE96" s="68">
        <f>IF(OR($U96=0,$F96&lt;&gt;2),0,IF(FD96&gt;0,FD96,IF(ROUND(BF96*$J96,6)&lt;ROUND($M96,6),BF96,0)))</f>
        <v/>
      </c>
      <c r="FF96" s="68">
        <f>IF(OR($U96=0,$F96&lt;&gt;2),0,IF(FE96&gt;0,FE96,IF(ROUND(BG96*$J96,6)&lt;ROUND($M96,6),BG96,0)))</f>
        <v/>
      </c>
      <c r="FG96" s="68">
        <f>IF(OR($U96=0,$F96&lt;&gt;2),0,IF(FF96&gt;0,FF96,IF(ROUND(BH96*$J96,6)&lt;ROUND($M96,6),BH96,0)))</f>
        <v/>
      </c>
      <c r="FH96" s="68">
        <f>IF(OR($U96=0,$F96&lt;&gt;2),0,IF(FG96&gt;0,FG96,IF(ROUND(BI96*$J96,6)&lt;ROUND($M96,6),BI96,0)))</f>
        <v/>
      </c>
      <c r="FI96" s="68">
        <f>IF(OR($U96=0,$F96&lt;&gt;2),0,IF(FH96&gt;0,FH96,IF(ROUND(BJ96*$J96,6)&lt;ROUND($M96,6),BJ96,0)))</f>
        <v/>
      </c>
      <c r="FJ96" s="68">
        <f>IF(OR($U96=0,$F96&lt;&gt;2),0,IF(FI96&gt;0,FI96,IF(ROUND(BK96*$J96,6)&lt;ROUND($M96,6),BK96,0)))</f>
        <v/>
      </c>
      <c r="FK96" s="68">
        <f>IF(OR($U96=0,$F96&lt;&gt;2),0,IF(FJ96&gt;0,FJ96,IF(ROUND(BL96*$J96,6)&lt;ROUND($M96,6),BL96,0)))</f>
        <v/>
      </c>
      <c r="FL96" s="68">
        <f>IF(OR($U96=0,$F96&lt;&gt;2),0,IF(FK96&gt;0,FK96,IF(ROUND(BM96*$J96,6)&lt;ROUND($M96,6),BM96,0)))</f>
        <v/>
      </c>
      <c r="FM96" s="68">
        <f>IF(OR($U96=0,$F96&lt;&gt;2),0,IF(FL96&gt;0,FL96,IF(ROUND(BN96*$J96,6)&lt;ROUND($M96,6),BN96,0)))</f>
        <v/>
      </c>
      <c r="FN96" s="68">
        <f>IF(OR($U96=0,$F96&lt;&gt;2),0,IF(FM96&gt;0,FM96,IF(ROUND(BO96*$J96,6)&lt;ROUND($M96,6),BO96,0)))</f>
        <v/>
      </c>
      <c r="FO96" s="68">
        <f>IF(OR($U96=0,$F96&lt;&gt;2),0,IF(FN96&gt;0,FN96,IF(ROUND(BP96*$J96,6)&lt;ROUND($M96,6),BP96,0)))</f>
        <v/>
      </c>
      <c r="FP96" s="68">
        <f>IF(OR($U96=0,$F96&lt;&gt;2),0,IF(FO96&gt;0,FO96,IF(ROUND(BQ96*$J96,6)&lt;ROUND($M96,6),BQ96,0)))</f>
        <v/>
      </c>
      <c r="FQ96" s="68">
        <f>IF(OR($U96=0,$F96&lt;&gt;2),0,IF(FP96&gt;0,FP96,IF(ROUND(BR96*$J96,6)&lt;ROUND($M96,6),BR96,0)))</f>
        <v/>
      </c>
      <c r="FR96" s="68">
        <f>IF(OR($U96=0,$F96&lt;&gt;2),0,IF(FQ96&gt;0,FQ96,IF(ROUND(BS96*$J96,6)&lt;ROUND($M96,6),BS96,0)))</f>
        <v/>
      </c>
      <c r="FS96" s="68">
        <f>IF(OR($U96=0,$F96&lt;&gt;2),0,IF(FR96&gt;0,FR96,IF(ROUND(BT96*$J96,6)&lt;ROUND($M96,6),BT96,0)))</f>
        <v/>
      </c>
      <c r="FT96" s="68">
        <f>IF(OR($U96=0,$F96&lt;&gt;2),0,IF(FS96&gt;0,FS96,IF(ROUND(BU96*$J96,6)&lt;ROUND($M96,6),BU96,0)))</f>
        <v/>
      </c>
      <c r="FU96" s="68">
        <f>IF(OR($U96=0,$F96&lt;&gt;2),0,IF(FT96&gt;0,FT96,IF(ROUND(BV96*$J96,6)&lt;ROUND($M96,6),BV96,0)))</f>
        <v/>
      </c>
      <c r="FV96" s="68">
        <f>IF(OR($U96=0,$F96&lt;&gt;2),0,IF(FU96&gt;0,FU96,IF(ROUND(BW96*$J96,6)&lt;ROUND($M96,6),BW96,0)))</f>
        <v/>
      </c>
      <c r="FW96" s="68">
        <f>IF(OR($U96=0,$F96&lt;&gt;2),0,IF(FV96&gt;0,FV96,IF(ROUND(BX96*$J96,6)&lt;ROUND($M96,6),BX96,0)))</f>
        <v/>
      </c>
      <c r="FX96" s="68">
        <f>IF(OR($U96=0,$F96&lt;&gt;2),0,IF(FW96&gt;0,FW96,IF(ROUND(BY96*$J96,6)&lt;ROUND($M96,6),BY96,0)))</f>
        <v/>
      </c>
      <c r="FY96" s="68">
        <f>IF(OR($U96=0,$F96&lt;&gt;2),0,IF(FX96&gt;0,FX96,IF(ROUND(BZ96*$J96,6)&lt;ROUND($M96,6),BZ96,0)))</f>
        <v/>
      </c>
      <c r="FZ96" s="68">
        <f>IF(OR($U96=0,$F96&lt;&gt;2),0,IF(FY96&gt;0,FY96,IF(ROUND(CA96*$J96,6)&lt;ROUND($M96,6),CA96,0)))</f>
        <v/>
      </c>
      <c r="GA96" s="68">
        <f>IF(OR($U96=0,$F96&lt;&gt;2),0,IF(FZ96&gt;0,FZ96,IF(ROUND(CB96*$J96,6)&lt;ROUND($M96,6),CB96,0)))</f>
        <v/>
      </c>
      <c r="GB96" s="68">
        <f>IF(OR($U96=0,$F96&lt;&gt;2),0,IF(GA96&gt;0,GA96,IF(ROUND(CC96*$J96,6)&lt;ROUND($M96,6),CC96,0)))</f>
        <v/>
      </c>
      <c r="GC96" s="68">
        <f>IF(OR($U96=0,$F96&lt;&gt;2),0,IF(GB96&gt;0,GB96,IF(ROUND(CD96*$J96,6)&lt;ROUND($M96,6),CD96,0)))</f>
        <v/>
      </c>
      <c r="GD96" s="68">
        <f>IF(OR($U96=0,$F96&lt;&gt;2),0,IF(GC96&gt;0,GC96,IF(ROUND(CE96*$J96,6)&lt;ROUND($M96,6),CE96,0)))</f>
        <v/>
      </c>
      <c r="GE96" s="68">
        <f>IF(OR($U96=0,$F96&lt;&gt;2),0,IF(GD96&gt;0,GD96,IF(ROUND(CF96*$J96,6)&lt;ROUND($M96,6),CF96,0)))</f>
        <v/>
      </c>
      <c r="GF96" s="68">
        <f>IF(OR($U96=0,$F96&lt;&gt;2),0,IF(GE96&gt;0,GE96,IF(ROUND(CG96*$J96,6)&lt;ROUND($M96,6),CG96,0)))</f>
        <v/>
      </c>
      <c r="GG96" s="68">
        <f>IF(OR($U96=0,$F96&lt;&gt;2),0,IF(GF96&gt;0,GF96,IF(ROUND(CH96*$J96,6)&lt;ROUND($M96,6),CH96,0)))</f>
        <v/>
      </c>
      <c r="GH96" s="68">
        <f>IF(OR($U96=0,$F96&lt;&gt;2),0,IF(GG96&gt;0,GG96,IF(ROUND(CI96*$J96,6)&lt;ROUND($M96,6),CI96,0)))</f>
        <v/>
      </c>
      <c r="GI96" s="68">
        <f>IF(OR($U96=0,$F96&lt;&gt;2),0,IF(GH96&gt;0,GH96,IF(ROUND(CJ96*$J96,6)&lt;ROUND($M96,6),CJ96,0)))</f>
        <v/>
      </c>
      <c r="GJ96" s="68">
        <f>IF(OR($U96=0,$F96&lt;&gt;2),0,IF(GI96&gt;0,GI96,IF(ROUND(CK96*$J96,6)&lt;ROUND($M96,6),CK96,0)))</f>
        <v/>
      </c>
      <c r="GK96" s="68">
        <f>IF(OR($U96=0,$F96&lt;&gt;2),0,IF(GJ96&gt;0,GJ96,IF(ROUND(CL96*$J96,6)&lt;ROUND($M96,6),CL96,0)))</f>
        <v/>
      </c>
      <c r="GL96" s="68">
        <f>IF(OR($U96=0,$F96&lt;&gt;2),0,IF(GK96&gt;0,GK96,IF(ROUND(CM96*$J96,6)&lt;ROUND($M96,6),CM96,0)))</f>
        <v/>
      </c>
      <c r="GM96" s="68">
        <f>IF(OR($U96=0,$F96&lt;&gt;2),0,IF(GL96&gt;0,GL96,IF(ROUND(CN96*$J96,6)&lt;ROUND($M96,6),CN96,0)))</f>
        <v/>
      </c>
      <c r="GN96" s="68">
        <f>IF(OR($U96=0,$F96&lt;&gt;2),0,IF(GM96&gt;0,GM96,IF(ROUND(CO96*$J96,6)&lt;ROUND($M96,6),CO96,0)))</f>
        <v/>
      </c>
      <c r="GO96" s="68">
        <f>IF(OR($U96=0,$F96&lt;&gt;2),0,IF(GN96&gt;0,GN96,IF(ROUND(CP96*$J96,6)&lt;ROUND($M96,6),CP96,0)))</f>
        <v/>
      </c>
      <c r="GP96" s="68">
        <f>IF(OR($U96=0,$F96&lt;&gt;2),0,IF(GO96&gt;0,GO96,IF(ROUND(CQ96*$J96,6)&lt;ROUND($M96,6),CQ96,0)))</f>
        <v/>
      </c>
      <c r="GQ96" s="68">
        <f>IF(OR($U96=0,$F96&lt;&gt;2),0,IF(GP96&gt;0,GP96,IF(ROUND(CR96*$J96,6)&lt;ROUND($M96,6),CR96,0)))</f>
        <v/>
      </c>
      <c r="GR96" s="68">
        <f>IF(OR($U96=0,$F96&lt;&gt;2),0,IF(GQ96&gt;0,GQ96,IF(ROUND(CS96*$J96,6)&lt;ROUND($M96,6),CS96,0)))</f>
        <v/>
      </c>
      <c r="GS96" s="68">
        <f>IF(OR($U96=0,$F96&lt;&gt;2),0,IF(GR96&gt;0,GR96,IF(ROUND(CT96*$J96,6)&lt;ROUND($M96,6),CT96,0)))</f>
        <v/>
      </c>
      <c r="GT96" s="68">
        <f>IF(OR($U96=0,$F96&lt;&gt;2),0,IF(GS96&gt;0,GS96,IF(ROUND(CU96*$J96,6)&lt;ROUND($M96,6),CU96,0)))</f>
        <v/>
      </c>
      <c r="GU96" s="68">
        <f>IF(OR($U96=0,$F96&lt;&gt;2),0,IF(GT96&gt;0,GT96,IF(ROUND(CV96*$J96,6)&lt;ROUND($M96,6),CV96,0)))</f>
        <v/>
      </c>
      <c r="GV96" s="68">
        <f>IF(OR($U96=0,$F96&lt;&gt;2),0,IF(GU96&gt;0,GU96,IF(ROUND(CW96*$J96,6)&lt;ROUND($M96,6),CW96,0)))</f>
        <v/>
      </c>
      <c r="GW96" s="68">
        <f>IF(OR($U96=0,$F96&lt;&gt;2),0,IF(GV96&gt;0,GV96,IF(ROUND(CX96*$J96,6)&lt;ROUND($M96,6),CX96,0)))</f>
        <v/>
      </c>
      <c r="GX96" s="68">
        <f>IF(OR($U96=0,$F96&lt;&gt;2),0,IF(GW96&gt;0,GW96,IF(ROUND(CY96*$J96,6)&lt;ROUND($M96,6),CY96,0)))</f>
        <v/>
      </c>
      <c r="GY96" s="68">
        <f>IF(OR($U96=0,$F96&lt;&gt;2),0,IF(GX96&gt;0,GX96,IF(ROUND(CZ96*$J96,6)&lt;ROUND($M96,6),CZ96,0)))</f>
        <v/>
      </c>
      <c r="GZ96" s="68">
        <f>IF(OR($U96=0,$F96&lt;&gt;2),0,IF(GY96&gt;0,GY96,IF(ROUND(DA96*$J96,6)&lt;ROUND($M96,6),DA96,0)))</f>
        <v/>
      </c>
      <c r="HA96" s="68">
        <f>IF(OR($U96=0,$F96&lt;&gt;2),0,IF(GZ96&gt;0,GZ96,IF(ROUND(DB96*$J96,6)&lt;ROUND($M96,6),DB96,0)))</f>
        <v/>
      </c>
      <c r="HB96" s="68">
        <f>IF(OR($U96=0,$F96&lt;&gt;2),0,IF(HA96&gt;0,HA96,IF(ROUND(DC96*$J96,6)&lt;ROUND($M96,6),DC96,0)))</f>
        <v/>
      </c>
      <c r="HC96" s="68">
        <f>IF(OR($U96=0,$F96&lt;&gt;2),0,IF(HB96&gt;0,HB96,IF(ROUND(DD96*$J96,6)&lt;ROUND($M96,6),DD96,0)))</f>
        <v/>
      </c>
      <c r="HD96" s="68">
        <f>IF(OR($U96=0,$F96&lt;&gt;2),0,IF(HC96&gt;0,HC96,IF(ROUND(DE96*$J96,6)&lt;ROUND($M96,6),DE96,0)))</f>
        <v/>
      </c>
      <c r="HE96" s="68">
        <f>IF(OR($U96=0,$F96&lt;&gt;2),0,IF(HD96&gt;0,HD96,IF(ROUND(DF96*$J96,6)&lt;ROUND($M96,6),DF96,0)))</f>
        <v/>
      </c>
      <c r="HF96" s="68">
        <f>IF(OR($U96=0,$F96&lt;&gt;2),0,IF(HE96&gt;0,HE96,IF(ROUND(DG96*$J96,6)&lt;ROUND($M96,6),DG96,0)))</f>
        <v/>
      </c>
      <c r="HG96" s="68">
        <f>IF(OR($U96=0,$F96&lt;&gt;2),0,IF(HF96&gt;0,HF96,IF(ROUND(DH96*$J96,6)&lt;ROUND($M96,6),DH96,0)))</f>
        <v/>
      </c>
      <c r="HH96" s="68">
        <f>IF(OR($U96=0,$F96&lt;&gt;2),0,IF(HG96&gt;0,HG96,IF(ROUND(DI96*$J96,6)&lt;ROUND($M96,6),DI96,0)))</f>
        <v/>
      </c>
      <c r="HI96" s="68">
        <f>IF(OR($U96=0,$F96&lt;&gt;2),0,IF(HH96&gt;0,HH96,IF(ROUND(DJ96*$J96,6)&lt;ROUND($M96,6),DJ96,0)))</f>
        <v/>
      </c>
      <c r="HJ96" s="68">
        <f>IF(OR($U96=0,$F96&lt;&gt;2),0,IF(HI96&gt;0,HI96,IF(ROUND(DK96*$J96,6)&lt;ROUND($M96,6),DK96,0)))</f>
        <v/>
      </c>
      <c r="HK96" s="68">
        <f>IF(OR($U96=0,$F96&lt;&gt;2),0,IF(HJ96&gt;0,HJ96,IF(ROUND(DL96*$J96,6)&lt;ROUND($M96,6),DL96,0)))</f>
        <v/>
      </c>
      <c r="HL96" s="68">
        <f>IF(OR($U96=0,$F96&lt;&gt;2),0,IF(HK96&gt;0,HK96,IF(ROUND(DM96*$J96,6)&lt;ROUND($M96,6),DM96,0)))</f>
        <v/>
      </c>
      <c r="HM96" s="68">
        <f>IF(OR($U96=0,$F96&lt;&gt;2),0,IF(HL96&gt;0,HL96,IF(ROUND(DN96*$J96,6)&lt;ROUND($M96,6),DN96,0)))</f>
        <v/>
      </c>
      <c r="HN96" s="68">
        <f>IF(OR($U96=0,$F96&lt;&gt;2),0,IF(HM96&gt;0,HM96,IF(ROUND(DO96*$J96,6)&lt;ROUND($M96,6),DO96,0)))</f>
        <v/>
      </c>
      <c r="HO96" s="68">
        <f>IF(OR($U96=0,$F96&lt;&gt;2),0,IF(HN96&gt;0,HN96,IF(ROUND(DP96*$J96,6)&lt;ROUND($M96,6),DP96,0)))</f>
        <v/>
      </c>
      <c r="HP96" s="68">
        <f>IF(OR($U96=0,$F96&lt;&gt;2),0,IF(HO96&gt;0,HO96,IF(ROUND(DQ96*$J96,6)&lt;ROUND($M96,6),DQ96,0)))</f>
        <v/>
      </c>
      <c r="HQ96" s="68">
        <f>IF(OR($U96=0,$F96&lt;&gt;2),0,IF(HP96&gt;0,HP96,IF(ROUND(DR96*$J96,6)&lt;ROUND($M96,6),DR96,0)))</f>
        <v/>
      </c>
      <c r="HR96" s="68">
        <f>IF(OR($U96=0,$F96&lt;&gt;2),0,IF(HQ96&gt;0,HQ96,IF(ROUND(DS96*$J96,6)&lt;ROUND($M96,6),DS96,0)))</f>
        <v/>
      </c>
      <c r="HS96" s="68">
        <f>IF(OR($U96=0,$F96&lt;&gt;2),0,IF(HR96&gt;0,HR96,IF(ROUND(DT96*$J96,6)&lt;ROUND($M96,6),DT96,0)))</f>
        <v/>
      </c>
      <c r="HT96" s="68">
        <f>IF(OR($U96=0,$F96&lt;&gt;2),0,IF(HS96&gt;0,HS96,IF(ROUND(DU96*$J96,6)&lt;ROUND($M96,6),DU96,0)))</f>
        <v/>
      </c>
      <c r="HU96" s="68">
        <f>IF(OR($U96=0,$F96&lt;&gt;2),0,IF(HT96&gt;0,HT96,IF(ROUND(DV96*$J96,6)&lt;ROUND($M96,6),DV96,0)))</f>
        <v/>
      </c>
      <c r="HV96" s="68">
        <f>IF(OR($U96=0,$F96&lt;&gt;2),0,IF(HU96&gt;0,HU96,IF(ROUND(DW96*$J96,6)&lt;ROUND($M96,6),DW96,0)))</f>
        <v/>
      </c>
      <c r="HW96" s="68">
        <f>IF(OR($U96=0,$F96&lt;&gt;2),0,IF(HV96&gt;0,HV96,IF(ROUND(DX96*$J96,6)&lt;ROUND($M96,6),DX96,0)))</f>
        <v/>
      </c>
      <c r="HX96" s="68">
        <f>IF(OR($U96=0,$F96&lt;&gt;2),0,IF(HW96&gt;0,HW96,IF(ROUND(DY96*$J96,6)&lt;ROUND($M96,6),DY96,0)))</f>
        <v/>
      </c>
      <c r="HY96" s="68">
        <f>IF(OR($U96=0,$F96&lt;&gt;2),0,IF(HX96&gt;0,HX96,IF(ROUND(DZ96*$J96,6)&lt;ROUND($M96,6),DZ96,0)))</f>
        <v/>
      </c>
      <c r="HZ96" s="68">
        <f>IF(OR($U96=0,$F96&lt;&gt;2),0,IF(HY96&gt;0,HY96,IF(ROUND(EA96*$J96,6)&lt;ROUND($M96,6),EA96,0)))</f>
        <v/>
      </c>
      <c r="IA96" s="68">
        <f>IF(OR($U96=0,$F96&lt;&gt;2),0,IF(HZ96&gt;0,HZ96,IF(ROUND(EB96*$J96,6)&lt;ROUND($M96,6),EB96,0)))</f>
        <v/>
      </c>
      <c r="IB96" s="68">
        <f>IF(OR($U96=0,$F96&lt;&gt;2),0,IF(IA96&gt;0,IA96,IF(ROUND(EC96*$J96,6)&lt;ROUND($M96,6),EC96,0)))</f>
        <v/>
      </c>
      <c r="IC96" s="68">
        <f>IF(OR($U96=0,$F96&lt;&gt;2),0,IF(IB96&gt;0,IB96,IF(ROUND(ED96*$J96,6)&lt;ROUND($M96,6),ED96,0)))</f>
        <v/>
      </c>
      <c r="ID96" s="68">
        <f>IF(OR($U96=0,$F96&lt;&gt;2),0,IF(IC96&gt;0,IC96,IF(ROUND(EE96*$J96,6)&lt;ROUND($M96,6),EE96,0)))</f>
        <v/>
      </c>
      <c r="IE96" s="68">
        <f>IF(OR($U96=0,$F96&lt;&gt;2),0,IF(ID96&gt;0,ID96,IF(ROUND(EF96*$J96,6)&lt;ROUND($M96,6),EF96,0)))</f>
        <v/>
      </c>
      <c r="IF96" s="68">
        <f>IF(OR($U96=0,$F96&lt;&gt;2),0,IF(IE96&gt;0,IE96,IF(ROUND(EG96*$J96,6)&lt;ROUND($M96,6),EG96,0)))</f>
        <v/>
      </c>
      <c r="IG96" s="68">
        <f>IF(OR($U96=0,$F96&lt;&gt;2),0,IF(IF96&gt;0,IF96,IF(ROUND(EH96*$J96,6)&lt;ROUND($M96,6),EH96,0)))</f>
        <v/>
      </c>
      <c r="IH96" s="68">
        <f>IF(OR($U96=0,$F96&lt;&gt;2),0,IF(IG96&gt;0,IG96,IF(ROUND(EI96*$J96,6)&lt;ROUND($M96,6),EI96,0)))</f>
        <v/>
      </c>
      <c r="II96" s="68">
        <f>IF(OR($U96=0,$F96&lt;&gt;2),0,IF(IH96&gt;0,IH96,IF(ROUND(EJ96*$J96,6)&lt;ROUND($M96,6),EJ96,0)))</f>
        <v/>
      </c>
      <c r="IJ96" s="68">
        <f>IF(OR($U96=0,$F96&lt;&gt;2),0,IF(II96&gt;0,II96,IF(ROUND(EK96*$J96,6)&lt;ROUND($M96,6),EK96,0)))</f>
        <v/>
      </c>
      <c r="IK96" s="68">
        <f>IF(OR($U96=0,$F96&lt;&gt;2),0,IF(IJ96&gt;0,IJ96,IF(ROUND(EL96*$J96,6)&lt;ROUND($M96,6),EL96,0)))</f>
        <v/>
      </c>
      <c r="IL96" s="68">
        <f>IF(OR($U96=0,$F96&lt;&gt;2),0,IF(IK96&gt;0,IK96,IF(ROUND(EM96*$J96,6)&lt;ROUND($M96,6),EM96,0)))</f>
        <v/>
      </c>
      <c r="IM96" s="68">
        <f>IF(OR($U96=0,$F96&lt;&gt;2),0,IF(IL96&gt;0,IL96,IF(ROUND(EN96*$J96,6)&lt;ROUND($M96,6),EN96,0)))</f>
        <v/>
      </c>
      <c r="IN96" s="68">
        <f>IF(OR($U96=0,$F96&lt;&gt;2),0,IF(IM96&gt;0,IM96,IF(ROUND(EO96*$J96,6)&lt;ROUND($M96,6),EO96,0)))</f>
        <v/>
      </c>
    </row>
    <row r="97">
      <c r="A97" s="68" t="n">
        <v>92</v>
      </c>
      <c r="B97" s="68">
        <f>IF(OR(TRIM('固定資産台帳'!$B97)&lt;&gt;"",'固定資産台帳'!$E97&lt;&gt;"",'固定資産台帳'!$G97&lt;&gt;"",'固定資産台帳'!$H97&lt;&gt;""),1,0)</f>
        <v/>
      </c>
      <c r="C97" s="68">
        <f>IF(ISNUMBER('固定資産台帳'!$G97),MAX(ROUND('固定資産台帳'!$G97,0),0),0)</f>
        <v/>
      </c>
      <c r="D97" s="84">
        <f>IF(ISNUMBER('固定資産台帳'!$E97),INT('固定資産台帳'!$E97),0)</f>
        <v/>
      </c>
      <c r="E97" s="84">
        <f>IF(ISNUMBER('固定資産台帳'!$F97),INT('固定資産台帳'!$F97),$D97)</f>
        <v/>
      </c>
      <c r="F97" s="68">
        <f>IF('固定資産台帳'!$H97="定額法",1,IF(OR('固定資産台帳'!$H97="定率法",'固定資産台帳'!$H97="定率法（200%）",'固定資産台帳'!$H97="定率法（250%）"),2,IF('固定資産台帳'!$H97="一括償却（3年）",3,IF('固定資産台帳'!$H97="少額特例",4,0))))</f>
        <v/>
      </c>
      <c r="G97" s="68">
        <f>IF('固定資産台帳'!$H97="定率法（250%）",250,IF('固定資産台帳'!$H97="定率法（200%）",200,IF($D97&gt;=DATE(2012,4,1),200,250)))</f>
        <v/>
      </c>
      <c r="H97" s="68">
        <f>IF(ISNUMBER('固定資産台帳'!$I97),IF(AND('固定資産台帳'!$I97&gt;=2,'固定資産台帳'!$I97&lt;=100,'固定資産台帳'!$I97=INT('固定資産台帳'!$I97)),'固定資産台帳'!$I97,0),0)</f>
        <v/>
      </c>
      <c r="I97" s="68">
        <f>IF('固定資産台帳'!$C97="無形固定資産",0,1)</f>
        <v/>
      </c>
      <c r="J97" s="68">
        <f>IF(OR($H97=0,$F97=0,$F97&gt;2),0,IF($F97=1,INDEX('償却率表'!$B$6:$B$104,$H97-1),IF($G97=200,INDEX('償却率表'!$C$6:$C$104,$H97-1),INDEX('償却率表'!$F$6:$F$104,$H97-1))))</f>
        <v/>
      </c>
      <c r="K97" s="68">
        <f>IF(AND($F97=2,$H97&gt;0),IF($G97=200,INDEX('償却率表'!$D$6:$D$104,$H97-1),INDEX('償却率表'!$G$6:$G$104,$H97-1)),0)</f>
        <v/>
      </c>
      <c r="L97" s="68">
        <f>IF(AND($F97=2,$H97&gt;0),IF($G97=200,INDEX('償却率表'!$E$6:$E$104,$H97-1),INDEX('償却率表'!$H$6:$H$104,$H97-1)),0)</f>
        <v/>
      </c>
      <c r="M97" s="68">
        <f>$C97*$L97</f>
        <v/>
      </c>
      <c r="N97" s="68">
        <f>IF($B$1=1,1,IF('固定資産台帳'!$J97="",1,IF(ISNUMBER('固定資産台帳'!$J97),IF(AND('固定資産台帳'!$J97&gt;0,'固定資産台帳'!$J97&lt;=1),'固定資産台帳'!$J97,0),0)))</f>
        <v/>
      </c>
      <c r="O97" s="68">
        <f>IF($E97=0,0,YEAR($E97)-IF(MONTH($E97)&lt;$B$2,1,0))</f>
        <v/>
      </c>
      <c r="P97" s="68">
        <f>IF($E97=0,0,12-MOD(MONTH($E97)-$B$2,12))</f>
        <v/>
      </c>
      <c r="Q97" s="84">
        <f>IF(ISNUMBER('固定資産台帳'!$K97),INT('固定資産台帳'!$K97),0)</f>
        <v/>
      </c>
      <c r="R97" s="68">
        <f>IF(OR($Q97=0,$E97=0),999,YEAR($Q97)-IF(MONTH($Q97)&lt;$B$2,1,0)-$O97)</f>
        <v/>
      </c>
      <c r="S97" s="68">
        <f>IF($R97=999,0,MOD(MONTH($Q97)-$B$2,12)+1-IF($R97=0,12-$P97,0))</f>
        <v/>
      </c>
      <c r="T97" s="68">
        <f>IF($B97=0,0,IF($C97&lt;=0,1,IF($D97=0,2,IF($F97=0,3,IF(AND($F97&lt;=2,$H97=0),4,IF(AND($F97&lt;=2,$D97&lt;DATE(2007,4,1)),5,IF($E97&lt;$D97,6,IF(AND($Q97&gt;0,$Q97&lt;$E97),7,IF($N97=0,8,IF($B$3=0,9,0))))))))))</f>
        <v/>
      </c>
      <c r="U97" s="68">
        <f>IF(AND($B97=1,$T97=0),1,0)</f>
        <v/>
      </c>
      <c r="V97" s="68">
        <f>$B$3-$O97</f>
        <v/>
      </c>
      <c r="W97" s="68">
        <f>IF(AND($U97=1,$V97&gt;=0),1,0)</f>
        <v/>
      </c>
      <c r="X97" s="68">
        <f>IF($W97=0,0,IF($V97=0,$C97,INDEX($AS97:$EP97,MIN($V97,102))))</f>
        <v/>
      </c>
      <c r="Y97" s="68">
        <f>IF($W97=0,0,INDEX($AS97:$EP97,MIN($V97,101)+1))</f>
        <v/>
      </c>
      <c r="Z97" s="68">
        <f>$X97-$Y97</f>
        <v/>
      </c>
      <c r="AA97" s="68">
        <f>IF(AND($W97=1,$F97=2,$V97&gt;=1),INDEX($ER97:$IN97,MIN($V97,101)),0)</f>
        <v/>
      </c>
      <c r="AB97" s="68">
        <f>IF(OR($W97=0,$F97&gt;2,$Z97=0),0,IF($V97=0,IF($R97=0,$S97,$P97),IF($V97=$R97,$S97,12)))</f>
        <v/>
      </c>
      <c r="AC97" s="68">
        <f>IF($W97=0,0,INT(ROUND($Z97*$N97,6)+$B$4))</f>
        <v/>
      </c>
      <c r="AD97" s="68">
        <f>IF(AND($W97=1,$F97&lt;=2,$V97=$R97),1,0)</f>
        <v/>
      </c>
      <c r="AE97" s="68">
        <f>IF(AND($W97=1,$F97&lt;=2,$V97&gt;$R97),1,0)</f>
        <v/>
      </c>
      <c r="AF97" s="68">
        <f>IF(AND($W97=1,$AE97=0,OR($Z97&gt;0,$AD97=1)),1,0)</f>
        <v/>
      </c>
      <c r="AG97" s="68">
        <f>IF($AF97=1,SUM($AF$6:$AF97),0)</f>
        <v/>
      </c>
      <c r="AH97" s="68">
        <f>IF($T97=0,"",CHOOSE($T97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97" s="68">
        <f>IF(AND($F97=2,OR('固定資産台帳'!$C97="建物",'固定資産台帳'!$C97="無形固定資産",AND(OR('固定資産台帳'!$C97="建物附属設備",'固定資産台帳'!$C97="構築物"),$D97&gt;=DATE(2016,4,1)))),"この資産は定額法だけです（定率法は使えません）。","")&amp;IF(AND($F97=3,$C97&gt;=200000),"一括償却は20万円未満の資産だけです。","")&amp;IF(AND($F97=3,$B$1=0,$C97&lt;100000),"10万円未満は一括償却にせず、全額をその年の経費にします。","")&amp;IF(AND($F97=4,$C97&lt;100000),"10万円未満は少額特例ではなく、全額をその年の経費にします。","")&amp;IF(AND($F97=4,$D97&lt;DATE(2026,4,1),$C97&gt;=300000),"2026年3月31日までの取得で少額特例が使えるのは30万円未満です。","")&amp;IF(AND($F97=4,$D97&gt;=DATE(2026,4,1),$C97&gt;=400000),"少額特例は40万円未満の資産だけです。","")&amp;IF(AND($F97=4,OR($D97&lt;DATE(2006,4,1),$D97&gt;DATE(2029,3,31))),"少額特例は2006年4月1日〜2029年3月31日に取得した資産だけです。","")&amp;IF(AND($F97=2,$G97=250,$D97&gt;DATE(2012,12,31)),"250%定率法は2012年12月31日までの取得だけです。","")</f>
        <v/>
      </c>
      <c r="AJ97" s="68">
        <f>IF(AND($F97=2,'固定資産台帳'!$H97="定率法（200%）",$D97&lt;DATE(2012,4,1)),"2012年3月31日までの取得に200%を使うのは、経過措置の届出をした場合です。","")&amp;IF(AND($F97=2,'固定資産台帳'!$H97="定率法（250%）",$D97&gt;=DATE(2012,4,1),$D97&lt;=DATE(2012,12,31)),"2012年4〜12月の取得に250%を使うのは、経過措置を選んだ場合です。","")</f>
        <v/>
      </c>
      <c r="AK97" s="68">
        <f>IF($U97=0,"",IF($V97&lt;0,"表示している年より後に使い始める資産です。",IF($AE97=1,"売却・除却済みです。",IF($AD97=1,"この年に売却・除却。期末の帳簿価額 "&amp;TEXT($Y97,"#,##0")&amp;"円を帳簿から外します。",IF($F97=4,IF($V97=0,"少額特例：この年に全額を経費にします。","少額特例で経費にした資産です。"),IF($F97=3,IF($V97&gt;2,"一括償却は終わっています。","一括償却 "&amp;($V97+1)&amp;"年目（3年のうち）。"),IF($Z97=0,"償却済み（帳簿価額 "&amp;TEXT($Y97,"#,##0")&amp;"円）。",IF($AA97&gt;0,"改定償却率で計算（改定取得価額 "&amp;TEXT($AA97,"#,##0")&amp;"円）。",IF($V97=0,"この年に使い始め（"&amp;$AB97&amp;"か月分）。","")))))))))</f>
        <v/>
      </c>
      <c r="AL97" s="68">
        <f>IF(AND($U97=1,$F97=4,$V97=0),$C97,0)</f>
        <v/>
      </c>
      <c r="AM97" s="68">
        <f>IF($F97=2,INT(ROUND($M97,6)+$B$4),0)</f>
        <v/>
      </c>
      <c r="AN97" s="68">
        <f>IF($W97=0,0,IF($F97=2,IF($AA97&gt;0,$AA97,$X97),$C97))</f>
        <v/>
      </c>
      <c r="AO97" s="68">
        <f>IF($W97=0,"",IF($F97=3,"1/3",IF($F97=4,"―",IF($AA97&gt;0,$K97,$J97))))</f>
        <v/>
      </c>
      <c r="AP97" s="68" t="n"/>
      <c r="AQ97" s="68" t="n"/>
      <c r="AR97" s="68" t="n"/>
      <c r="AS97" s="68">
        <f>IF($U97=0,0,IF($F97=4,0,IF($F97=3,MAX($C97-INT(ROUND($C97/3,6)+$B$4),0),$C97-MIN(INT(ROUND($C97*$J97*IF($R97=0,$S97,$P97)/12,6)+$B$4),MAX($C97-$I97,0)))))</f>
        <v/>
      </c>
      <c r="AT97" s="68">
        <f>IF($U97=0,0,IF($F97=4,0,IF($F97=3,AS97-MIN(INT(ROUND($C97/3,6)+$B$4),AS97),IF(OR(1&gt;$R97,AS97&lt;=$I97),AS97,AS97-MIN(INT(ROUND(IF($F97=1,$C97*$J97,IF(ER97&gt;0,ER97*$K97,AS97*$J97))*IF(1=$R97,$S97,12)/12,6)+$B$4),AS97-$I97)))))</f>
        <v/>
      </c>
      <c r="AU97" s="68">
        <f>IF($U97=0,0,IF($F97=4,0,IF($F97=3,0,IF(OR(2&gt;$R97,AT97&lt;=$I97),AT97,AT97-MIN(INT(ROUND(IF($F97=1,$C97*$J97,IF(ES97&gt;0,ES97*$K97,AT97*$J97))*IF(2=$R97,$S97,12)/12,6)+$B$4),AT97-$I97)))))</f>
        <v/>
      </c>
      <c r="AV97" s="68">
        <f>IF($U97=0,0,IF($F97=4,0,IF($F97=3,0,IF(OR(3&gt;$R97,AU97&lt;=$I97),AU97,AU97-MIN(INT(ROUND(IF($F97=1,$C97*$J97,IF(ET97&gt;0,ET97*$K97,AU97*$J97))*IF(3=$R97,$S97,12)/12,6)+$B$4),AU97-$I97)))))</f>
        <v/>
      </c>
      <c r="AW97" s="68">
        <f>IF($U97=0,0,IF($F97=4,0,IF($F97=3,0,IF(OR(4&gt;$R97,AV97&lt;=$I97),AV97,AV97-MIN(INT(ROUND(IF($F97=1,$C97*$J97,IF(EU97&gt;0,EU97*$K97,AV97*$J97))*IF(4=$R97,$S97,12)/12,6)+$B$4),AV97-$I97)))))</f>
        <v/>
      </c>
      <c r="AX97" s="68">
        <f>IF($U97=0,0,IF($F97=4,0,IF($F97=3,0,IF(OR(5&gt;$R97,AW97&lt;=$I97),AW97,AW97-MIN(INT(ROUND(IF($F97=1,$C97*$J97,IF(EV97&gt;0,EV97*$K97,AW97*$J97))*IF(5=$R97,$S97,12)/12,6)+$B$4),AW97-$I97)))))</f>
        <v/>
      </c>
      <c r="AY97" s="68">
        <f>IF($U97=0,0,IF($F97=4,0,IF($F97=3,0,IF(OR(6&gt;$R97,AX97&lt;=$I97),AX97,AX97-MIN(INT(ROUND(IF($F97=1,$C97*$J97,IF(EW97&gt;0,EW97*$K97,AX97*$J97))*IF(6=$R97,$S97,12)/12,6)+$B$4),AX97-$I97)))))</f>
        <v/>
      </c>
      <c r="AZ97" s="68">
        <f>IF($U97=0,0,IF($F97=4,0,IF($F97=3,0,IF(OR(7&gt;$R97,AY97&lt;=$I97),AY97,AY97-MIN(INT(ROUND(IF($F97=1,$C97*$J97,IF(EX97&gt;0,EX97*$K97,AY97*$J97))*IF(7=$R97,$S97,12)/12,6)+$B$4),AY97-$I97)))))</f>
        <v/>
      </c>
      <c r="BA97" s="68">
        <f>IF($U97=0,0,IF($F97=4,0,IF($F97=3,0,IF(OR(8&gt;$R97,AZ97&lt;=$I97),AZ97,AZ97-MIN(INT(ROUND(IF($F97=1,$C97*$J97,IF(EY97&gt;0,EY97*$K97,AZ97*$J97))*IF(8=$R97,$S97,12)/12,6)+$B$4),AZ97-$I97)))))</f>
        <v/>
      </c>
      <c r="BB97" s="68">
        <f>IF($U97=0,0,IF($F97=4,0,IF($F97=3,0,IF(OR(9&gt;$R97,BA97&lt;=$I97),BA97,BA97-MIN(INT(ROUND(IF($F97=1,$C97*$J97,IF(EZ97&gt;0,EZ97*$K97,BA97*$J97))*IF(9=$R97,$S97,12)/12,6)+$B$4),BA97-$I97)))))</f>
        <v/>
      </c>
      <c r="BC97" s="68">
        <f>IF($U97=0,0,IF($F97=4,0,IF($F97=3,0,IF(OR(10&gt;$R97,BB97&lt;=$I97),BB97,BB97-MIN(INT(ROUND(IF($F97=1,$C97*$J97,IF(FA97&gt;0,FA97*$K97,BB97*$J97))*IF(10=$R97,$S97,12)/12,6)+$B$4),BB97-$I97)))))</f>
        <v/>
      </c>
      <c r="BD97" s="68">
        <f>IF($U97=0,0,IF($F97=4,0,IF($F97=3,0,IF(OR(11&gt;$R97,BC97&lt;=$I97),BC97,BC97-MIN(INT(ROUND(IF($F97=1,$C97*$J97,IF(FB97&gt;0,FB97*$K97,BC97*$J97))*IF(11=$R97,$S97,12)/12,6)+$B$4),BC97-$I97)))))</f>
        <v/>
      </c>
      <c r="BE97" s="68">
        <f>IF($U97=0,0,IF($F97=4,0,IF($F97=3,0,IF(OR(12&gt;$R97,BD97&lt;=$I97),BD97,BD97-MIN(INT(ROUND(IF($F97=1,$C97*$J97,IF(FC97&gt;0,FC97*$K97,BD97*$J97))*IF(12=$R97,$S97,12)/12,6)+$B$4),BD97-$I97)))))</f>
        <v/>
      </c>
      <c r="BF97" s="68">
        <f>IF($U97=0,0,IF($F97=4,0,IF($F97=3,0,IF(OR(13&gt;$R97,BE97&lt;=$I97),BE97,BE97-MIN(INT(ROUND(IF($F97=1,$C97*$J97,IF(FD97&gt;0,FD97*$K97,BE97*$J97))*IF(13=$R97,$S97,12)/12,6)+$B$4),BE97-$I97)))))</f>
        <v/>
      </c>
      <c r="BG97" s="68">
        <f>IF($U97=0,0,IF($F97=4,0,IF($F97=3,0,IF(OR(14&gt;$R97,BF97&lt;=$I97),BF97,BF97-MIN(INT(ROUND(IF($F97=1,$C97*$J97,IF(FE97&gt;0,FE97*$K97,BF97*$J97))*IF(14=$R97,$S97,12)/12,6)+$B$4),BF97-$I97)))))</f>
        <v/>
      </c>
      <c r="BH97" s="68">
        <f>IF($U97=0,0,IF($F97=4,0,IF($F97=3,0,IF(OR(15&gt;$R97,BG97&lt;=$I97),BG97,BG97-MIN(INT(ROUND(IF($F97=1,$C97*$J97,IF(FF97&gt;0,FF97*$K97,BG97*$J97))*IF(15=$R97,$S97,12)/12,6)+$B$4),BG97-$I97)))))</f>
        <v/>
      </c>
      <c r="BI97" s="68">
        <f>IF($U97=0,0,IF($F97=4,0,IF($F97=3,0,IF(OR(16&gt;$R97,BH97&lt;=$I97),BH97,BH97-MIN(INT(ROUND(IF($F97=1,$C97*$J97,IF(FG97&gt;0,FG97*$K97,BH97*$J97))*IF(16=$R97,$S97,12)/12,6)+$B$4),BH97-$I97)))))</f>
        <v/>
      </c>
      <c r="BJ97" s="68">
        <f>IF($U97=0,0,IF($F97=4,0,IF($F97=3,0,IF(OR(17&gt;$R97,BI97&lt;=$I97),BI97,BI97-MIN(INT(ROUND(IF($F97=1,$C97*$J97,IF(FH97&gt;0,FH97*$K97,BI97*$J97))*IF(17=$R97,$S97,12)/12,6)+$B$4),BI97-$I97)))))</f>
        <v/>
      </c>
      <c r="BK97" s="68">
        <f>IF($U97=0,0,IF($F97=4,0,IF($F97=3,0,IF(OR(18&gt;$R97,BJ97&lt;=$I97),BJ97,BJ97-MIN(INT(ROUND(IF($F97=1,$C97*$J97,IF(FI97&gt;0,FI97*$K97,BJ97*$J97))*IF(18=$R97,$S97,12)/12,6)+$B$4),BJ97-$I97)))))</f>
        <v/>
      </c>
      <c r="BL97" s="68">
        <f>IF($U97=0,0,IF($F97=4,0,IF($F97=3,0,IF(OR(19&gt;$R97,BK97&lt;=$I97),BK97,BK97-MIN(INT(ROUND(IF($F97=1,$C97*$J97,IF(FJ97&gt;0,FJ97*$K97,BK97*$J97))*IF(19=$R97,$S97,12)/12,6)+$B$4),BK97-$I97)))))</f>
        <v/>
      </c>
      <c r="BM97" s="68">
        <f>IF($U97=0,0,IF($F97=4,0,IF($F97=3,0,IF(OR(20&gt;$R97,BL97&lt;=$I97),BL97,BL97-MIN(INT(ROUND(IF($F97=1,$C97*$J97,IF(FK97&gt;0,FK97*$K97,BL97*$J97))*IF(20=$R97,$S97,12)/12,6)+$B$4),BL97-$I97)))))</f>
        <v/>
      </c>
      <c r="BN97" s="68">
        <f>IF($U97=0,0,IF($F97=4,0,IF($F97=3,0,IF(OR(21&gt;$R97,BM97&lt;=$I97),BM97,BM97-MIN(INT(ROUND(IF($F97=1,$C97*$J97,IF(FL97&gt;0,FL97*$K97,BM97*$J97))*IF(21=$R97,$S97,12)/12,6)+$B$4),BM97-$I97)))))</f>
        <v/>
      </c>
      <c r="BO97" s="68">
        <f>IF($U97=0,0,IF($F97=4,0,IF($F97=3,0,IF(OR(22&gt;$R97,BN97&lt;=$I97),BN97,BN97-MIN(INT(ROUND(IF($F97=1,$C97*$J97,IF(FM97&gt;0,FM97*$K97,BN97*$J97))*IF(22=$R97,$S97,12)/12,6)+$B$4),BN97-$I97)))))</f>
        <v/>
      </c>
      <c r="BP97" s="68">
        <f>IF($U97=0,0,IF($F97=4,0,IF($F97=3,0,IF(OR(23&gt;$R97,BO97&lt;=$I97),BO97,BO97-MIN(INT(ROUND(IF($F97=1,$C97*$J97,IF(FN97&gt;0,FN97*$K97,BO97*$J97))*IF(23=$R97,$S97,12)/12,6)+$B$4),BO97-$I97)))))</f>
        <v/>
      </c>
      <c r="BQ97" s="68">
        <f>IF($U97=0,0,IF($F97=4,0,IF($F97=3,0,IF(OR(24&gt;$R97,BP97&lt;=$I97),BP97,BP97-MIN(INT(ROUND(IF($F97=1,$C97*$J97,IF(FO97&gt;0,FO97*$K97,BP97*$J97))*IF(24=$R97,$S97,12)/12,6)+$B$4),BP97-$I97)))))</f>
        <v/>
      </c>
      <c r="BR97" s="68">
        <f>IF($U97=0,0,IF($F97=4,0,IF($F97=3,0,IF(OR(25&gt;$R97,BQ97&lt;=$I97),BQ97,BQ97-MIN(INT(ROUND(IF($F97=1,$C97*$J97,IF(FP97&gt;0,FP97*$K97,BQ97*$J97))*IF(25=$R97,$S97,12)/12,6)+$B$4),BQ97-$I97)))))</f>
        <v/>
      </c>
      <c r="BS97" s="68">
        <f>IF($U97=0,0,IF($F97=4,0,IF($F97=3,0,IF(OR(26&gt;$R97,BR97&lt;=$I97),BR97,BR97-MIN(INT(ROUND(IF($F97=1,$C97*$J97,IF(FQ97&gt;0,FQ97*$K97,BR97*$J97))*IF(26=$R97,$S97,12)/12,6)+$B$4),BR97-$I97)))))</f>
        <v/>
      </c>
      <c r="BT97" s="68">
        <f>IF($U97=0,0,IF($F97=4,0,IF($F97=3,0,IF(OR(27&gt;$R97,BS97&lt;=$I97),BS97,BS97-MIN(INT(ROUND(IF($F97=1,$C97*$J97,IF(FR97&gt;0,FR97*$K97,BS97*$J97))*IF(27=$R97,$S97,12)/12,6)+$B$4),BS97-$I97)))))</f>
        <v/>
      </c>
      <c r="BU97" s="68">
        <f>IF($U97=0,0,IF($F97=4,0,IF($F97=3,0,IF(OR(28&gt;$R97,BT97&lt;=$I97),BT97,BT97-MIN(INT(ROUND(IF($F97=1,$C97*$J97,IF(FS97&gt;0,FS97*$K97,BT97*$J97))*IF(28=$R97,$S97,12)/12,6)+$B$4),BT97-$I97)))))</f>
        <v/>
      </c>
      <c r="BV97" s="68">
        <f>IF($U97=0,0,IF($F97=4,0,IF($F97=3,0,IF(OR(29&gt;$R97,BU97&lt;=$I97),BU97,BU97-MIN(INT(ROUND(IF($F97=1,$C97*$J97,IF(FT97&gt;0,FT97*$K97,BU97*$J97))*IF(29=$R97,$S97,12)/12,6)+$B$4),BU97-$I97)))))</f>
        <v/>
      </c>
      <c r="BW97" s="68">
        <f>IF($U97=0,0,IF($F97=4,0,IF($F97=3,0,IF(OR(30&gt;$R97,BV97&lt;=$I97),BV97,BV97-MIN(INT(ROUND(IF($F97=1,$C97*$J97,IF(FU97&gt;0,FU97*$K97,BV97*$J97))*IF(30=$R97,$S97,12)/12,6)+$B$4),BV97-$I97)))))</f>
        <v/>
      </c>
      <c r="BX97" s="68">
        <f>IF($U97=0,0,IF($F97=4,0,IF($F97=3,0,IF(OR(31&gt;$R97,BW97&lt;=$I97),BW97,BW97-MIN(INT(ROUND(IF($F97=1,$C97*$J97,IF(FV97&gt;0,FV97*$K97,BW97*$J97))*IF(31=$R97,$S97,12)/12,6)+$B$4),BW97-$I97)))))</f>
        <v/>
      </c>
      <c r="BY97" s="68">
        <f>IF($U97=0,0,IF($F97=4,0,IF($F97=3,0,IF(OR(32&gt;$R97,BX97&lt;=$I97),BX97,BX97-MIN(INT(ROUND(IF($F97=1,$C97*$J97,IF(FW97&gt;0,FW97*$K97,BX97*$J97))*IF(32=$R97,$S97,12)/12,6)+$B$4),BX97-$I97)))))</f>
        <v/>
      </c>
      <c r="BZ97" s="68">
        <f>IF($U97=0,0,IF($F97=4,0,IF($F97=3,0,IF(OR(33&gt;$R97,BY97&lt;=$I97),BY97,BY97-MIN(INT(ROUND(IF($F97=1,$C97*$J97,IF(FX97&gt;0,FX97*$K97,BY97*$J97))*IF(33=$R97,$S97,12)/12,6)+$B$4),BY97-$I97)))))</f>
        <v/>
      </c>
      <c r="CA97" s="68">
        <f>IF($U97=0,0,IF($F97=4,0,IF($F97=3,0,IF(OR(34&gt;$R97,BZ97&lt;=$I97),BZ97,BZ97-MIN(INT(ROUND(IF($F97=1,$C97*$J97,IF(FY97&gt;0,FY97*$K97,BZ97*$J97))*IF(34=$R97,$S97,12)/12,6)+$B$4),BZ97-$I97)))))</f>
        <v/>
      </c>
      <c r="CB97" s="68">
        <f>IF($U97=0,0,IF($F97=4,0,IF($F97=3,0,IF(OR(35&gt;$R97,CA97&lt;=$I97),CA97,CA97-MIN(INT(ROUND(IF($F97=1,$C97*$J97,IF(FZ97&gt;0,FZ97*$K97,CA97*$J97))*IF(35=$R97,$S97,12)/12,6)+$B$4),CA97-$I97)))))</f>
        <v/>
      </c>
      <c r="CC97" s="68">
        <f>IF($U97=0,0,IF($F97=4,0,IF($F97=3,0,IF(OR(36&gt;$R97,CB97&lt;=$I97),CB97,CB97-MIN(INT(ROUND(IF($F97=1,$C97*$J97,IF(GA97&gt;0,GA97*$K97,CB97*$J97))*IF(36=$R97,$S97,12)/12,6)+$B$4),CB97-$I97)))))</f>
        <v/>
      </c>
      <c r="CD97" s="68">
        <f>IF($U97=0,0,IF($F97=4,0,IF($F97=3,0,IF(OR(37&gt;$R97,CC97&lt;=$I97),CC97,CC97-MIN(INT(ROUND(IF($F97=1,$C97*$J97,IF(GB97&gt;0,GB97*$K97,CC97*$J97))*IF(37=$R97,$S97,12)/12,6)+$B$4),CC97-$I97)))))</f>
        <v/>
      </c>
      <c r="CE97" s="68">
        <f>IF($U97=0,0,IF($F97=4,0,IF($F97=3,0,IF(OR(38&gt;$R97,CD97&lt;=$I97),CD97,CD97-MIN(INT(ROUND(IF($F97=1,$C97*$J97,IF(GC97&gt;0,GC97*$K97,CD97*$J97))*IF(38=$R97,$S97,12)/12,6)+$B$4),CD97-$I97)))))</f>
        <v/>
      </c>
      <c r="CF97" s="68">
        <f>IF($U97=0,0,IF($F97=4,0,IF($F97=3,0,IF(OR(39&gt;$R97,CE97&lt;=$I97),CE97,CE97-MIN(INT(ROUND(IF($F97=1,$C97*$J97,IF(GD97&gt;0,GD97*$K97,CE97*$J97))*IF(39=$R97,$S97,12)/12,6)+$B$4),CE97-$I97)))))</f>
        <v/>
      </c>
      <c r="CG97" s="68">
        <f>IF($U97=0,0,IF($F97=4,0,IF($F97=3,0,IF(OR(40&gt;$R97,CF97&lt;=$I97),CF97,CF97-MIN(INT(ROUND(IF($F97=1,$C97*$J97,IF(GE97&gt;0,GE97*$K97,CF97*$J97))*IF(40=$R97,$S97,12)/12,6)+$B$4),CF97-$I97)))))</f>
        <v/>
      </c>
      <c r="CH97" s="68">
        <f>IF($U97=0,0,IF($F97=4,0,IF($F97=3,0,IF(OR(41&gt;$R97,CG97&lt;=$I97),CG97,CG97-MIN(INT(ROUND(IF($F97=1,$C97*$J97,IF(GF97&gt;0,GF97*$K97,CG97*$J97))*IF(41=$R97,$S97,12)/12,6)+$B$4),CG97-$I97)))))</f>
        <v/>
      </c>
      <c r="CI97" s="68">
        <f>IF($U97=0,0,IF($F97=4,0,IF($F97=3,0,IF(OR(42&gt;$R97,CH97&lt;=$I97),CH97,CH97-MIN(INT(ROUND(IF($F97=1,$C97*$J97,IF(GG97&gt;0,GG97*$K97,CH97*$J97))*IF(42=$R97,$S97,12)/12,6)+$B$4),CH97-$I97)))))</f>
        <v/>
      </c>
      <c r="CJ97" s="68">
        <f>IF($U97=0,0,IF($F97=4,0,IF($F97=3,0,IF(OR(43&gt;$R97,CI97&lt;=$I97),CI97,CI97-MIN(INT(ROUND(IF($F97=1,$C97*$J97,IF(GH97&gt;0,GH97*$K97,CI97*$J97))*IF(43=$R97,$S97,12)/12,6)+$B$4),CI97-$I97)))))</f>
        <v/>
      </c>
      <c r="CK97" s="68">
        <f>IF($U97=0,0,IF($F97=4,0,IF($F97=3,0,IF(OR(44&gt;$R97,CJ97&lt;=$I97),CJ97,CJ97-MIN(INT(ROUND(IF($F97=1,$C97*$J97,IF(GI97&gt;0,GI97*$K97,CJ97*$J97))*IF(44=$R97,$S97,12)/12,6)+$B$4),CJ97-$I97)))))</f>
        <v/>
      </c>
      <c r="CL97" s="68">
        <f>IF($U97=0,0,IF($F97=4,0,IF($F97=3,0,IF(OR(45&gt;$R97,CK97&lt;=$I97),CK97,CK97-MIN(INT(ROUND(IF($F97=1,$C97*$J97,IF(GJ97&gt;0,GJ97*$K97,CK97*$J97))*IF(45=$R97,$S97,12)/12,6)+$B$4),CK97-$I97)))))</f>
        <v/>
      </c>
      <c r="CM97" s="68">
        <f>IF($U97=0,0,IF($F97=4,0,IF($F97=3,0,IF(OR(46&gt;$R97,CL97&lt;=$I97),CL97,CL97-MIN(INT(ROUND(IF($F97=1,$C97*$J97,IF(GK97&gt;0,GK97*$K97,CL97*$J97))*IF(46=$R97,$S97,12)/12,6)+$B$4),CL97-$I97)))))</f>
        <v/>
      </c>
      <c r="CN97" s="68">
        <f>IF($U97=0,0,IF($F97=4,0,IF($F97=3,0,IF(OR(47&gt;$R97,CM97&lt;=$I97),CM97,CM97-MIN(INT(ROUND(IF($F97=1,$C97*$J97,IF(GL97&gt;0,GL97*$K97,CM97*$J97))*IF(47=$R97,$S97,12)/12,6)+$B$4),CM97-$I97)))))</f>
        <v/>
      </c>
      <c r="CO97" s="68">
        <f>IF($U97=0,0,IF($F97=4,0,IF($F97=3,0,IF(OR(48&gt;$R97,CN97&lt;=$I97),CN97,CN97-MIN(INT(ROUND(IF($F97=1,$C97*$J97,IF(GM97&gt;0,GM97*$K97,CN97*$J97))*IF(48=$R97,$S97,12)/12,6)+$B$4),CN97-$I97)))))</f>
        <v/>
      </c>
      <c r="CP97" s="68">
        <f>IF($U97=0,0,IF($F97=4,0,IF($F97=3,0,IF(OR(49&gt;$R97,CO97&lt;=$I97),CO97,CO97-MIN(INT(ROUND(IF($F97=1,$C97*$J97,IF(GN97&gt;0,GN97*$K97,CO97*$J97))*IF(49=$R97,$S97,12)/12,6)+$B$4),CO97-$I97)))))</f>
        <v/>
      </c>
      <c r="CQ97" s="68">
        <f>IF($U97=0,0,IF($F97=4,0,IF($F97=3,0,IF(OR(50&gt;$R97,CP97&lt;=$I97),CP97,CP97-MIN(INT(ROUND(IF($F97=1,$C97*$J97,IF(GO97&gt;0,GO97*$K97,CP97*$J97))*IF(50=$R97,$S97,12)/12,6)+$B$4),CP97-$I97)))))</f>
        <v/>
      </c>
      <c r="CR97" s="68">
        <f>IF($U97=0,0,IF($F97=4,0,IF($F97=3,0,IF(OR(51&gt;$R97,CQ97&lt;=$I97),CQ97,CQ97-MIN(INT(ROUND(IF($F97=1,$C97*$J97,IF(GP97&gt;0,GP97*$K97,CQ97*$J97))*IF(51=$R97,$S97,12)/12,6)+$B$4),CQ97-$I97)))))</f>
        <v/>
      </c>
      <c r="CS97" s="68">
        <f>IF($U97=0,0,IF($F97=4,0,IF($F97=3,0,IF(OR(52&gt;$R97,CR97&lt;=$I97),CR97,CR97-MIN(INT(ROUND(IF($F97=1,$C97*$J97,IF(GQ97&gt;0,GQ97*$K97,CR97*$J97))*IF(52=$R97,$S97,12)/12,6)+$B$4),CR97-$I97)))))</f>
        <v/>
      </c>
      <c r="CT97" s="68">
        <f>IF($U97=0,0,IF($F97=4,0,IF($F97=3,0,IF(OR(53&gt;$R97,CS97&lt;=$I97),CS97,CS97-MIN(INT(ROUND(IF($F97=1,$C97*$J97,IF(GR97&gt;0,GR97*$K97,CS97*$J97))*IF(53=$R97,$S97,12)/12,6)+$B$4),CS97-$I97)))))</f>
        <v/>
      </c>
      <c r="CU97" s="68">
        <f>IF($U97=0,0,IF($F97=4,0,IF($F97=3,0,IF(OR(54&gt;$R97,CT97&lt;=$I97),CT97,CT97-MIN(INT(ROUND(IF($F97=1,$C97*$J97,IF(GS97&gt;0,GS97*$K97,CT97*$J97))*IF(54=$R97,$S97,12)/12,6)+$B$4),CT97-$I97)))))</f>
        <v/>
      </c>
      <c r="CV97" s="68">
        <f>IF($U97=0,0,IF($F97=4,0,IF($F97=3,0,IF(OR(55&gt;$R97,CU97&lt;=$I97),CU97,CU97-MIN(INT(ROUND(IF($F97=1,$C97*$J97,IF(GT97&gt;0,GT97*$K97,CU97*$J97))*IF(55=$R97,$S97,12)/12,6)+$B$4),CU97-$I97)))))</f>
        <v/>
      </c>
      <c r="CW97" s="68">
        <f>IF($U97=0,0,IF($F97=4,0,IF($F97=3,0,IF(OR(56&gt;$R97,CV97&lt;=$I97),CV97,CV97-MIN(INT(ROUND(IF($F97=1,$C97*$J97,IF(GU97&gt;0,GU97*$K97,CV97*$J97))*IF(56=$R97,$S97,12)/12,6)+$B$4),CV97-$I97)))))</f>
        <v/>
      </c>
      <c r="CX97" s="68">
        <f>IF($U97=0,0,IF($F97=4,0,IF($F97=3,0,IF(OR(57&gt;$R97,CW97&lt;=$I97),CW97,CW97-MIN(INT(ROUND(IF($F97=1,$C97*$J97,IF(GV97&gt;0,GV97*$K97,CW97*$J97))*IF(57=$R97,$S97,12)/12,6)+$B$4),CW97-$I97)))))</f>
        <v/>
      </c>
      <c r="CY97" s="68">
        <f>IF($U97=0,0,IF($F97=4,0,IF($F97=3,0,IF(OR(58&gt;$R97,CX97&lt;=$I97),CX97,CX97-MIN(INT(ROUND(IF($F97=1,$C97*$J97,IF(GW97&gt;0,GW97*$K97,CX97*$J97))*IF(58=$R97,$S97,12)/12,6)+$B$4),CX97-$I97)))))</f>
        <v/>
      </c>
      <c r="CZ97" s="68">
        <f>IF($U97=0,0,IF($F97=4,0,IF($F97=3,0,IF(OR(59&gt;$R97,CY97&lt;=$I97),CY97,CY97-MIN(INT(ROUND(IF($F97=1,$C97*$J97,IF(GX97&gt;0,GX97*$K97,CY97*$J97))*IF(59=$R97,$S97,12)/12,6)+$B$4),CY97-$I97)))))</f>
        <v/>
      </c>
      <c r="DA97" s="68">
        <f>IF($U97=0,0,IF($F97=4,0,IF($F97=3,0,IF(OR(60&gt;$R97,CZ97&lt;=$I97),CZ97,CZ97-MIN(INT(ROUND(IF($F97=1,$C97*$J97,IF(GY97&gt;0,GY97*$K97,CZ97*$J97))*IF(60=$R97,$S97,12)/12,6)+$B$4),CZ97-$I97)))))</f>
        <v/>
      </c>
      <c r="DB97" s="68">
        <f>IF($U97=0,0,IF($F97=4,0,IF($F97=3,0,IF(OR(61&gt;$R97,DA97&lt;=$I97),DA97,DA97-MIN(INT(ROUND(IF($F97=1,$C97*$J97,IF(GZ97&gt;0,GZ97*$K97,DA97*$J97))*IF(61=$R97,$S97,12)/12,6)+$B$4),DA97-$I97)))))</f>
        <v/>
      </c>
      <c r="DC97" s="68">
        <f>IF($U97=0,0,IF($F97=4,0,IF($F97=3,0,IF(OR(62&gt;$R97,DB97&lt;=$I97),DB97,DB97-MIN(INT(ROUND(IF($F97=1,$C97*$J97,IF(HA97&gt;0,HA97*$K97,DB97*$J97))*IF(62=$R97,$S97,12)/12,6)+$B$4),DB97-$I97)))))</f>
        <v/>
      </c>
      <c r="DD97" s="68">
        <f>IF($U97=0,0,IF($F97=4,0,IF($F97=3,0,IF(OR(63&gt;$R97,DC97&lt;=$I97),DC97,DC97-MIN(INT(ROUND(IF($F97=1,$C97*$J97,IF(HB97&gt;0,HB97*$K97,DC97*$J97))*IF(63=$R97,$S97,12)/12,6)+$B$4),DC97-$I97)))))</f>
        <v/>
      </c>
      <c r="DE97" s="68">
        <f>IF($U97=0,0,IF($F97=4,0,IF($F97=3,0,IF(OR(64&gt;$R97,DD97&lt;=$I97),DD97,DD97-MIN(INT(ROUND(IF($F97=1,$C97*$J97,IF(HC97&gt;0,HC97*$K97,DD97*$J97))*IF(64=$R97,$S97,12)/12,6)+$B$4),DD97-$I97)))))</f>
        <v/>
      </c>
      <c r="DF97" s="68">
        <f>IF($U97=0,0,IF($F97=4,0,IF($F97=3,0,IF(OR(65&gt;$R97,DE97&lt;=$I97),DE97,DE97-MIN(INT(ROUND(IF($F97=1,$C97*$J97,IF(HD97&gt;0,HD97*$K97,DE97*$J97))*IF(65=$R97,$S97,12)/12,6)+$B$4),DE97-$I97)))))</f>
        <v/>
      </c>
      <c r="DG97" s="68">
        <f>IF($U97=0,0,IF($F97=4,0,IF($F97=3,0,IF(OR(66&gt;$R97,DF97&lt;=$I97),DF97,DF97-MIN(INT(ROUND(IF($F97=1,$C97*$J97,IF(HE97&gt;0,HE97*$K97,DF97*$J97))*IF(66=$R97,$S97,12)/12,6)+$B$4),DF97-$I97)))))</f>
        <v/>
      </c>
      <c r="DH97" s="68">
        <f>IF($U97=0,0,IF($F97=4,0,IF($F97=3,0,IF(OR(67&gt;$R97,DG97&lt;=$I97),DG97,DG97-MIN(INT(ROUND(IF($F97=1,$C97*$J97,IF(HF97&gt;0,HF97*$K97,DG97*$J97))*IF(67=$R97,$S97,12)/12,6)+$B$4),DG97-$I97)))))</f>
        <v/>
      </c>
      <c r="DI97" s="68">
        <f>IF($U97=0,0,IF($F97=4,0,IF($F97=3,0,IF(OR(68&gt;$R97,DH97&lt;=$I97),DH97,DH97-MIN(INT(ROUND(IF($F97=1,$C97*$J97,IF(HG97&gt;0,HG97*$K97,DH97*$J97))*IF(68=$R97,$S97,12)/12,6)+$B$4),DH97-$I97)))))</f>
        <v/>
      </c>
      <c r="DJ97" s="68">
        <f>IF($U97=0,0,IF($F97=4,0,IF($F97=3,0,IF(OR(69&gt;$R97,DI97&lt;=$I97),DI97,DI97-MIN(INT(ROUND(IF($F97=1,$C97*$J97,IF(HH97&gt;0,HH97*$K97,DI97*$J97))*IF(69=$R97,$S97,12)/12,6)+$B$4),DI97-$I97)))))</f>
        <v/>
      </c>
      <c r="DK97" s="68">
        <f>IF($U97=0,0,IF($F97=4,0,IF($F97=3,0,IF(OR(70&gt;$R97,DJ97&lt;=$I97),DJ97,DJ97-MIN(INT(ROUND(IF($F97=1,$C97*$J97,IF(HI97&gt;0,HI97*$K97,DJ97*$J97))*IF(70=$R97,$S97,12)/12,6)+$B$4),DJ97-$I97)))))</f>
        <v/>
      </c>
      <c r="DL97" s="68">
        <f>IF($U97=0,0,IF($F97=4,0,IF($F97=3,0,IF(OR(71&gt;$R97,DK97&lt;=$I97),DK97,DK97-MIN(INT(ROUND(IF($F97=1,$C97*$J97,IF(HJ97&gt;0,HJ97*$K97,DK97*$J97))*IF(71=$R97,$S97,12)/12,6)+$B$4),DK97-$I97)))))</f>
        <v/>
      </c>
      <c r="DM97" s="68">
        <f>IF($U97=0,0,IF($F97=4,0,IF($F97=3,0,IF(OR(72&gt;$R97,DL97&lt;=$I97),DL97,DL97-MIN(INT(ROUND(IF($F97=1,$C97*$J97,IF(HK97&gt;0,HK97*$K97,DL97*$J97))*IF(72=$R97,$S97,12)/12,6)+$B$4),DL97-$I97)))))</f>
        <v/>
      </c>
      <c r="DN97" s="68">
        <f>IF($U97=0,0,IF($F97=4,0,IF($F97=3,0,IF(OR(73&gt;$R97,DM97&lt;=$I97),DM97,DM97-MIN(INT(ROUND(IF($F97=1,$C97*$J97,IF(HL97&gt;0,HL97*$K97,DM97*$J97))*IF(73=$R97,$S97,12)/12,6)+$B$4),DM97-$I97)))))</f>
        <v/>
      </c>
      <c r="DO97" s="68">
        <f>IF($U97=0,0,IF($F97=4,0,IF($F97=3,0,IF(OR(74&gt;$R97,DN97&lt;=$I97),DN97,DN97-MIN(INT(ROUND(IF($F97=1,$C97*$J97,IF(HM97&gt;0,HM97*$K97,DN97*$J97))*IF(74=$R97,$S97,12)/12,6)+$B$4),DN97-$I97)))))</f>
        <v/>
      </c>
      <c r="DP97" s="68">
        <f>IF($U97=0,0,IF($F97=4,0,IF($F97=3,0,IF(OR(75&gt;$R97,DO97&lt;=$I97),DO97,DO97-MIN(INT(ROUND(IF($F97=1,$C97*$J97,IF(HN97&gt;0,HN97*$K97,DO97*$J97))*IF(75=$R97,$S97,12)/12,6)+$B$4),DO97-$I97)))))</f>
        <v/>
      </c>
      <c r="DQ97" s="68">
        <f>IF($U97=0,0,IF($F97=4,0,IF($F97=3,0,IF(OR(76&gt;$R97,DP97&lt;=$I97),DP97,DP97-MIN(INT(ROUND(IF($F97=1,$C97*$J97,IF(HO97&gt;0,HO97*$K97,DP97*$J97))*IF(76=$R97,$S97,12)/12,6)+$B$4),DP97-$I97)))))</f>
        <v/>
      </c>
      <c r="DR97" s="68">
        <f>IF($U97=0,0,IF($F97=4,0,IF($F97=3,0,IF(OR(77&gt;$R97,DQ97&lt;=$I97),DQ97,DQ97-MIN(INT(ROUND(IF($F97=1,$C97*$J97,IF(HP97&gt;0,HP97*$K97,DQ97*$J97))*IF(77=$R97,$S97,12)/12,6)+$B$4),DQ97-$I97)))))</f>
        <v/>
      </c>
      <c r="DS97" s="68">
        <f>IF($U97=0,0,IF($F97=4,0,IF($F97=3,0,IF(OR(78&gt;$R97,DR97&lt;=$I97),DR97,DR97-MIN(INT(ROUND(IF($F97=1,$C97*$J97,IF(HQ97&gt;0,HQ97*$K97,DR97*$J97))*IF(78=$R97,$S97,12)/12,6)+$B$4),DR97-$I97)))))</f>
        <v/>
      </c>
      <c r="DT97" s="68">
        <f>IF($U97=0,0,IF($F97=4,0,IF($F97=3,0,IF(OR(79&gt;$R97,DS97&lt;=$I97),DS97,DS97-MIN(INT(ROUND(IF($F97=1,$C97*$J97,IF(HR97&gt;0,HR97*$K97,DS97*$J97))*IF(79=$R97,$S97,12)/12,6)+$B$4),DS97-$I97)))))</f>
        <v/>
      </c>
      <c r="DU97" s="68">
        <f>IF($U97=0,0,IF($F97=4,0,IF($F97=3,0,IF(OR(80&gt;$R97,DT97&lt;=$I97),DT97,DT97-MIN(INT(ROUND(IF($F97=1,$C97*$J97,IF(HS97&gt;0,HS97*$K97,DT97*$J97))*IF(80=$R97,$S97,12)/12,6)+$B$4),DT97-$I97)))))</f>
        <v/>
      </c>
      <c r="DV97" s="68">
        <f>IF($U97=0,0,IF($F97=4,0,IF($F97=3,0,IF(OR(81&gt;$R97,DU97&lt;=$I97),DU97,DU97-MIN(INT(ROUND(IF($F97=1,$C97*$J97,IF(HT97&gt;0,HT97*$K97,DU97*$J97))*IF(81=$R97,$S97,12)/12,6)+$B$4),DU97-$I97)))))</f>
        <v/>
      </c>
      <c r="DW97" s="68">
        <f>IF($U97=0,0,IF($F97=4,0,IF($F97=3,0,IF(OR(82&gt;$R97,DV97&lt;=$I97),DV97,DV97-MIN(INT(ROUND(IF($F97=1,$C97*$J97,IF(HU97&gt;0,HU97*$K97,DV97*$J97))*IF(82=$R97,$S97,12)/12,6)+$B$4),DV97-$I97)))))</f>
        <v/>
      </c>
      <c r="DX97" s="68">
        <f>IF($U97=0,0,IF($F97=4,0,IF($F97=3,0,IF(OR(83&gt;$R97,DW97&lt;=$I97),DW97,DW97-MIN(INT(ROUND(IF($F97=1,$C97*$J97,IF(HV97&gt;0,HV97*$K97,DW97*$J97))*IF(83=$R97,$S97,12)/12,6)+$B$4),DW97-$I97)))))</f>
        <v/>
      </c>
      <c r="DY97" s="68">
        <f>IF($U97=0,0,IF($F97=4,0,IF($F97=3,0,IF(OR(84&gt;$R97,DX97&lt;=$I97),DX97,DX97-MIN(INT(ROUND(IF($F97=1,$C97*$J97,IF(HW97&gt;0,HW97*$K97,DX97*$J97))*IF(84=$R97,$S97,12)/12,6)+$B$4),DX97-$I97)))))</f>
        <v/>
      </c>
      <c r="DZ97" s="68">
        <f>IF($U97=0,0,IF($F97=4,0,IF($F97=3,0,IF(OR(85&gt;$R97,DY97&lt;=$I97),DY97,DY97-MIN(INT(ROUND(IF($F97=1,$C97*$J97,IF(HX97&gt;0,HX97*$K97,DY97*$J97))*IF(85=$R97,$S97,12)/12,6)+$B$4),DY97-$I97)))))</f>
        <v/>
      </c>
      <c r="EA97" s="68">
        <f>IF($U97=0,0,IF($F97=4,0,IF($F97=3,0,IF(OR(86&gt;$R97,DZ97&lt;=$I97),DZ97,DZ97-MIN(INT(ROUND(IF($F97=1,$C97*$J97,IF(HY97&gt;0,HY97*$K97,DZ97*$J97))*IF(86=$R97,$S97,12)/12,6)+$B$4),DZ97-$I97)))))</f>
        <v/>
      </c>
      <c r="EB97" s="68">
        <f>IF($U97=0,0,IF($F97=4,0,IF($F97=3,0,IF(OR(87&gt;$R97,EA97&lt;=$I97),EA97,EA97-MIN(INT(ROUND(IF($F97=1,$C97*$J97,IF(HZ97&gt;0,HZ97*$K97,EA97*$J97))*IF(87=$R97,$S97,12)/12,6)+$B$4),EA97-$I97)))))</f>
        <v/>
      </c>
      <c r="EC97" s="68">
        <f>IF($U97=0,0,IF($F97=4,0,IF($F97=3,0,IF(OR(88&gt;$R97,EB97&lt;=$I97),EB97,EB97-MIN(INT(ROUND(IF($F97=1,$C97*$J97,IF(IA97&gt;0,IA97*$K97,EB97*$J97))*IF(88=$R97,$S97,12)/12,6)+$B$4),EB97-$I97)))))</f>
        <v/>
      </c>
      <c r="ED97" s="68">
        <f>IF($U97=0,0,IF($F97=4,0,IF($F97=3,0,IF(OR(89&gt;$R97,EC97&lt;=$I97),EC97,EC97-MIN(INT(ROUND(IF($F97=1,$C97*$J97,IF(IB97&gt;0,IB97*$K97,EC97*$J97))*IF(89=$R97,$S97,12)/12,6)+$B$4),EC97-$I97)))))</f>
        <v/>
      </c>
      <c r="EE97" s="68">
        <f>IF($U97=0,0,IF($F97=4,0,IF($F97=3,0,IF(OR(90&gt;$R97,ED97&lt;=$I97),ED97,ED97-MIN(INT(ROUND(IF($F97=1,$C97*$J97,IF(IC97&gt;0,IC97*$K97,ED97*$J97))*IF(90=$R97,$S97,12)/12,6)+$B$4),ED97-$I97)))))</f>
        <v/>
      </c>
      <c r="EF97" s="68">
        <f>IF($U97=0,0,IF($F97=4,0,IF($F97=3,0,IF(OR(91&gt;$R97,EE97&lt;=$I97),EE97,EE97-MIN(INT(ROUND(IF($F97=1,$C97*$J97,IF(ID97&gt;0,ID97*$K97,EE97*$J97))*IF(91=$R97,$S97,12)/12,6)+$B$4),EE97-$I97)))))</f>
        <v/>
      </c>
      <c r="EG97" s="68">
        <f>IF($U97=0,0,IF($F97=4,0,IF($F97=3,0,IF(OR(92&gt;$R97,EF97&lt;=$I97),EF97,EF97-MIN(INT(ROUND(IF($F97=1,$C97*$J97,IF(IE97&gt;0,IE97*$K97,EF97*$J97))*IF(92=$R97,$S97,12)/12,6)+$B$4),EF97-$I97)))))</f>
        <v/>
      </c>
      <c r="EH97" s="68">
        <f>IF($U97=0,0,IF($F97=4,0,IF($F97=3,0,IF(OR(93&gt;$R97,EG97&lt;=$I97),EG97,EG97-MIN(INT(ROUND(IF($F97=1,$C97*$J97,IF(IF97&gt;0,IF97*$K97,EG97*$J97))*IF(93=$R97,$S97,12)/12,6)+$B$4),EG97-$I97)))))</f>
        <v/>
      </c>
      <c r="EI97" s="68">
        <f>IF($U97=0,0,IF($F97=4,0,IF($F97=3,0,IF(OR(94&gt;$R97,EH97&lt;=$I97),EH97,EH97-MIN(INT(ROUND(IF($F97=1,$C97*$J97,IF(IG97&gt;0,IG97*$K97,EH97*$J97))*IF(94=$R97,$S97,12)/12,6)+$B$4),EH97-$I97)))))</f>
        <v/>
      </c>
      <c r="EJ97" s="68">
        <f>IF($U97=0,0,IF($F97=4,0,IF($F97=3,0,IF(OR(95&gt;$R97,EI97&lt;=$I97),EI97,EI97-MIN(INT(ROUND(IF($F97=1,$C97*$J97,IF(IH97&gt;0,IH97*$K97,EI97*$J97))*IF(95=$R97,$S97,12)/12,6)+$B$4),EI97-$I97)))))</f>
        <v/>
      </c>
      <c r="EK97" s="68">
        <f>IF($U97=0,0,IF($F97=4,0,IF($F97=3,0,IF(OR(96&gt;$R97,EJ97&lt;=$I97),EJ97,EJ97-MIN(INT(ROUND(IF($F97=1,$C97*$J97,IF(II97&gt;0,II97*$K97,EJ97*$J97))*IF(96=$R97,$S97,12)/12,6)+$B$4),EJ97-$I97)))))</f>
        <v/>
      </c>
      <c r="EL97" s="68">
        <f>IF($U97=0,0,IF($F97=4,0,IF($F97=3,0,IF(OR(97&gt;$R97,EK97&lt;=$I97),EK97,EK97-MIN(INT(ROUND(IF($F97=1,$C97*$J97,IF(IJ97&gt;0,IJ97*$K97,EK97*$J97))*IF(97=$R97,$S97,12)/12,6)+$B$4),EK97-$I97)))))</f>
        <v/>
      </c>
      <c r="EM97" s="68">
        <f>IF($U97=0,0,IF($F97=4,0,IF($F97=3,0,IF(OR(98&gt;$R97,EL97&lt;=$I97),EL97,EL97-MIN(INT(ROUND(IF($F97=1,$C97*$J97,IF(IK97&gt;0,IK97*$K97,EL97*$J97))*IF(98=$R97,$S97,12)/12,6)+$B$4),EL97-$I97)))))</f>
        <v/>
      </c>
      <c r="EN97" s="68">
        <f>IF($U97=0,0,IF($F97=4,0,IF($F97=3,0,IF(OR(99&gt;$R97,EM97&lt;=$I97),EM97,EM97-MIN(INT(ROUND(IF($F97=1,$C97*$J97,IF(IL97&gt;0,IL97*$K97,EM97*$J97))*IF(99=$R97,$S97,12)/12,6)+$B$4),EM97-$I97)))))</f>
        <v/>
      </c>
      <c r="EO97" s="68">
        <f>IF($U97=0,0,IF($F97=4,0,IF($F97=3,0,IF(OR(100&gt;$R97,EN97&lt;=$I97),EN97,EN97-MIN(INT(ROUND(IF($F97=1,$C97*$J97,IF(IM97&gt;0,IM97*$K97,EN97*$J97))*IF(100=$R97,$S97,12)/12,6)+$B$4),EN97-$I97)))))</f>
        <v/>
      </c>
      <c r="EP97" s="68">
        <f>IF($U97=0,0,IF($F97=4,0,IF($F97=3,0,IF(OR(101&gt;$R97,EO97&lt;=$I97),EO97,EO97-MIN(INT(ROUND(IF($F97=1,$C97*$J97,IF(IN97&gt;0,IN97*$K97,EO97*$J97))*IF(101=$R97,$S97,12)/12,6)+$B$4),EO97-$I97)))))</f>
        <v/>
      </c>
      <c r="EQ97" s="68" t="n"/>
      <c r="ER97" s="68">
        <f>IF(OR($U97=0,$F97&lt;&gt;2),0,IF(ROUND(AS97*$J97,6)&lt;ROUND($M97,6),AS97,0))</f>
        <v/>
      </c>
      <c r="ES97" s="68">
        <f>IF(OR($U97=0,$F97&lt;&gt;2),0,IF(ER97&gt;0,ER97,IF(ROUND(AT97*$J97,6)&lt;ROUND($M97,6),AT97,0)))</f>
        <v/>
      </c>
      <c r="ET97" s="68">
        <f>IF(OR($U97=0,$F97&lt;&gt;2),0,IF(ES97&gt;0,ES97,IF(ROUND(AU97*$J97,6)&lt;ROUND($M97,6),AU97,0)))</f>
        <v/>
      </c>
      <c r="EU97" s="68">
        <f>IF(OR($U97=0,$F97&lt;&gt;2),0,IF(ET97&gt;0,ET97,IF(ROUND(AV97*$J97,6)&lt;ROUND($M97,6),AV97,0)))</f>
        <v/>
      </c>
      <c r="EV97" s="68">
        <f>IF(OR($U97=0,$F97&lt;&gt;2),0,IF(EU97&gt;0,EU97,IF(ROUND(AW97*$J97,6)&lt;ROUND($M97,6),AW97,0)))</f>
        <v/>
      </c>
      <c r="EW97" s="68">
        <f>IF(OR($U97=0,$F97&lt;&gt;2),0,IF(EV97&gt;0,EV97,IF(ROUND(AX97*$J97,6)&lt;ROUND($M97,6),AX97,0)))</f>
        <v/>
      </c>
      <c r="EX97" s="68">
        <f>IF(OR($U97=0,$F97&lt;&gt;2),0,IF(EW97&gt;0,EW97,IF(ROUND(AY97*$J97,6)&lt;ROUND($M97,6),AY97,0)))</f>
        <v/>
      </c>
      <c r="EY97" s="68">
        <f>IF(OR($U97=0,$F97&lt;&gt;2),0,IF(EX97&gt;0,EX97,IF(ROUND(AZ97*$J97,6)&lt;ROUND($M97,6),AZ97,0)))</f>
        <v/>
      </c>
      <c r="EZ97" s="68">
        <f>IF(OR($U97=0,$F97&lt;&gt;2),0,IF(EY97&gt;0,EY97,IF(ROUND(BA97*$J97,6)&lt;ROUND($M97,6),BA97,0)))</f>
        <v/>
      </c>
      <c r="FA97" s="68">
        <f>IF(OR($U97=0,$F97&lt;&gt;2),0,IF(EZ97&gt;0,EZ97,IF(ROUND(BB97*$J97,6)&lt;ROUND($M97,6),BB97,0)))</f>
        <v/>
      </c>
      <c r="FB97" s="68">
        <f>IF(OR($U97=0,$F97&lt;&gt;2),0,IF(FA97&gt;0,FA97,IF(ROUND(BC97*$J97,6)&lt;ROUND($M97,6),BC97,0)))</f>
        <v/>
      </c>
      <c r="FC97" s="68">
        <f>IF(OR($U97=0,$F97&lt;&gt;2),0,IF(FB97&gt;0,FB97,IF(ROUND(BD97*$J97,6)&lt;ROUND($M97,6),BD97,0)))</f>
        <v/>
      </c>
      <c r="FD97" s="68">
        <f>IF(OR($U97=0,$F97&lt;&gt;2),0,IF(FC97&gt;0,FC97,IF(ROUND(BE97*$J97,6)&lt;ROUND($M97,6),BE97,0)))</f>
        <v/>
      </c>
      <c r="FE97" s="68">
        <f>IF(OR($U97=0,$F97&lt;&gt;2),0,IF(FD97&gt;0,FD97,IF(ROUND(BF97*$J97,6)&lt;ROUND($M97,6),BF97,0)))</f>
        <v/>
      </c>
      <c r="FF97" s="68">
        <f>IF(OR($U97=0,$F97&lt;&gt;2),0,IF(FE97&gt;0,FE97,IF(ROUND(BG97*$J97,6)&lt;ROUND($M97,6),BG97,0)))</f>
        <v/>
      </c>
      <c r="FG97" s="68">
        <f>IF(OR($U97=0,$F97&lt;&gt;2),0,IF(FF97&gt;0,FF97,IF(ROUND(BH97*$J97,6)&lt;ROUND($M97,6),BH97,0)))</f>
        <v/>
      </c>
      <c r="FH97" s="68">
        <f>IF(OR($U97=0,$F97&lt;&gt;2),0,IF(FG97&gt;0,FG97,IF(ROUND(BI97*$J97,6)&lt;ROUND($M97,6),BI97,0)))</f>
        <v/>
      </c>
      <c r="FI97" s="68">
        <f>IF(OR($U97=0,$F97&lt;&gt;2),0,IF(FH97&gt;0,FH97,IF(ROUND(BJ97*$J97,6)&lt;ROUND($M97,6),BJ97,0)))</f>
        <v/>
      </c>
      <c r="FJ97" s="68">
        <f>IF(OR($U97=0,$F97&lt;&gt;2),0,IF(FI97&gt;0,FI97,IF(ROUND(BK97*$J97,6)&lt;ROUND($M97,6),BK97,0)))</f>
        <v/>
      </c>
      <c r="FK97" s="68">
        <f>IF(OR($U97=0,$F97&lt;&gt;2),0,IF(FJ97&gt;0,FJ97,IF(ROUND(BL97*$J97,6)&lt;ROUND($M97,6),BL97,0)))</f>
        <v/>
      </c>
      <c r="FL97" s="68">
        <f>IF(OR($U97=0,$F97&lt;&gt;2),0,IF(FK97&gt;0,FK97,IF(ROUND(BM97*$J97,6)&lt;ROUND($M97,6),BM97,0)))</f>
        <v/>
      </c>
      <c r="FM97" s="68">
        <f>IF(OR($U97=0,$F97&lt;&gt;2),0,IF(FL97&gt;0,FL97,IF(ROUND(BN97*$J97,6)&lt;ROUND($M97,6),BN97,0)))</f>
        <v/>
      </c>
      <c r="FN97" s="68">
        <f>IF(OR($U97=0,$F97&lt;&gt;2),0,IF(FM97&gt;0,FM97,IF(ROUND(BO97*$J97,6)&lt;ROUND($M97,6),BO97,0)))</f>
        <v/>
      </c>
      <c r="FO97" s="68">
        <f>IF(OR($U97=0,$F97&lt;&gt;2),0,IF(FN97&gt;0,FN97,IF(ROUND(BP97*$J97,6)&lt;ROUND($M97,6),BP97,0)))</f>
        <v/>
      </c>
      <c r="FP97" s="68">
        <f>IF(OR($U97=0,$F97&lt;&gt;2),0,IF(FO97&gt;0,FO97,IF(ROUND(BQ97*$J97,6)&lt;ROUND($M97,6),BQ97,0)))</f>
        <v/>
      </c>
      <c r="FQ97" s="68">
        <f>IF(OR($U97=0,$F97&lt;&gt;2),0,IF(FP97&gt;0,FP97,IF(ROUND(BR97*$J97,6)&lt;ROUND($M97,6),BR97,0)))</f>
        <v/>
      </c>
      <c r="FR97" s="68">
        <f>IF(OR($U97=0,$F97&lt;&gt;2),0,IF(FQ97&gt;0,FQ97,IF(ROUND(BS97*$J97,6)&lt;ROUND($M97,6),BS97,0)))</f>
        <v/>
      </c>
      <c r="FS97" s="68">
        <f>IF(OR($U97=0,$F97&lt;&gt;2),0,IF(FR97&gt;0,FR97,IF(ROUND(BT97*$J97,6)&lt;ROUND($M97,6),BT97,0)))</f>
        <v/>
      </c>
      <c r="FT97" s="68">
        <f>IF(OR($U97=0,$F97&lt;&gt;2),0,IF(FS97&gt;0,FS97,IF(ROUND(BU97*$J97,6)&lt;ROUND($M97,6),BU97,0)))</f>
        <v/>
      </c>
      <c r="FU97" s="68">
        <f>IF(OR($U97=0,$F97&lt;&gt;2),0,IF(FT97&gt;0,FT97,IF(ROUND(BV97*$J97,6)&lt;ROUND($M97,6),BV97,0)))</f>
        <v/>
      </c>
      <c r="FV97" s="68">
        <f>IF(OR($U97=0,$F97&lt;&gt;2),0,IF(FU97&gt;0,FU97,IF(ROUND(BW97*$J97,6)&lt;ROUND($M97,6),BW97,0)))</f>
        <v/>
      </c>
      <c r="FW97" s="68">
        <f>IF(OR($U97=0,$F97&lt;&gt;2),0,IF(FV97&gt;0,FV97,IF(ROUND(BX97*$J97,6)&lt;ROUND($M97,6),BX97,0)))</f>
        <v/>
      </c>
      <c r="FX97" s="68">
        <f>IF(OR($U97=0,$F97&lt;&gt;2),0,IF(FW97&gt;0,FW97,IF(ROUND(BY97*$J97,6)&lt;ROUND($M97,6),BY97,0)))</f>
        <v/>
      </c>
      <c r="FY97" s="68">
        <f>IF(OR($U97=0,$F97&lt;&gt;2),0,IF(FX97&gt;0,FX97,IF(ROUND(BZ97*$J97,6)&lt;ROUND($M97,6),BZ97,0)))</f>
        <v/>
      </c>
      <c r="FZ97" s="68">
        <f>IF(OR($U97=0,$F97&lt;&gt;2),0,IF(FY97&gt;0,FY97,IF(ROUND(CA97*$J97,6)&lt;ROUND($M97,6),CA97,0)))</f>
        <v/>
      </c>
      <c r="GA97" s="68">
        <f>IF(OR($U97=0,$F97&lt;&gt;2),0,IF(FZ97&gt;0,FZ97,IF(ROUND(CB97*$J97,6)&lt;ROUND($M97,6),CB97,0)))</f>
        <v/>
      </c>
      <c r="GB97" s="68">
        <f>IF(OR($U97=0,$F97&lt;&gt;2),0,IF(GA97&gt;0,GA97,IF(ROUND(CC97*$J97,6)&lt;ROUND($M97,6),CC97,0)))</f>
        <v/>
      </c>
      <c r="GC97" s="68">
        <f>IF(OR($U97=0,$F97&lt;&gt;2),0,IF(GB97&gt;0,GB97,IF(ROUND(CD97*$J97,6)&lt;ROUND($M97,6),CD97,0)))</f>
        <v/>
      </c>
      <c r="GD97" s="68">
        <f>IF(OR($U97=0,$F97&lt;&gt;2),0,IF(GC97&gt;0,GC97,IF(ROUND(CE97*$J97,6)&lt;ROUND($M97,6),CE97,0)))</f>
        <v/>
      </c>
      <c r="GE97" s="68">
        <f>IF(OR($U97=0,$F97&lt;&gt;2),0,IF(GD97&gt;0,GD97,IF(ROUND(CF97*$J97,6)&lt;ROUND($M97,6),CF97,0)))</f>
        <v/>
      </c>
      <c r="GF97" s="68">
        <f>IF(OR($U97=0,$F97&lt;&gt;2),0,IF(GE97&gt;0,GE97,IF(ROUND(CG97*$J97,6)&lt;ROUND($M97,6),CG97,0)))</f>
        <v/>
      </c>
      <c r="GG97" s="68">
        <f>IF(OR($U97=0,$F97&lt;&gt;2),0,IF(GF97&gt;0,GF97,IF(ROUND(CH97*$J97,6)&lt;ROUND($M97,6),CH97,0)))</f>
        <v/>
      </c>
      <c r="GH97" s="68">
        <f>IF(OR($U97=0,$F97&lt;&gt;2),0,IF(GG97&gt;0,GG97,IF(ROUND(CI97*$J97,6)&lt;ROUND($M97,6),CI97,0)))</f>
        <v/>
      </c>
      <c r="GI97" s="68">
        <f>IF(OR($U97=0,$F97&lt;&gt;2),0,IF(GH97&gt;0,GH97,IF(ROUND(CJ97*$J97,6)&lt;ROUND($M97,6),CJ97,0)))</f>
        <v/>
      </c>
      <c r="GJ97" s="68">
        <f>IF(OR($U97=0,$F97&lt;&gt;2),0,IF(GI97&gt;0,GI97,IF(ROUND(CK97*$J97,6)&lt;ROUND($M97,6),CK97,0)))</f>
        <v/>
      </c>
      <c r="GK97" s="68">
        <f>IF(OR($U97=0,$F97&lt;&gt;2),0,IF(GJ97&gt;0,GJ97,IF(ROUND(CL97*$J97,6)&lt;ROUND($M97,6),CL97,0)))</f>
        <v/>
      </c>
      <c r="GL97" s="68">
        <f>IF(OR($U97=0,$F97&lt;&gt;2),0,IF(GK97&gt;0,GK97,IF(ROUND(CM97*$J97,6)&lt;ROUND($M97,6),CM97,0)))</f>
        <v/>
      </c>
      <c r="GM97" s="68">
        <f>IF(OR($U97=0,$F97&lt;&gt;2),0,IF(GL97&gt;0,GL97,IF(ROUND(CN97*$J97,6)&lt;ROUND($M97,6),CN97,0)))</f>
        <v/>
      </c>
      <c r="GN97" s="68">
        <f>IF(OR($U97=0,$F97&lt;&gt;2),0,IF(GM97&gt;0,GM97,IF(ROUND(CO97*$J97,6)&lt;ROUND($M97,6),CO97,0)))</f>
        <v/>
      </c>
      <c r="GO97" s="68">
        <f>IF(OR($U97=0,$F97&lt;&gt;2),0,IF(GN97&gt;0,GN97,IF(ROUND(CP97*$J97,6)&lt;ROUND($M97,6),CP97,0)))</f>
        <v/>
      </c>
      <c r="GP97" s="68">
        <f>IF(OR($U97=0,$F97&lt;&gt;2),0,IF(GO97&gt;0,GO97,IF(ROUND(CQ97*$J97,6)&lt;ROUND($M97,6),CQ97,0)))</f>
        <v/>
      </c>
      <c r="GQ97" s="68">
        <f>IF(OR($U97=0,$F97&lt;&gt;2),0,IF(GP97&gt;0,GP97,IF(ROUND(CR97*$J97,6)&lt;ROUND($M97,6),CR97,0)))</f>
        <v/>
      </c>
      <c r="GR97" s="68">
        <f>IF(OR($U97=0,$F97&lt;&gt;2),0,IF(GQ97&gt;0,GQ97,IF(ROUND(CS97*$J97,6)&lt;ROUND($M97,6),CS97,0)))</f>
        <v/>
      </c>
      <c r="GS97" s="68">
        <f>IF(OR($U97=0,$F97&lt;&gt;2),0,IF(GR97&gt;0,GR97,IF(ROUND(CT97*$J97,6)&lt;ROUND($M97,6),CT97,0)))</f>
        <v/>
      </c>
      <c r="GT97" s="68">
        <f>IF(OR($U97=0,$F97&lt;&gt;2),0,IF(GS97&gt;0,GS97,IF(ROUND(CU97*$J97,6)&lt;ROUND($M97,6),CU97,0)))</f>
        <v/>
      </c>
      <c r="GU97" s="68">
        <f>IF(OR($U97=0,$F97&lt;&gt;2),0,IF(GT97&gt;0,GT97,IF(ROUND(CV97*$J97,6)&lt;ROUND($M97,6),CV97,0)))</f>
        <v/>
      </c>
      <c r="GV97" s="68">
        <f>IF(OR($U97=0,$F97&lt;&gt;2),0,IF(GU97&gt;0,GU97,IF(ROUND(CW97*$J97,6)&lt;ROUND($M97,6),CW97,0)))</f>
        <v/>
      </c>
      <c r="GW97" s="68">
        <f>IF(OR($U97=0,$F97&lt;&gt;2),0,IF(GV97&gt;0,GV97,IF(ROUND(CX97*$J97,6)&lt;ROUND($M97,6),CX97,0)))</f>
        <v/>
      </c>
      <c r="GX97" s="68">
        <f>IF(OR($U97=0,$F97&lt;&gt;2),0,IF(GW97&gt;0,GW97,IF(ROUND(CY97*$J97,6)&lt;ROUND($M97,6),CY97,0)))</f>
        <v/>
      </c>
      <c r="GY97" s="68">
        <f>IF(OR($U97=0,$F97&lt;&gt;2),0,IF(GX97&gt;0,GX97,IF(ROUND(CZ97*$J97,6)&lt;ROUND($M97,6),CZ97,0)))</f>
        <v/>
      </c>
      <c r="GZ97" s="68">
        <f>IF(OR($U97=0,$F97&lt;&gt;2),0,IF(GY97&gt;0,GY97,IF(ROUND(DA97*$J97,6)&lt;ROUND($M97,6),DA97,0)))</f>
        <v/>
      </c>
      <c r="HA97" s="68">
        <f>IF(OR($U97=0,$F97&lt;&gt;2),0,IF(GZ97&gt;0,GZ97,IF(ROUND(DB97*$J97,6)&lt;ROUND($M97,6),DB97,0)))</f>
        <v/>
      </c>
      <c r="HB97" s="68">
        <f>IF(OR($U97=0,$F97&lt;&gt;2),0,IF(HA97&gt;0,HA97,IF(ROUND(DC97*$J97,6)&lt;ROUND($M97,6),DC97,0)))</f>
        <v/>
      </c>
      <c r="HC97" s="68">
        <f>IF(OR($U97=0,$F97&lt;&gt;2),0,IF(HB97&gt;0,HB97,IF(ROUND(DD97*$J97,6)&lt;ROUND($M97,6),DD97,0)))</f>
        <v/>
      </c>
      <c r="HD97" s="68">
        <f>IF(OR($U97=0,$F97&lt;&gt;2),0,IF(HC97&gt;0,HC97,IF(ROUND(DE97*$J97,6)&lt;ROUND($M97,6),DE97,0)))</f>
        <v/>
      </c>
      <c r="HE97" s="68">
        <f>IF(OR($U97=0,$F97&lt;&gt;2),0,IF(HD97&gt;0,HD97,IF(ROUND(DF97*$J97,6)&lt;ROUND($M97,6),DF97,0)))</f>
        <v/>
      </c>
      <c r="HF97" s="68">
        <f>IF(OR($U97=0,$F97&lt;&gt;2),0,IF(HE97&gt;0,HE97,IF(ROUND(DG97*$J97,6)&lt;ROUND($M97,6),DG97,0)))</f>
        <v/>
      </c>
      <c r="HG97" s="68">
        <f>IF(OR($U97=0,$F97&lt;&gt;2),0,IF(HF97&gt;0,HF97,IF(ROUND(DH97*$J97,6)&lt;ROUND($M97,6),DH97,0)))</f>
        <v/>
      </c>
      <c r="HH97" s="68">
        <f>IF(OR($U97=0,$F97&lt;&gt;2),0,IF(HG97&gt;0,HG97,IF(ROUND(DI97*$J97,6)&lt;ROUND($M97,6),DI97,0)))</f>
        <v/>
      </c>
      <c r="HI97" s="68">
        <f>IF(OR($U97=0,$F97&lt;&gt;2),0,IF(HH97&gt;0,HH97,IF(ROUND(DJ97*$J97,6)&lt;ROUND($M97,6),DJ97,0)))</f>
        <v/>
      </c>
      <c r="HJ97" s="68">
        <f>IF(OR($U97=0,$F97&lt;&gt;2),0,IF(HI97&gt;0,HI97,IF(ROUND(DK97*$J97,6)&lt;ROUND($M97,6),DK97,0)))</f>
        <v/>
      </c>
      <c r="HK97" s="68">
        <f>IF(OR($U97=0,$F97&lt;&gt;2),0,IF(HJ97&gt;0,HJ97,IF(ROUND(DL97*$J97,6)&lt;ROUND($M97,6),DL97,0)))</f>
        <v/>
      </c>
      <c r="HL97" s="68">
        <f>IF(OR($U97=0,$F97&lt;&gt;2),0,IF(HK97&gt;0,HK97,IF(ROUND(DM97*$J97,6)&lt;ROUND($M97,6),DM97,0)))</f>
        <v/>
      </c>
      <c r="HM97" s="68">
        <f>IF(OR($U97=0,$F97&lt;&gt;2),0,IF(HL97&gt;0,HL97,IF(ROUND(DN97*$J97,6)&lt;ROUND($M97,6),DN97,0)))</f>
        <v/>
      </c>
      <c r="HN97" s="68">
        <f>IF(OR($U97=0,$F97&lt;&gt;2),0,IF(HM97&gt;0,HM97,IF(ROUND(DO97*$J97,6)&lt;ROUND($M97,6),DO97,0)))</f>
        <v/>
      </c>
      <c r="HO97" s="68">
        <f>IF(OR($U97=0,$F97&lt;&gt;2),0,IF(HN97&gt;0,HN97,IF(ROUND(DP97*$J97,6)&lt;ROUND($M97,6),DP97,0)))</f>
        <v/>
      </c>
      <c r="HP97" s="68">
        <f>IF(OR($U97=0,$F97&lt;&gt;2),0,IF(HO97&gt;0,HO97,IF(ROUND(DQ97*$J97,6)&lt;ROUND($M97,6),DQ97,0)))</f>
        <v/>
      </c>
      <c r="HQ97" s="68">
        <f>IF(OR($U97=0,$F97&lt;&gt;2),0,IF(HP97&gt;0,HP97,IF(ROUND(DR97*$J97,6)&lt;ROUND($M97,6),DR97,0)))</f>
        <v/>
      </c>
      <c r="HR97" s="68">
        <f>IF(OR($U97=0,$F97&lt;&gt;2),0,IF(HQ97&gt;0,HQ97,IF(ROUND(DS97*$J97,6)&lt;ROUND($M97,6),DS97,0)))</f>
        <v/>
      </c>
      <c r="HS97" s="68">
        <f>IF(OR($U97=0,$F97&lt;&gt;2),0,IF(HR97&gt;0,HR97,IF(ROUND(DT97*$J97,6)&lt;ROUND($M97,6),DT97,0)))</f>
        <v/>
      </c>
      <c r="HT97" s="68">
        <f>IF(OR($U97=0,$F97&lt;&gt;2),0,IF(HS97&gt;0,HS97,IF(ROUND(DU97*$J97,6)&lt;ROUND($M97,6),DU97,0)))</f>
        <v/>
      </c>
      <c r="HU97" s="68">
        <f>IF(OR($U97=0,$F97&lt;&gt;2),0,IF(HT97&gt;0,HT97,IF(ROUND(DV97*$J97,6)&lt;ROUND($M97,6),DV97,0)))</f>
        <v/>
      </c>
      <c r="HV97" s="68">
        <f>IF(OR($U97=0,$F97&lt;&gt;2),0,IF(HU97&gt;0,HU97,IF(ROUND(DW97*$J97,6)&lt;ROUND($M97,6),DW97,0)))</f>
        <v/>
      </c>
      <c r="HW97" s="68">
        <f>IF(OR($U97=0,$F97&lt;&gt;2),0,IF(HV97&gt;0,HV97,IF(ROUND(DX97*$J97,6)&lt;ROUND($M97,6),DX97,0)))</f>
        <v/>
      </c>
      <c r="HX97" s="68">
        <f>IF(OR($U97=0,$F97&lt;&gt;2),0,IF(HW97&gt;0,HW97,IF(ROUND(DY97*$J97,6)&lt;ROUND($M97,6),DY97,0)))</f>
        <v/>
      </c>
      <c r="HY97" s="68">
        <f>IF(OR($U97=0,$F97&lt;&gt;2),0,IF(HX97&gt;0,HX97,IF(ROUND(DZ97*$J97,6)&lt;ROUND($M97,6),DZ97,0)))</f>
        <v/>
      </c>
      <c r="HZ97" s="68">
        <f>IF(OR($U97=0,$F97&lt;&gt;2),0,IF(HY97&gt;0,HY97,IF(ROUND(EA97*$J97,6)&lt;ROUND($M97,6),EA97,0)))</f>
        <v/>
      </c>
      <c r="IA97" s="68">
        <f>IF(OR($U97=0,$F97&lt;&gt;2),0,IF(HZ97&gt;0,HZ97,IF(ROUND(EB97*$J97,6)&lt;ROUND($M97,6),EB97,0)))</f>
        <v/>
      </c>
      <c r="IB97" s="68">
        <f>IF(OR($U97=0,$F97&lt;&gt;2),0,IF(IA97&gt;0,IA97,IF(ROUND(EC97*$J97,6)&lt;ROUND($M97,6),EC97,0)))</f>
        <v/>
      </c>
      <c r="IC97" s="68">
        <f>IF(OR($U97=0,$F97&lt;&gt;2),0,IF(IB97&gt;0,IB97,IF(ROUND(ED97*$J97,6)&lt;ROUND($M97,6),ED97,0)))</f>
        <v/>
      </c>
      <c r="ID97" s="68">
        <f>IF(OR($U97=0,$F97&lt;&gt;2),0,IF(IC97&gt;0,IC97,IF(ROUND(EE97*$J97,6)&lt;ROUND($M97,6),EE97,0)))</f>
        <v/>
      </c>
      <c r="IE97" s="68">
        <f>IF(OR($U97=0,$F97&lt;&gt;2),0,IF(ID97&gt;0,ID97,IF(ROUND(EF97*$J97,6)&lt;ROUND($M97,6),EF97,0)))</f>
        <v/>
      </c>
      <c r="IF97" s="68">
        <f>IF(OR($U97=0,$F97&lt;&gt;2),0,IF(IE97&gt;0,IE97,IF(ROUND(EG97*$J97,6)&lt;ROUND($M97,6),EG97,0)))</f>
        <v/>
      </c>
      <c r="IG97" s="68">
        <f>IF(OR($U97=0,$F97&lt;&gt;2),0,IF(IF97&gt;0,IF97,IF(ROUND(EH97*$J97,6)&lt;ROUND($M97,6),EH97,0)))</f>
        <v/>
      </c>
      <c r="IH97" s="68">
        <f>IF(OR($U97=0,$F97&lt;&gt;2),0,IF(IG97&gt;0,IG97,IF(ROUND(EI97*$J97,6)&lt;ROUND($M97,6),EI97,0)))</f>
        <v/>
      </c>
      <c r="II97" s="68">
        <f>IF(OR($U97=0,$F97&lt;&gt;2),0,IF(IH97&gt;0,IH97,IF(ROUND(EJ97*$J97,6)&lt;ROUND($M97,6),EJ97,0)))</f>
        <v/>
      </c>
      <c r="IJ97" s="68">
        <f>IF(OR($U97=0,$F97&lt;&gt;2),0,IF(II97&gt;0,II97,IF(ROUND(EK97*$J97,6)&lt;ROUND($M97,6),EK97,0)))</f>
        <v/>
      </c>
      <c r="IK97" s="68">
        <f>IF(OR($U97=0,$F97&lt;&gt;2),0,IF(IJ97&gt;0,IJ97,IF(ROUND(EL97*$J97,6)&lt;ROUND($M97,6),EL97,0)))</f>
        <v/>
      </c>
      <c r="IL97" s="68">
        <f>IF(OR($U97=0,$F97&lt;&gt;2),0,IF(IK97&gt;0,IK97,IF(ROUND(EM97*$J97,6)&lt;ROUND($M97,6),EM97,0)))</f>
        <v/>
      </c>
      <c r="IM97" s="68">
        <f>IF(OR($U97=0,$F97&lt;&gt;2),0,IF(IL97&gt;0,IL97,IF(ROUND(EN97*$J97,6)&lt;ROUND($M97,6),EN97,0)))</f>
        <v/>
      </c>
      <c r="IN97" s="68">
        <f>IF(OR($U97=0,$F97&lt;&gt;2),0,IF(IM97&gt;0,IM97,IF(ROUND(EO97*$J97,6)&lt;ROUND($M97,6),EO97,0)))</f>
        <v/>
      </c>
    </row>
    <row r="98">
      <c r="A98" s="68" t="n">
        <v>93</v>
      </c>
      <c r="B98" s="68">
        <f>IF(OR(TRIM('固定資産台帳'!$B98)&lt;&gt;"",'固定資産台帳'!$E98&lt;&gt;"",'固定資産台帳'!$G98&lt;&gt;"",'固定資産台帳'!$H98&lt;&gt;""),1,0)</f>
        <v/>
      </c>
      <c r="C98" s="68">
        <f>IF(ISNUMBER('固定資産台帳'!$G98),MAX(ROUND('固定資産台帳'!$G98,0),0),0)</f>
        <v/>
      </c>
      <c r="D98" s="84">
        <f>IF(ISNUMBER('固定資産台帳'!$E98),INT('固定資産台帳'!$E98),0)</f>
        <v/>
      </c>
      <c r="E98" s="84">
        <f>IF(ISNUMBER('固定資産台帳'!$F98),INT('固定資産台帳'!$F98),$D98)</f>
        <v/>
      </c>
      <c r="F98" s="68">
        <f>IF('固定資産台帳'!$H98="定額法",1,IF(OR('固定資産台帳'!$H98="定率法",'固定資産台帳'!$H98="定率法（200%）",'固定資産台帳'!$H98="定率法（250%）"),2,IF('固定資産台帳'!$H98="一括償却（3年）",3,IF('固定資産台帳'!$H98="少額特例",4,0))))</f>
        <v/>
      </c>
      <c r="G98" s="68">
        <f>IF('固定資産台帳'!$H98="定率法（250%）",250,IF('固定資産台帳'!$H98="定率法（200%）",200,IF($D98&gt;=DATE(2012,4,1),200,250)))</f>
        <v/>
      </c>
      <c r="H98" s="68">
        <f>IF(ISNUMBER('固定資産台帳'!$I98),IF(AND('固定資産台帳'!$I98&gt;=2,'固定資産台帳'!$I98&lt;=100,'固定資産台帳'!$I98=INT('固定資産台帳'!$I98)),'固定資産台帳'!$I98,0),0)</f>
        <v/>
      </c>
      <c r="I98" s="68">
        <f>IF('固定資産台帳'!$C98="無形固定資産",0,1)</f>
        <v/>
      </c>
      <c r="J98" s="68">
        <f>IF(OR($H98=0,$F98=0,$F98&gt;2),0,IF($F98=1,INDEX('償却率表'!$B$6:$B$104,$H98-1),IF($G98=200,INDEX('償却率表'!$C$6:$C$104,$H98-1),INDEX('償却率表'!$F$6:$F$104,$H98-1))))</f>
        <v/>
      </c>
      <c r="K98" s="68">
        <f>IF(AND($F98=2,$H98&gt;0),IF($G98=200,INDEX('償却率表'!$D$6:$D$104,$H98-1),INDEX('償却率表'!$G$6:$G$104,$H98-1)),0)</f>
        <v/>
      </c>
      <c r="L98" s="68">
        <f>IF(AND($F98=2,$H98&gt;0),IF($G98=200,INDEX('償却率表'!$E$6:$E$104,$H98-1),INDEX('償却率表'!$H$6:$H$104,$H98-1)),0)</f>
        <v/>
      </c>
      <c r="M98" s="68">
        <f>$C98*$L98</f>
        <v/>
      </c>
      <c r="N98" s="68">
        <f>IF($B$1=1,1,IF('固定資産台帳'!$J98="",1,IF(ISNUMBER('固定資産台帳'!$J98),IF(AND('固定資産台帳'!$J98&gt;0,'固定資産台帳'!$J98&lt;=1),'固定資産台帳'!$J98,0),0)))</f>
        <v/>
      </c>
      <c r="O98" s="68">
        <f>IF($E98=0,0,YEAR($E98)-IF(MONTH($E98)&lt;$B$2,1,0))</f>
        <v/>
      </c>
      <c r="P98" s="68">
        <f>IF($E98=0,0,12-MOD(MONTH($E98)-$B$2,12))</f>
        <v/>
      </c>
      <c r="Q98" s="84">
        <f>IF(ISNUMBER('固定資産台帳'!$K98),INT('固定資産台帳'!$K98),0)</f>
        <v/>
      </c>
      <c r="R98" s="68">
        <f>IF(OR($Q98=0,$E98=0),999,YEAR($Q98)-IF(MONTH($Q98)&lt;$B$2,1,0)-$O98)</f>
        <v/>
      </c>
      <c r="S98" s="68">
        <f>IF($R98=999,0,MOD(MONTH($Q98)-$B$2,12)+1-IF($R98=0,12-$P98,0))</f>
        <v/>
      </c>
      <c r="T98" s="68">
        <f>IF($B98=0,0,IF($C98&lt;=0,1,IF($D98=0,2,IF($F98=0,3,IF(AND($F98&lt;=2,$H98=0),4,IF(AND($F98&lt;=2,$D98&lt;DATE(2007,4,1)),5,IF($E98&lt;$D98,6,IF(AND($Q98&gt;0,$Q98&lt;$E98),7,IF($N98=0,8,IF($B$3=0,9,0))))))))))</f>
        <v/>
      </c>
      <c r="U98" s="68">
        <f>IF(AND($B98=1,$T98=0),1,0)</f>
        <v/>
      </c>
      <c r="V98" s="68">
        <f>$B$3-$O98</f>
        <v/>
      </c>
      <c r="W98" s="68">
        <f>IF(AND($U98=1,$V98&gt;=0),1,0)</f>
        <v/>
      </c>
      <c r="X98" s="68">
        <f>IF($W98=0,0,IF($V98=0,$C98,INDEX($AS98:$EP98,MIN($V98,102))))</f>
        <v/>
      </c>
      <c r="Y98" s="68">
        <f>IF($W98=0,0,INDEX($AS98:$EP98,MIN($V98,101)+1))</f>
        <v/>
      </c>
      <c r="Z98" s="68">
        <f>$X98-$Y98</f>
        <v/>
      </c>
      <c r="AA98" s="68">
        <f>IF(AND($W98=1,$F98=2,$V98&gt;=1),INDEX($ER98:$IN98,MIN($V98,101)),0)</f>
        <v/>
      </c>
      <c r="AB98" s="68">
        <f>IF(OR($W98=0,$F98&gt;2,$Z98=0),0,IF($V98=0,IF($R98=0,$S98,$P98),IF($V98=$R98,$S98,12)))</f>
        <v/>
      </c>
      <c r="AC98" s="68">
        <f>IF($W98=0,0,INT(ROUND($Z98*$N98,6)+$B$4))</f>
        <v/>
      </c>
      <c r="AD98" s="68">
        <f>IF(AND($W98=1,$F98&lt;=2,$V98=$R98),1,0)</f>
        <v/>
      </c>
      <c r="AE98" s="68">
        <f>IF(AND($W98=1,$F98&lt;=2,$V98&gt;$R98),1,0)</f>
        <v/>
      </c>
      <c r="AF98" s="68">
        <f>IF(AND($W98=1,$AE98=0,OR($Z98&gt;0,$AD98=1)),1,0)</f>
        <v/>
      </c>
      <c r="AG98" s="68">
        <f>IF($AF98=1,SUM($AF$6:$AF98),0)</f>
        <v/>
      </c>
      <c r="AH98" s="68">
        <f>IF($T98=0,"",CHOOSE($T98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98" s="68">
        <f>IF(AND($F98=2,OR('固定資産台帳'!$C98="建物",'固定資産台帳'!$C98="無形固定資産",AND(OR('固定資産台帳'!$C98="建物附属設備",'固定資産台帳'!$C98="構築物"),$D98&gt;=DATE(2016,4,1)))),"この資産は定額法だけです（定率法は使えません）。","")&amp;IF(AND($F98=3,$C98&gt;=200000),"一括償却は20万円未満の資産だけです。","")&amp;IF(AND($F98=3,$B$1=0,$C98&lt;100000),"10万円未満は一括償却にせず、全額をその年の経費にします。","")&amp;IF(AND($F98=4,$C98&lt;100000),"10万円未満は少額特例ではなく、全額をその年の経費にします。","")&amp;IF(AND($F98=4,$D98&lt;DATE(2026,4,1),$C98&gt;=300000),"2026年3月31日までの取得で少額特例が使えるのは30万円未満です。","")&amp;IF(AND($F98=4,$D98&gt;=DATE(2026,4,1),$C98&gt;=400000),"少額特例は40万円未満の資産だけです。","")&amp;IF(AND($F98=4,OR($D98&lt;DATE(2006,4,1),$D98&gt;DATE(2029,3,31))),"少額特例は2006年4月1日〜2029年3月31日に取得した資産だけです。","")&amp;IF(AND($F98=2,$G98=250,$D98&gt;DATE(2012,12,31)),"250%定率法は2012年12月31日までの取得だけです。","")</f>
        <v/>
      </c>
      <c r="AJ98" s="68">
        <f>IF(AND($F98=2,'固定資産台帳'!$H98="定率法（200%）",$D98&lt;DATE(2012,4,1)),"2012年3月31日までの取得に200%を使うのは、経過措置の届出をした場合です。","")&amp;IF(AND($F98=2,'固定資産台帳'!$H98="定率法（250%）",$D98&gt;=DATE(2012,4,1),$D98&lt;=DATE(2012,12,31)),"2012年4〜12月の取得に250%を使うのは、経過措置を選んだ場合です。","")</f>
        <v/>
      </c>
      <c r="AK98" s="68">
        <f>IF($U98=0,"",IF($V98&lt;0,"表示している年より後に使い始める資産です。",IF($AE98=1,"売却・除却済みです。",IF($AD98=1,"この年に売却・除却。期末の帳簿価額 "&amp;TEXT($Y98,"#,##0")&amp;"円を帳簿から外します。",IF($F98=4,IF($V98=0,"少額特例：この年に全額を経費にします。","少額特例で経費にした資産です。"),IF($F98=3,IF($V98&gt;2,"一括償却は終わっています。","一括償却 "&amp;($V98+1)&amp;"年目（3年のうち）。"),IF($Z98=0,"償却済み（帳簿価額 "&amp;TEXT($Y98,"#,##0")&amp;"円）。",IF($AA98&gt;0,"改定償却率で計算（改定取得価額 "&amp;TEXT($AA98,"#,##0")&amp;"円）。",IF($V98=0,"この年に使い始め（"&amp;$AB98&amp;"か月分）。","")))))))))</f>
        <v/>
      </c>
      <c r="AL98" s="68">
        <f>IF(AND($U98=1,$F98=4,$V98=0),$C98,0)</f>
        <v/>
      </c>
      <c r="AM98" s="68">
        <f>IF($F98=2,INT(ROUND($M98,6)+$B$4),0)</f>
        <v/>
      </c>
      <c r="AN98" s="68">
        <f>IF($W98=0,0,IF($F98=2,IF($AA98&gt;0,$AA98,$X98),$C98))</f>
        <v/>
      </c>
      <c r="AO98" s="68">
        <f>IF($W98=0,"",IF($F98=3,"1/3",IF($F98=4,"―",IF($AA98&gt;0,$K98,$J98))))</f>
        <v/>
      </c>
      <c r="AP98" s="68" t="n"/>
      <c r="AQ98" s="68" t="n"/>
      <c r="AR98" s="68" t="n"/>
      <c r="AS98" s="68">
        <f>IF($U98=0,0,IF($F98=4,0,IF($F98=3,MAX($C98-INT(ROUND($C98/3,6)+$B$4),0),$C98-MIN(INT(ROUND($C98*$J98*IF($R98=0,$S98,$P98)/12,6)+$B$4),MAX($C98-$I98,0)))))</f>
        <v/>
      </c>
      <c r="AT98" s="68">
        <f>IF($U98=0,0,IF($F98=4,0,IF($F98=3,AS98-MIN(INT(ROUND($C98/3,6)+$B$4),AS98),IF(OR(1&gt;$R98,AS98&lt;=$I98),AS98,AS98-MIN(INT(ROUND(IF($F98=1,$C98*$J98,IF(ER98&gt;0,ER98*$K98,AS98*$J98))*IF(1=$R98,$S98,12)/12,6)+$B$4),AS98-$I98)))))</f>
        <v/>
      </c>
      <c r="AU98" s="68">
        <f>IF($U98=0,0,IF($F98=4,0,IF($F98=3,0,IF(OR(2&gt;$R98,AT98&lt;=$I98),AT98,AT98-MIN(INT(ROUND(IF($F98=1,$C98*$J98,IF(ES98&gt;0,ES98*$K98,AT98*$J98))*IF(2=$R98,$S98,12)/12,6)+$B$4),AT98-$I98)))))</f>
        <v/>
      </c>
      <c r="AV98" s="68">
        <f>IF($U98=0,0,IF($F98=4,0,IF($F98=3,0,IF(OR(3&gt;$R98,AU98&lt;=$I98),AU98,AU98-MIN(INT(ROUND(IF($F98=1,$C98*$J98,IF(ET98&gt;0,ET98*$K98,AU98*$J98))*IF(3=$R98,$S98,12)/12,6)+$B$4),AU98-$I98)))))</f>
        <v/>
      </c>
      <c r="AW98" s="68">
        <f>IF($U98=0,0,IF($F98=4,0,IF($F98=3,0,IF(OR(4&gt;$R98,AV98&lt;=$I98),AV98,AV98-MIN(INT(ROUND(IF($F98=1,$C98*$J98,IF(EU98&gt;0,EU98*$K98,AV98*$J98))*IF(4=$R98,$S98,12)/12,6)+$B$4),AV98-$I98)))))</f>
        <v/>
      </c>
      <c r="AX98" s="68">
        <f>IF($U98=0,0,IF($F98=4,0,IF($F98=3,0,IF(OR(5&gt;$R98,AW98&lt;=$I98),AW98,AW98-MIN(INT(ROUND(IF($F98=1,$C98*$J98,IF(EV98&gt;0,EV98*$K98,AW98*$J98))*IF(5=$R98,$S98,12)/12,6)+$B$4),AW98-$I98)))))</f>
        <v/>
      </c>
      <c r="AY98" s="68">
        <f>IF($U98=0,0,IF($F98=4,0,IF($F98=3,0,IF(OR(6&gt;$R98,AX98&lt;=$I98),AX98,AX98-MIN(INT(ROUND(IF($F98=1,$C98*$J98,IF(EW98&gt;0,EW98*$K98,AX98*$J98))*IF(6=$R98,$S98,12)/12,6)+$B$4),AX98-$I98)))))</f>
        <v/>
      </c>
      <c r="AZ98" s="68">
        <f>IF($U98=0,0,IF($F98=4,0,IF($F98=3,0,IF(OR(7&gt;$R98,AY98&lt;=$I98),AY98,AY98-MIN(INT(ROUND(IF($F98=1,$C98*$J98,IF(EX98&gt;0,EX98*$K98,AY98*$J98))*IF(7=$R98,$S98,12)/12,6)+$B$4),AY98-$I98)))))</f>
        <v/>
      </c>
      <c r="BA98" s="68">
        <f>IF($U98=0,0,IF($F98=4,0,IF($F98=3,0,IF(OR(8&gt;$R98,AZ98&lt;=$I98),AZ98,AZ98-MIN(INT(ROUND(IF($F98=1,$C98*$J98,IF(EY98&gt;0,EY98*$K98,AZ98*$J98))*IF(8=$R98,$S98,12)/12,6)+$B$4),AZ98-$I98)))))</f>
        <v/>
      </c>
      <c r="BB98" s="68">
        <f>IF($U98=0,0,IF($F98=4,0,IF($F98=3,0,IF(OR(9&gt;$R98,BA98&lt;=$I98),BA98,BA98-MIN(INT(ROUND(IF($F98=1,$C98*$J98,IF(EZ98&gt;0,EZ98*$K98,BA98*$J98))*IF(9=$R98,$S98,12)/12,6)+$B$4),BA98-$I98)))))</f>
        <v/>
      </c>
      <c r="BC98" s="68">
        <f>IF($U98=0,0,IF($F98=4,0,IF($F98=3,0,IF(OR(10&gt;$R98,BB98&lt;=$I98),BB98,BB98-MIN(INT(ROUND(IF($F98=1,$C98*$J98,IF(FA98&gt;0,FA98*$K98,BB98*$J98))*IF(10=$R98,$S98,12)/12,6)+$B$4),BB98-$I98)))))</f>
        <v/>
      </c>
      <c r="BD98" s="68">
        <f>IF($U98=0,0,IF($F98=4,0,IF($F98=3,0,IF(OR(11&gt;$R98,BC98&lt;=$I98),BC98,BC98-MIN(INT(ROUND(IF($F98=1,$C98*$J98,IF(FB98&gt;0,FB98*$K98,BC98*$J98))*IF(11=$R98,$S98,12)/12,6)+$B$4),BC98-$I98)))))</f>
        <v/>
      </c>
      <c r="BE98" s="68">
        <f>IF($U98=0,0,IF($F98=4,0,IF($F98=3,0,IF(OR(12&gt;$R98,BD98&lt;=$I98),BD98,BD98-MIN(INT(ROUND(IF($F98=1,$C98*$J98,IF(FC98&gt;0,FC98*$K98,BD98*$J98))*IF(12=$R98,$S98,12)/12,6)+$B$4),BD98-$I98)))))</f>
        <v/>
      </c>
      <c r="BF98" s="68">
        <f>IF($U98=0,0,IF($F98=4,0,IF($F98=3,0,IF(OR(13&gt;$R98,BE98&lt;=$I98),BE98,BE98-MIN(INT(ROUND(IF($F98=1,$C98*$J98,IF(FD98&gt;0,FD98*$K98,BE98*$J98))*IF(13=$R98,$S98,12)/12,6)+$B$4),BE98-$I98)))))</f>
        <v/>
      </c>
      <c r="BG98" s="68">
        <f>IF($U98=0,0,IF($F98=4,0,IF($F98=3,0,IF(OR(14&gt;$R98,BF98&lt;=$I98),BF98,BF98-MIN(INT(ROUND(IF($F98=1,$C98*$J98,IF(FE98&gt;0,FE98*$K98,BF98*$J98))*IF(14=$R98,$S98,12)/12,6)+$B$4),BF98-$I98)))))</f>
        <v/>
      </c>
      <c r="BH98" s="68">
        <f>IF($U98=0,0,IF($F98=4,0,IF($F98=3,0,IF(OR(15&gt;$R98,BG98&lt;=$I98),BG98,BG98-MIN(INT(ROUND(IF($F98=1,$C98*$J98,IF(FF98&gt;0,FF98*$K98,BG98*$J98))*IF(15=$R98,$S98,12)/12,6)+$B$4),BG98-$I98)))))</f>
        <v/>
      </c>
      <c r="BI98" s="68">
        <f>IF($U98=0,0,IF($F98=4,0,IF($F98=3,0,IF(OR(16&gt;$R98,BH98&lt;=$I98),BH98,BH98-MIN(INT(ROUND(IF($F98=1,$C98*$J98,IF(FG98&gt;0,FG98*$K98,BH98*$J98))*IF(16=$R98,$S98,12)/12,6)+$B$4),BH98-$I98)))))</f>
        <v/>
      </c>
      <c r="BJ98" s="68">
        <f>IF($U98=0,0,IF($F98=4,0,IF($F98=3,0,IF(OR(17&gt;$R98,BI98&lt;=$I98),BI98,BI98-MIN(INT(ROUND(IF($F98=1,$C98*$J98,IF(FH98&gt;0,FH98*$K98,BI98*$J98))*IF(17=$R98,$S98,12)/12,6)+$B$4),BI98-$I98)))))</f>
        <v/>
      </c>
      <c r="BK98" s="68">
        <f>IF($U98=0,0,IF($F98=4,0,IF($F98=3,0,IF(OR(18&gt;$R98,BJ98&lt;=$I98),BJ98,BJ98-MIN(INT(ROUND(IF($F98=1,$C98*$J98,IF(FI98&gt;0,FI98*$K98,BJ98*$J98))*IF(18=$R98,$S98,12)/12,6)+$B$4),BJ98-$I98)))))</f>
        <v/>
      </c>
      <c r="BL98" s="68">
        <f>IF($U98=0,0,IF($F98=4,0,IF($F98=3,0,IF(OR(19&gt;$R98,BK98&lt;=$I98),BK98,BK98-MIN(INT(ROUND(IF($F98=1,$C98*$J98,IF(FJ98&gt;0,FJ98*$K98,BK98*$J98))*IF(19=$R98,$S98,12)/12,6)+$B$4),BK98-$I98)))))</f>
        <v/>
      </c>
      <c r="BM98" s="68">
        <f>IF($U98=0,0,IF($F98=4,0,IF($F98=3,0,IF(OR(20&gt;$R98,BL98&lt;=$I98),BL98,BL98-MIN(INT(ROUND(IF($F98=1,$C98*$J98,IF(FK98&gt;0,FK98*$K98,BL98*$J98))*IF(20=$R98,$S98,12)/12,6)+$B$4),BL98-$I98)))))</f>
        <v/>
      </c>
      <c r="BN98" s="68">
        <f>IF($U98=0,0,IF($F98=4,0,IF($F98=3,0,IF(OR(21&gt;$R98,BM98&lt;=$I98),BM98,BM98-MIN(INT(ROUND(IF($F98=1,$C98*$J98,IF(FL98&gt;0,FL98*$K98,BM98*$J98))*IF(21=$R98,$S98,12)/12,6)+$B$4),BM98-$I98)))))</f>
        <v/>
      </c>
      <c r="BO98" s="68">
        <f>IF($U98=0,0,IF($F98=4,0,IF($F98=3,0,IF(OR(22&gt;$R98,BN98&lt;=$I98),BN98,BN98-MIN(INT(ROUND(IF($F98=1,$C98*$J98,IF(FM98&gt;0,FM98*$K98,BN98*$J98))*IF(22=$R98,$S98,12)/12,6)+$B$4),BN98-$I98)))))</f>
        <v/>
      </c>
      <c r="BP98" s="68">
        <f>IF($U98=0,0,IF($F98=4,0,IF($F98=3,0,IF(OR(23&gt;$R98,BO98&lt;=$I98),BO98,BO98-MIN(INT(ROUND(IF($F98=1,$C98*$J98,IF(FN98&gt;0,FN98*$K98,BO98*$J98))*IF(23=$R98,$S98,12)/12,6)+$B$4),BO98-$I98)))))</f>
        <v/>
      </c>
      <c r="BQ98" s="68">
        <f>IF($U98=0,0,IF($F98=4,0,IF($F98=3,0,IF(OR(24&gt;$R98,BP98&lt;=$I98),BP98,BP98-MIN(INT(ROUND(IF($F98=1,$C98*$J98,IF(FO98&gt;0,FO98*$K98,BP98*$J98))*IF(24=$R98,$S98,12)/12,6)+$B$4),BP98-$I98)))))</f>
        <v/>
      </c>
      <c r="BR98" s="68">
        <f>IF($U98=0,0,IF($F98=4,0,IF($F98=3,0,IF(OR(25&gt;$R98,BQ98&lt;=$I98),BQ98,BQ98-MIN(INT(ROUND(IF($F98=1,$C98*$J98,IF(FP98&gt;0,FP98*$K98,BQ98*$J98))*IF(25=$R98,$S98,12)/12,6)+$B$4),BQ98-$I98)))))</f>
        <v/>
      </c>
      <c r="BS98" s="68">
        <f>IF($U98=0,0,IF($F98=4,0,IF($F98=3,0,IF(OR(26&gt;$R98,BR98&lt;=$I98),BR98,BR98-MIN(INT(ROUND(IF($F98=1,$C98*$J98,IF(FQ98&gt;0,FQ98*$K98,BR98*$J98))*IF(26=$R98,$S98,12)/12,6)+$B$4),BR98-$I98)))))</f>
        <v/>
      </c>
      <c r="BT98" s="68">
        <f>IF($U98=0,0,IF($F98=4,0,IF($F98=3,0,IF(OR(27&gt;$R98,BS98&lt;=$I98),BS98,BS98-MIN(INT(ROUND(IF($F98=1,$C98*$J98,IF(FR98&gt;0,FR98*$K98,BS98*$J98))*IF(27=$R98,$S98,12)/12,6)+$B$4),BS98-$I98)))))</f>
        <v/>
      </c>
      <c r="BU98" s="68">
        <f>IF($U98=0,0,IF($F98=4,0,IF($F98=3,0,IF(OR(28&gt;$R98,BT98&lt;=$I98),BT98,BT98-MIN(INT(ROUND(IF($F98=1,$C98*$J98,IF(FS98&gt;0,FS98*$K98,BT98*$J98))*IF(28=$R98,$S98,12)/12,6)+$B$4),BT98-$I98)))))</f>
        <v/>
      </c>
      <c r="BV98" s="68">
        <f>IF($U98=0,0,IF($F98=4,0,IF($F98=3,0,IF(OR(29&gt;$R98,BU98&lt;=$I98),BU98,BU98-MIN(INT(ROUND(IF($F98=1,$C98*$J98,IF(FT98&gt;0,FT98*$K98,BU98*$J98))*IF(29=$R98,$S98,12)/12,6)+$B$4),BU98-$I98)))))</f>
        <v/>
      </c>
      <c r="BW98" s="68">
        <f>IF($U98=0,0,IF($F98=4,0,IF($F98=3,0,IF(OR(30&gt;$R98,BV98&lt;=$I98),BV98,BV98-MIN(INT(ROUND(IF($F98=1,$C98*$J98,IF(FU98&gt;0,FU98*$K98,BV98*$J98))*IF(30=$R98,$S98,12)/12,6)+$B$4),BV98-$I98)))))</f>
        <v/>
      </c>
      <c r="BX98" s="68">
        <f>IF($U98=0,0,IF($F98=4,0,IF($F98=3,0,IF(OR(31&gt;$R98,BW98&lt;=$I98),BW98,BW98-MIN(INT(ROUND(IF($F98=1,$C98*$J98,IF(FV98&gt;0,FV98*$K98,BW98*$J98))*IF(31=$R98,$S98,12)/12,6)+$B$4),BW98-$I98)))))</f>
        <v/>
      </c>
      <c r="BY98" s="68">
        <f>IF($U98=0,0,IF($F98=4,0,IF($F98=3,0,IF(OR(32&gt;$R98,BX98&lt;=$I98),BX98,BX98-MIN(INT(ROUND(IF($F98=1,$C98*$J98,IF(FW98&gt;0,FW98*$K98,BX98*$J98))*IF(32=$R98,$S98,12)/12,6)+$B$4),BX98-$I98)))))</f>
        <v/>
      </c>
      <c r="BZ98" s="68">
        <f>IF($U98=0,0,IF($F98=4,0,IF($F98=3,0,IF(OR(33&gt;$R98,BY98&lt;=$I98),BY98,BY98-MIN(INT(ROUND(IF($F98=1,$C98*$J98,IF(FX98&gt;0,FX98*$K98,BY98*$J98))*IF(33=$R98,$S98,12)/12,6)+$B$4),BY98-$I98)))))</f>
        <v/>
      </c>
      <c r="CA98" s="68">
        <f>IF($U98=0,0,IF($F98=4,0,IF($F98=3,0,IF(OR(34&gt;$R98,BZ98&lt;=$I98),BZ98,BZ98-MIN(INT(ROUND(IF($F98=1,$C98*$J98,IF(FY98&gt;0,FY98*$K98,BZ98*$J98))*IF(34=$R98,$S98,12)/12,6)+$B$4),BZ98-$I98)))))</f>
        <v/>
      </c>
      <c r="CB98" s="68">
        <f>IF($U98=0,0,IF($F98=4,0,IF($F98=3,0,IF(OR(35&gt;$R98,CA98&lt;=$I98),CA98,CA98-MIN(INT(ROUND(IF($F98=1,$C98*$J98,IF(FZ98&gt;0,FZ98*$K98,CA98*$J98))*IF(35=$R98,$S98,12)/12,6)+$B$4),CA98-$I98)))))</f>
        <v/>
      </c>
      <c r="CC98" s="68">
        <f>IF($U98=0,0,IF($F98=4,0,IF($F98=3,0,IF(OR(36&gt;$R98,CB98&lt;=$I98),CB98,CB98-MIN(INT(ROUND(IF($F98=1,$C98*$J98,IF(GA98&gt;0,GA98*$K98,CB98*$J98))*IF(36=$R98,$S98,12)/12,6)+$B$4),CB98-$I98)))))</f>
        <v/>
      </c>
      <c r="CD98" s="68">
        <f>IF($U98=0,0,IF($F98=4,0,IF($F98=3,0,IF(OR(37&gt;$R98,CC98&lt;=$I98),CC98,CC98-MIN(INT(ROUND(IF($F98=1,$C98*$J98,IF(GB98&gt;0,GB98*$K98,CC98*$J98))*IF(37=$R98,$S98,12)/12,6)+$B$4),CC98-$I98)))))</f>
        <v/>
      </c>
      <c r="CE98" s="68">
        <f>IF($U98=0,0,IF($F98=4,0,IF($F98=3,0,IF(OR(38&gt;$R98,CD98&lt;=$I98),CD98,CD98-MIN(INT(ROUND(IF($F98=1,$C98*$J98,IF(GC98&gt;0,GC98*$K98,CD98*$J98))*IF(38=$R98,$S98,12)/12,6)+$B$4),CD98-$I98)))))</f>
        <v/>
      </c>
      <c r="CF98" s="68">
        <f>IF($U98=0,0,IF($F98=4,0,IF($F98=3,0,IF(OR(39&gt;$R98,CE98&lt;=$I98),CE98,CE98-MIN(INT(ROUND(IF($F98=1,$C98*$J98,IF(GD98&gt;0,GD98*$K98,CE98*$J98))*IF(39=$R98,$S98,12)/12,6)+$B$4),CE98-$I98)))))</f>
        <v/>
      </c>
      <c r="CG98" s="68">
        <f>IF($U98=0,0,IF($F98=4,0,IF($F98=3,0,IF(OR(40&gt;$R98,CF98&lt;=$I98),CF98,CF98-MIN(INT(ROUND(IF($F98=1,$C98*$J98,IF(GE98&gt;0,GE98*$K98,CF98*$J98))*IF(40=$R98,$S98,12)/12,6)+$B$4),CF98-$I98)))))</f>
        <v/>
      </c>
      <c r="CH98" s="68">
        <f>IF($U98=0,0,IF($F98=4,0,IF($F98=3,0,IF(OR(41&gt;$R98,CG98&lt;=$I98),CG98,CG98-MIN(INT(ROUND(IF($F98=1,$C98*$J98,IF(GF98&gt;0,GF98*$K98,CG98*$J98))*IF(41=$R98,$S98,12)/12,6)+$B$4),CG98-$I98)))))</f>
        <v/>
      </c>
      <c r="CI98" s="68">
        <f>IF($U98=0,0,IF($F98=4,0,IF($F98=3,0,IF(OR(42&gt;$R98,CH98&lt;=$I98),CH98,CH98-MIN(INT(ROUND(IF($F98=1,$C98*$J98,IF(GG98&gt;0,GG98*$K98,CH98*$J98))*IF(42=$R98,$S98,12)/12,6)+$B$4),CH98-$I98)))))</f>
        <v/>
      </c>
      <c r="CJ98" s="68">
        <f>IF($U98=0,0,IF($F98=4,0,IF($F98=3,0,IF(OR(43&gt;$R98,CI98&lt;=$I98),CI98,CI98-MIN(INT(ROUND(IF($F98=1,$C98*$J98,IF(GH98&gt;0,GH98*$K98,CI98*$J98))*IF(43=$R98,$S98,12)/12,6)+$B$4),CI98-$I98)))))</f>
        <v/>
      </c>
      <c r="CK98" s="68">
        <f>IF($U98=0,0,IF($F98=4,0,IF($F98=3,0,IF(OR(44&gt;$R98,CJ98&lt;=$I98),CJ98,CJ98-MIN(INT(ROUND(IF($F98=1,$C98*$J98,IF(GI98&gt;0,GI98*$K98,CJ98*$J98))*IF(44=$R98,$S98,12)/12,6)+$B$4),CJ98-$I98)))))</f>
        <v/>
      </c>
      <c r="CL98" s="68">
        <f>IF($U98=0,0,IF($F98=4,0,IF($F98=3,0,IF(OR(45&gt;$R98,CK98&lt;=$I98),CK98,CK98-MIN(INT(ROUND(IF($F98=1,$C98*$J98,IF(GJ98&gt;0,GJ98*$K98,CK98*$J98))*IF(45=$R98,$S98,12)/12,6)+$B$4),CK98-$I98)))))</f>
        <v/>
      </c>
      <c r="CM98" s="68">
        <f>IF($U98=0,0,IF($F98=4,0,IF($F98=3,0,IF(OR(46&gt;$R98,CL98&lt;=$I98),CL98,CL98-MIN(INT(ROUND(IF($F98=1,$C98*$J98,IF(GK98&gt;0,GK98*$K98,CL98*$J98))*IF(46=$R98,$S98,12)/12,6)+$B$4),CL98-$I98)))))</f>
        <v/>
      </c>
      <c r="CN98" s="68">
        <f>IF($U98=0,0,IF($F98=4,0,IF($F98=3,0,IF(OR(47&gt;$R98,CM98&lt;=$I98),CM98,CM98-MIN(INT(ROUND(IF($F98=1,$C98*$J98,IF(GL98&gt;0,GL98*$K98,CM98*$J98))*IF(47=$R98,$S98,12)/12,6)+$B$4),CM98-$I98)))))</f>
        <v/>
      </c>
      <c r="CO98" s="68">
        <f>IF($U98=0,0,IF($F98=4,0,IF($F98=3,0,IF(OR(48&gt;$R98,CN98&lt;=$I98),CN98,CN98-MIN(INT(ROUND(IF($F98=1,$C98*$J98,IF(GM98&gt;0,GM98*$K98,CN98*$J98))*IF(48=$R98,$S98,12)/12,6)+$B$4),CN98-$I98)))))</f>
        <v/>
      </c>
      <c r="CP98" s="68">
        <f>IF($U98=0,0,IF($F98=4,0,IF($F98=3,0,IF(OR(49&gt;$R98,CO98&lt;=$I98),CO98,CO98-MIN(INT(ROUND(IF($F98=1,$C98*$J98,IF(GN98&gt;0,GN98*$K98,CO98*$J98))*IF(49=$R98,$S98,12)/12,6)+$B$4),CO98-$I98)))))</f>
        <v/>
      </c>
      <c r="CQ98" s="68">
        <f>IF($U98=0,0,IF($F98=4,0,IF($F98=3,0,IF(OR(50&gt;$R98,CP98&lt;=$I98),CP98,CP98-MIN(INT(ROUND(IF($F98=1,$C98*$J98,IF(GO98&gt;0,GO98*$K98,CP98*$J98))*IF(50=$R98,$S98,12)/12,6)+$B$4),CP98-$I98)))))</f>
        <v/>
      </c>
      <c r="CR98" s="68">
        <f>IF($U98=0,0,IF($F98=4,0,IF($F98=3,0,IF(OR(51&gt;$R98,CQ98&lt;=$I98),CQ98,CQ98-MIN(INT(ROUND(IF($F98=1,$C98*$J98,IF(GP98&gt;0,GP98*$K98,CQ98*$J98))*IF(51=$R98,$S98,12)/12,6)+$B$4),CQ98-$I98)))))</f>
        <v/>
      </c>
      <c r="CS98" s="68">
        <f>IF($U98=0,0,IF($F98=4,0,IF($F98=3,0,IF(OR(52&gt;$R98,CR98&lt;=$I98),CR98,CR98-MIN(INT(ROUND(IF($F98=1,$C98*$J98,IF(GQ98&gt;0,GQ98*$K98,CR98*$J98))*IF(52=$R98,$S98,12)/12,6)+$B$4),CR98-$I98)))))</f>
        <v/>
      </c>
      <c r="CT98" s="68">
        <f>IF($U98=0,0,IF($F98=4,0,IF($F98=3,0,IF(OR(53&gt;$R98,CS98&lt;=$I98),CS98,CS98-MIN(INT(ROUND(IF($F98=1,$C98*$J98,IF(GR98&gt;0,GR98*$K98,CS98*$J98))*IF(53=$R98,$S98,12)/12,6)+$B$4),CS98-$I98)))))</f>
        <v/>
      </c>
      <c r="CU98" s="68">
        <f>IF($U98=0,0,IF($F98=4,0,IF($F98=3,0,IF(OR(54&gt;$R98,CT98&lt;=$I98),CT98,CT98-MIN(INT(ROUND(IF($F98=1,$C98*$J98,IF(GS98&gt;0,GS98*$K98,CT98*$J98))*IF(54=$R98,$S98,12)/12,6)+$B$4),CT98-$I98)))))</f>
        <v/>
      </c>
      <c r="CV98" s="68">
        <f>IF($U98=0,0,IF($F98=4,0,IF($F98=3,0,IF(OR(55&gt;$R98,CU98&lt;=$I98),CU98,CU98-MIN(INT(ROUND(IF($F98=1,$C98*$J98,IF(GT98&gt;0,GT98*$K98,CU98*$J98))*IF(55=$R98,$S98,12)/12,6)+$B$4),CU98-$I98)))))</f>
        <v/>
      </c>
      <c r="CW98" s="68">
        <f>IF($U98=0,0,IF($F98=4,0,IF($F98=3,0,IF(OR(56&gt;$R98,CV98&lt;=$I98),CV98,CV98-MIN(INT(ROUND(IF($F98=1,$C98*$J98,IF(GU98&gt;0,GU98*$K98,CV98*$J98))*IF(56=$R98,$S98,12)/12,6)+$B$4),CV98-$I98)))))</f>
        <v/>
      </c>
      <c r="CX98" s="68">
        <f>IF($U98=0,0,IF($F98=4,0,IF($F98=3,0,IF(OR(57&gt;$R98,CW98&lt;=$I98),CW98,CW98-MIN(INT(ROUND(IF($F98=1,$C98*$J98,IF(GV98&gt;0,GV98*$K98,CW98*$J98))*IF(57=$R98,$S98,12)/12,6)+$B$4),CW98-$I98)))))</f>
        <v/>
      </c>
      <c r="CY98" s="68">
        <f>IF($U98=0,0,IF($F98=4,0,IF($F98=3,0,IF(OR(58&gt;$R98,CX98&lt;=$I98),CX98,CX98-MIN(INT(ROUND(IF($F98=1,$C98*$J98,IF(GW98&gt;0,GW98*$K98,CX98*$J98))*IF(58=$R98,$S98,12)/12,6)+$B$4),CX98-$I98)))))</f>
        <v/>
      </c>
      <c r="CZ98" s="68">
        <f>IF($U98=0,0,IF($F98=4,0,IF($F98=3,0,IF(OR(59&gt;$R98,CY98&lt;=$I98),CY98,CY98-MIN(INT(ROUND(IF($F98=1,$C98*$J98,IF(GX98&gt;0,GX98*$K98,CY98*$J98))*IF(59=$R98,$S98,12)/12,6)+$B$4),CY98-$I98)))))</f>
        <v/>
      </c>
      <c r="DA98" s="68">
        <f>IF($U98=0,0,IF($F98=4,0,IF($F98=3,0,IF(OR(60&gt;$R98,CZ98&lt;=$I98),CZ98,CZ98-MIN(INT(ROUND(IF($F98=1,$C98*$J98,IF(GY98&gt;0,GY98*$K98,CZ98*$J98))*IF(60=$R98,$S98,12)/12,6)+$B$4),CZ98-$I98)))))</f>
        <v/>
      </c>
      <c r="DB98" s="68">
        <f>IF($U98=0,0,IF($F98=4,0,IF($F98=3,0,IF(OR(61&gt;$R98,DA98&lt;=$I98),DA98,DA98-MIN(INT(ROUND(IF($F98=1,$C98*$J98,IF(GZ98&gt;0,GZ98*$K98,DA98*$J98))*IF(61=$R98,$S98,12)/12,6)+$B$4),DA98-$I98)))))</f>
        <v/>
      </c>
      <c r="DC98" s="68">
        <f>IF($U98=0,0,IF($F98=4,0,IF($F98=3,0,IF(OR(62&gt;$R98,DB98&lt;=$I98),DB98,DB98-MIN(INT(ROUND(IF($F98=1,$C98*$J98,IF(HA98&gt;0,HA98*$K98,DB98*$J98))*IF(62=$R98,$S98,12)/12,6)+$B$4),DB98-$I98)))))</f>
        <v/>
      </c>
      <c r="DD98" s="68">
        <f>IF($U98=0,0,IF($F98=4,0,IF($F98=3,0,IF(OR(63&gt;$R98,DC98&lt;=$I98),DC98,DC98-MIN(INT(ROUND(IF($F98=1,$C98*$J98,IF(HB98&gt;0,HB98*$K98,DC98*$J98))*IF(63=$R98,$S98,12)/12,6)+$B$4),DC98-$I98)))))</f>
        <v/>
      </c>
      <c r="DE98" s="68">
        <f>IF($U98=0,0,IF($F98=4,0,IF($F98=3,0,IF(OR(64&gt;$R98,DD98&lt;=$I98),DD98,DD98-MIN(INT(ROUND(IF($F98=1,$C98*$J98,IF(HC98&gt;0,HC98*$K98,DD98*$J98))*IF(64=$R98,$S98,12)/12,6)+$B$4),DD98-$I98)))))</f>
        <v/>
      </c>
      <c r="DF98" s="68">
        <f>IF($U98=0,0,IF($F98=4,0,IF($F98=3,0,IF(OR(65&gt;$R98,DE98&lt;=$I98),DE98,DE98-MIN(INT(ROUND(IF($F98=1,$C98*$J98,IF(HD98&gt;0,HD98*$K98,DE98*$J98))*IF(65=$R98,$S98,12)/12,6)+$B$4),DE98-$I98)))))</f>
        <v/>
      </c>
      <c r="DG98" s="68">
        <f>IF($U98=0,0,IF($F98=4,0,IF($F98=3,0,IF(OR(66&gt;$R98,DF98&lt;=$I98),DF98,DF98-MIN(INT(ROUND(IF($F98=1,$C98*$J98,IF(HE98&gt;0,HE98*$K98,DF98*$J98))*IF(66=$R98,$S98,12)/12,6)+$B$4),DF98-$I98)))))</f>
        <v/>
      </c>
      <c r="DH98" s="68">
        <f>IF($U98=0,0,IF($F98=4,0,IF($F98=3,0,IF(OR(67&gt;$R98,DG98&lt;=$I98),DG98,DG98-MIN(INT(ROUND(IF($F98=1,$C98*$J98,IF(HF98&gt;0,HF98*$K98,DG98*$J98))*IF(67=$R98,$S98,12)/12,6)+$B$4),DG98-$I98)))))</f>
        <v/>
      </c>
      <c r="DI98" s="68">
        <f>IF($U98=0,0,IF($F98=4,0,IF($F98=3,0,IF(OR(68&gt;$R98,DH98&lt;=$I98),DH98,DH98-MIN(INT(ROUND(IF($F98=1,$C98*$J98,IF(HG98&gt;0,HG98*$K98,DH98*$J98))*IF(68=$R98,$S98,12)/12,6)+$B$4),DH98-$I98)))))</f>
        <v/>
      </c>
      <c r="DJ98" s="68">
        <f>IF($U98=0,0,IF($F98=4,0,IF($F98=3,0,IF(OR(69&gt;$R98,DI98&lt;=$I98),DI98,DI98-MIN(INT(ROUND(IF($F98=1,$C98*$J98,IF(HH98&gt;0,HH98*$K98,DI98*$J98))*IF(69=$R98,$S98,12)/12,6)+$B$4),DI98-$I98)))))</f>
        <v/>
      </c>
      <c r="DK98" s="68">
        <f>IF($U98=0,0,IF($F98=4,0,IF($F98=3,0,IF(OR(70&gt;$R98,DJ98&lt;=$I98),DJ98,DJ98-MIN(INT(ROUND(IF($F98=1,$C98*$J98,IF(HI98&gt;0,HI98*$K98,DJ98*$J98))*IF(70=$R98,$S98,12)/12,6)+$B$4),DJ98-$I98)))))</f>
        <v/>
      </c>
      <c r="DL98" s="68">
        <f>IF($U98=0,0,IF($F98=4,0,IF($F98=3,0,IF(OR(71&gt;$R98,DK98&lt;=$I98),DK98,DK98-MIN(INT(ROUND(IF($F98=1,$C98*$J98,IF(HJ98&gt;0,HJ98*$K98,DK98*$J98))*IF(71=$R98,$S98,12)/12,6)+$B$4),DK98-$I98)))))</f>
        <v/>
      </c>
      <c r="DM98" s="68">
        <f>IF($U98=0,0,IF($F98=4,0,IF($F98=3,0,IF(OR(72&gt;$R98,DL98&lt;=$I98),DL98,DL98-MIN(INT(ROUND(IF($F98=1,$C98*$J98,IF(HK98&gt;0,HK98*$K98,DL98*$J98))*IF(72=$R98,$S98,12)/12,6)+$B$4),DL98-$I98)))))</f>
        <v/>
      </c>
      <c r="DN98" s="68">
        <f>IF($U98=0,0,IF($F98=4,0,IF($F98=3,0,IF(OR(73&gt;$R98,DM98&lt;=$I98),DM98,DM98-MIN(INT(ROUND(IF($F98=1,$C98*$J98,IF(HL98&gt;0,HL98*$K98,DM98*$J98))*IF(73=$R98,$S98,12)/12,6)+$B$4),DM98-$I98)))))</f>
        <v/>
      </c>
      <c r="DO98" s="68">
        <f>IF($U98=0,0,IF($F98=4,0,IF($F98=3,0,IF(OR(74&gt;$R98,DN98&lt;=$I98),DN98,DN98-MIN(INT(ROUND(IF($F98=1,$C98*$J98,IF(HM98&gt;0,HM98*$K98,DN98*$J98))*IF(74=$R98,$S98,12)/12,6)+$B$4),DN98-$I98)))))</f>
        <v/>
      </c>
      <c r="DP98" s="68">
        <f>IF($U98=0,0,IF($F98=4,0,IF($F98=3,0,IF(OR(75&gt;$R98,DO98&lt;=$I98),DO98,DO98-MIN(INT(ROUND(IF($F98=1,$C98*$J98,IF(HN98&gt;0,HN98*$K98,DO98*$J98))*IF(75=$R98,$S98,12)/12,6)+$B$4),DO98-$I98)))))</f>
        <v/>
      </c>
      <c r="DQ98" s="68">
        <f>IF($U98=0,0,IF($F98=4,0,IF($F98=3,0,IF(OR(76&gt;$R98,DP98&lt;=$I98),DP98,DP98-MIN(INT(ROUND(IF($F98=1,$C98*$J98,IF(HO98&gt;0,HO98*$K98,DP98*$J98))*IF(76=$R98,$S98,12)/12,6)+$B$4),DP98-$I98)))))</f>
        <v/>
      </c>
      <c r="DR98" s="68">
        <f>IF($U98=0,0,IF($F98=4,0,IF($F98=3,0,IF(OR(77&gt;$R98,DQ98&lt;=$I98),DQ98,DQ98-MIN(INT(ROUND(IF($F98=1,$C98*$J98,IF(HP98&gt;0,HP98*$K98,DQ98*$J98))*IF(77=$R98,$S98,12)/12,6)+$B$4),DQ98-$I98)))))</f>
        <v/>
      </c>
      <c r="DS98" s="68">
        <f>IF($U98=0,0,IF($F98=4,0,IF($F98=3,0,IF(OR(78&gt;$R98,DR98&lt;=$I98),DR98,DR98-MIN(INT(ROUND(IF($F98=1,$C98*$J98,IF(HQ98&gt;0,HQ98*$K98,DR98*$J98))*IF(78=$R98,$S98,12)/12,6)+$B$4),DR98-$I98)))))</f>
        <v/>
      </c>
      <c r="DT98" s="68">
        <f>IF($U98=0,0,IF($F98=4,0,IF($F98=3,0,IF(OR(79&gt;$R98,DS98&lt;=$I98),DS98,DS98-MIN(INT(ROUND(IF($F98=1,$C98*$J98,IF(HR98&gt;0,HR98*$K98,DS98*$J98))*IF(79=$R98,$S98,12)/12,6)+$B$4),DS98-$I98)))))</f>
        <v/>
      </c>
      <c r="DU98" s="68">
        <f>IF($U98=0,0,IF($F98=4,0,IF($F98=3,0,IF(OR(80&gt;$R98,DT98&lt;=$I98),DT98,DT98-MIN(INT(ROUND(IF($F98=1,$C98*$J98,IF(HS98&gt;0,HS98*$K98,DT98*$J98))*IF(80=$R98,$S98,12)/12,6)+$B$4),DT98-$I98)))))</f>
        <v/>
      </c>
      <c r="DV98" s="68">
        <f>IF($U98=0,0,IF($F98=4,0,IF($F98=3,0,IF(OR(81&gt;$R98,DU98&lt;=$I98),DU98,DU98-MIN(INT(ROUND(IF($F98=1,$C98*$J98,IF(HT98&gt;0,HT98*$K98,DU98*$J98))*IF(81=$R98,$S98,12)/12,6)+$B$4),DU98-$I98)))))</f>
        <v/>
      </c>
      <c r="DW98" s="68">
        <f>IF($U98=0,0,IF($F98=4,0,IF($F98=3,0,IF(OR(82&gt;$R98,DV98&lt;=$I98),DV98,DV98-MIN(INT(ROUND(IF($F98=1,$C98*$J98,IF(HU98&gt;0,HU98*$K98,DV98*$J98))*IF(82=$R98,$S98,12)/12,6)+$B$4),DV98-$I98)))))</f>
        <v/>
      </c>
      <c r="DX98" s="68">
        <f>IF($U98=0,0,IF($F98=4,0,IF($F98=3,0,IF(OR(83&gt;$R98,DW98&lt;=$I98),DW98,DW98-MIN(INT(ROUND(IF($F98=1,$C98*$J98,IF(HV98&gt;0,HV98*$K98,DW98*$J98))*IF(83=$R98,$S98,12)/12,6)+$B$4),DW98-$I98)))))</f>
        <v/>
      </c>
      <c r="DY98" s="68">
        <f>IF($U98=0,0,IF($F98=4,0,IF($F98=3,0,IF(OR(84&gt;$R98,DX98&lt;=$I98),DX98,DX98-MIN(INT(ROUND(IF($F98=1,$C98*$J98,IF(HW98&gt;0,HW98*$K98,DX98*$J98))*IF(84=$R98,$S98,12)/12,6)+$B$4),DX98-$I98)))))</f>
        <v/>
      </c>
      <c r="DZ98" s="68">
        <f>IF($U98=0,0,IF($F98=4,0,IF($F98=3,0,IF(OR(85&gt;$R98,DY98&lt;=$I98),DY98,DY98-MIN(INT(ROUND(IF($F98=1,$C98*$J98,IF(HX98&gt;0,HX98*$K98,DY98*$J98))*IF(85=$R98,$S98,12)/12,6)+$B$4),DY98-$I98)))))</f>
        <v/>
      </c>
      <c r="EA98" s="68">
        <f>IF($U98=0,0,IF($F98=4,0,IF($F98=3,0,IF(OR(86&gt;$R98,DZ98&lt;=$I98),DZ98,DZ98-MIN(INT(ROUND(IF($F98=1,$C98*$J98,IF(HY98&gt;0,HY98*$K98,DZ98*$J98))*IF(86=$R98,$S98,12)/12,6)+$B$4),DZ98-$I98)))))</f>
        <v/>
      </c>
      <c r="EB98" s="68">
        <f>IF($U98=0,0,IF($F98=4,0,IF($F98=3,0,IF(OR(87&gt;$R98,EA98&lt;=$I98),EA98,EA98-MIN(INT(ROUND(IF($F98=1,$C98*$J98,IF(HZ98&gt;0,HZ98*$K98,EA98*$J98))*IF(87=$R98,$S98,12)/12,6)+$B$4),EA98-$I98)))))</f>
        <v/>
      </c>
      <c r="EC98" s="68">
        <f>IF($U98=0,0,IF($F98=4,0,IF($F98=3,0,IF(OR(88&gt;$R98,EB98&lt;=$I98),EB98,EB98-MIN(INT(ROUND(IF($F98=1,$C98*$J98,IF(IA98&gt;0,IA98*$K98,EB98*$J98))*IF(88=$R98,$S98,12)/12,6)+$B$4),EB98-$I98)))))</f>
        <v/>
      </c>
      <c r="ED98" s="68">
        <f>IF($U98=0,0,IF($F98=4,0,IF($F98=3,0,IF(OR(89&gt;$R98,EC98&lt;=$I98),EC98,EC98-MIN(INT(ROUND(IF($F98=1,$C98*$J98,IF(IB98&gt;0,IB98*$K98,EC98*$J98))*IF(89=$R98,$S98,12)/12,6)+$B$4),EC98-$I98)))))</f>
        <v/>
      </c>
      <c r="EE98" s="68">
        <f>IF($U98=0,0,IF($F98=4,0,IF($F98=3,0,IF(OR(90&gt;$R98,ED98&lt;=$I98),ED98,ED98-MIN(INT(ROUND(IF($F98=1,$C98*$J98,IF(IC98&gt;0,IC98*$K98,ED98*$J98))*IF(90=$R98,$S98,12)/12,6)+$B$4),ED98-$I98)))))</f>
        <v/>
      </c>
      <c r="EF98" s="68">
        <f>IF($U98=0,0,IF($F98=4,0,IF($F98=3,0,IF(OR(91&gt;$R98,EE98&lt;=$I98),EE98,EE98-MIN(INT(ROUND(IF($F98=1,$C98*$J98,IF(ID98&gt;0,ID98*$K98,EE98*$J98))*IF(91=$R98,$S98,12)/12,6)+$B$4),EE98-$I98)))))</f>
        <v/>
      </c>
      <c r="EG98" s="68">
        <f>IF($U98=0,0,IF($F98=4,0,IF($F98=3,0,IF(OR(92&gt;$R98,EF98&lt;=$I98),EF98,EF98-MIN(INT(ROUND(IF($F98=1,$C98*$J98,IF(IE98&gt;0,IE98*$K98,EF98*$J98))*IF(92=$R98,$S98,12)/12,6)+$B$4),EF98-$I98)))))</f>
        <v/>
      </c>
      <c r="EH98" s="68">
        <f>IF($U98=0,0,IF($F98=4,0,IF($F98=3,0,IF(OR(93&gt;$R98,EG98&lt;=$I98),EG98,EG98-MIN(INT(ROUND(IF($F98=1,$C98*$J98,IF(IF98&gt;0,IF98*$K98,EG98*$J98))*IF(93=$R98,$S98,12)/12,6)+$B$4),EG98-$I98)))))</f>
        <v/>
      </c>
      <c r="EI98" s="68">
        <f>IF($U98=0,0,IF($F98=4,0,IF($F98=3,0,IF(OR(94&gt;$R98,EH98&lt;=$I98),EH98,EH98-MIN(INT(ROUND(IF($F98=1,$C98*$J98,IF(IG98&gt;0,IG98*$K98,EH98*$J98))*IF(94=$R98,$S98,12)/12,6)+$B$4),EH98-$I98)))))</f>
        <v/>
      </c>
      <c r="EJ98" s="68">
        <f>IF($U98=0,0,IF($F98=4,0,IF($F98=3,0,IF(OR(95&gt;$R98,EI98&lt;=$I98),EI98,EI98-MIN(INT(ROUND(IF($F98=1,$C98*$J98,IF(IH98&gt;0,IH98*$K98,EI98*$J98))*IF(95=$R98,$S98,12)/12,6)+$B$4),EI98-$I98)))))</f>
        <v/>
      </c>
      <c r="EK98" s="68">
        <f>IF($U98=0,0,IF($F98=4,0,IF($F98=3,0,IF(OR(96&gt;$R98,EJ98&lt;=$I98),EJ98,EJ98-MIN(INT(ROUND(IF($F98=1,$C98*$J98,IF(II98&gt;0,II98*$K98,EJ98*$J98))*IF(96=$R98,$S98,12)/12,6)+$B$4),EJ98-$I98)))))</f>
        <v/>
      </c>
      <c r="EL98" s="68">
        <f>IF($U98=0,0,IF($F98=4,0,IF($F98=3,0,IF(OR(97&gt;$R98,EK98&lt;=$I98),EK98,EK98-MIN(INT(ROUND(IF($F98=1,$C98*$J98,IF(IJ98&gt;0,IJ98*$K98,EK98*$J98))*IF(97=$R98,$S98,12)/12,6)+$B$4),EK98-$I98)))))</f>
        <v/>
      </c>
      <c r="EM98" s="68">
        <f>IF($U98=0,0,IF($F98=4,0,IF($F98=3,0,IF(OR(98&gt;$R98,EL98&lt;=$I98),EL98,EL98-MIN(INT(ROUND(IF($F98=1,$C98*$J98,IF(IK98&gt;0,IK98*$K98,EL98*$J98))*IF(98=$R98,$S98,12)/12,6)+$B$4),EL98-$I98)))))</f>
        <v/>
      </c>
      <c r="EN98" s="68">
        <f>IF($U98=0,0,IF($F98=4,0,IF($F98=3,0,IF(OR(99&gt;$R98,EM98&lt;=$I98),EM98,EM98-MIN(INT(ROUND(IF($F98=1,$C98*$J98,IF(IL98&gt;0,IL98*$K98,EM98*$J98))*IF(99=$R98,$S98,12)/12,6)+$B$4),EM98-$I98)))))</f>
        <v/>
      </c>
      <c r="EO98" s="68">
        <f>IF($U98=0,0,IF($F98=4,0,IF($F98=3,0,IF(OR(100&gt;$R98,EN98&lt;=$I98),EN98,EN98-MIN(INT(ROUND(IF($F98=1,$C98*$J98,IF(IM98&gt;0,IM98*$K98,EN98*$J98))*IF(100=$R98,$S98,12)/12,6)+$B$4),EN98-$I98)))))</f>
        <v/>
      </c>
      <c r="EP98" s="68">
        <f>IF($U98=0,0,IF($F98=4,0,IF($F98=3,0,IF(OR(101&gt;$R98,EO98&lt;=$I98),EO98,EO98-MIN(INT(ROUND(IF($F98=1,$C98*$J98,IF(IN98&gt;0,IN98*$K98,EO98*$J98))*IF(101=$R98,$S98,12)/12,6)+$B$4),EO98-$I98)))))</f>
        <v/>
      </c>
      <c r="EQ98" s="68" t="n"/>
      <c r="ER98" s="68">
        <f>IF(OR($U98=0,$F98&lt;&gt;2),0,IF(ROUND(AS98*$J98,6)&lt;ROUND($M98,6),AS98,0))</f>
        <v/>
      </c>
      <c r="ES98" s="68">
        <f>IF(OR($U98=0,$F98&lt;&gt;2),0,IF(ER98&gt;0,ER98,IF(ROUND(AT98*$J98,6)&lt;ROUND($M98,6),AT98,0)))</f>
        <v/>
      </c>
      <c r="ET98" s="68">
        <f>IF(OR($U98=0,$F98&lt;&gt;2),0,IF(ES98&gt;0,ES98,IF(ROUND(AU98*$J98,6)&lt;ROUND($M98,6),AU98,0)))</f>
        <v/>
      </c>
      <c r="EU98" s="68">
        <f>IF(OR($U98=0,$F98&lt;&gt;2),0,IF(ET98&gt;0,ET98,IF(ROUND(AV98*$J98,6)&lt;ROUND($M98,6),AV98,0)))</f>
        <v/>
      </c>
      <c r="EV98" s="68">
        <f>IF(OR($U98=0,$F98&lt;&gt;2),0,IF(EU98&gt;0,EU98,IF(ROUND(AW98*$J98,6)&lt;ROUND($M98,6),AW98,0)))</f>
        <v/>
      </c>
      <c r="EW98" s="68">
        <f>IF(OR($U98=0,$F98&lt;&gt;2),0,IF(EV98&gt;0,EV98,IF(ROUND(AX98*$J98,6)&lt;ROUND($M98,6),AX98,0)))</f>
        <v/>
      </c>
      <c r="EX98" s="68">
        <f>IF(OR($U98=0,$F98&lt;&gt;2),0,IF(EW98&gt;0,EW98,IF(ROUND(AY98*$J98,6)&lt;ROUND($M98,6),AY98,0)))</f>
        <v/>
      </c>
      <c r="EY98" s="68">
        <f>IF(OR($U98=0,$F98&lt;&gt;2),0,IF(EX98&gt;0,EX98,IF(ROUND(AZ98*$J98,6)&lt;ROUND($M98,6),AZ98,0)))</f>
        <v/>
      </c>
      <c r="EZ98" s="68">
        <f>IF(OR($U98=0,$F98&lt;&gt;2),0,IF(EY98&gt;0,EY98,IF(ROUND(BA98*$J98,6)&lt;ROUND($M98,6),BA98,0)))</f>
        <v/>
      </c>
      <c r="FA98" s="68">
        <f>IF(OR($U98=0,$F98&lt;&gt;2),0,IF(EZ98&gt;0,EZ98,IF(ROUND(BB98*$J98,6)&lt;ROUND($M98,6),BB98,0)))</f>
        <v/>
      </c>
      <c r="FB98" s="68">
        <f>IF(OR($U98=0,$F98&lt;&gt;2),0,IF(FA98&gt;0,FA98,IF(ROUND(BC98*$J98,6)&lt;ROUND($M98,6),BC98,0)))</f>
        <v/>
      </c>
      <c r="FC98" s="68">
        <f>IF(OR($U98=0,$F98&lt;&gt;2),0,IF(FB98&gt;0,FB98,IF(ROUND(BD98*$J98,6)&lt;ROUND($M98,6),BD98,0)))</f>
        <v/>
      </c>
      <c r="FD98" s="68">
        <f>IF(OR($U98=0,$F98&lt;&gt;2),0,IF(FC98&gt;0,FC98,IF(ROUND(BE98*$J98,6)&lt;ROUND($M98,6),BE98,0)))</f>
        <v/>
      </c>
      <c r="FE98" s="68">
        <f>IF(OR($U98=0,$F98&lt;&gt;2),0,IF(FD98&gt;0,FD98,IF(ROUND(BF98*$J98,6)&lt;ROUND($M98,6),BF98,0)))</f>
        <v/>
      </c>
      <c r="FF98" s="68">
        <f>IF(OR($U98=0,$F98&lt;&gt;2),0,IF(FE98&gt;0,FE98,IF(ROUND(BG98*$J98,6)&lt;ROUND($M98,6),BG98,0)))</f>
        <v/>
      </c>
      <c r="FG98" s="68">
        <f>IF(OR($U98=0,$F98&lt;&gt;2),0,IF(FF98&gt;0,FF98,IF(ROUND(BH98*$J98,6)&lt;ROUND($M98,6),BH98,0)))</f>
        <v/>
      </c>
      <c r="FH98" s="68">
        <f>IF(OR($U98=0,$F98&lt;&gt;2),0,IF(FG98&gt;0,FG98,IF(ROUND(BI98*$J98,6)&lt;ROUND($M98,6),BI98,0)))</f>
        <v/>
      </c>
      <c r="FI98" s="68">
        <f>IF(OR($U98=0,$F98&lt;&gt;2),0,IF(FH98&gt;0,FH98,IF(ROUND(BJ98*$J98,6)&lt;ROUND($M98,6),BJ98,0)))</f>
        <v/>
      </c>
      <c r="FJ98" s="68">
        <f>IF(OR($U98=0,$F98&lt;&gt;2),0,IF(FI98&gt;0,FI98,IF(ROUND(BK98*$J98,6)&lt;ROUND($M98,6),BK98,0)))</f>
        <v/>
      </c>
      <c r="FK98" s="68">
        <f>IF(OR($U98=0,$F98&lt;&gt;2),0,IF(FJ98&gt;0,FJ98,IF(ROUND(BL98*$J98,6)&lt;ROUND($M98,6),BL98,0)))</f>
        <v/>
      </c>
      <c r="FL98" s="68">
        <f>IF(OR($U98=0,$F98&lt;&gt;2),0,IF(FK98&gt;0,FK98,IF(ROUND(BM98*$J98,6)&lt;ROUND($M98,6),BM98,0)))</f>
        <v/>
      </c>
      <c r="FM98" s="68">
        <f>IF(OR($U98=0,$F98&lt;&gt;2),0,IF(FL98&gt;0,FL98,IF(ROUND(BN98*$J98,6)&lt;ROUND($M98,6),BN98,0)))</f>
        <v/>
      </c>
      <c r="FN98" s="68">
        <f>IF(OR($U98=0,$F98&lt;&gt;2),0,IF(FM98&gt;0,FM98,IF(ROUND(BO98*$J98,6)&lt;ROUND($M98,6),BO98,0)))</f>
        <v/>
      </c>
      <c r="FO98" s="68">
        <f>IF(OR($U98=0,$F98&lt;&gt;2),0,IF(FN98&gt;0,FN98,IF(ROUND(BP98*$J98,6)&lt;ROUND($M98,6),BP98,0)))</f>
        <v/>
      </c>
      <c r="FP98" s="68">
        <f>IF(OR($U98=0,$F98&lt;&gt;2),0,IF(FO98&gt;0,FO98,IF(ROUND(BQ98*$J98,6)&lt;ROUND($M98,6),BQ98,0)))</f>
        <v/>
      </c>
      <c r="FQ98" s="68">
        <f>IF(OR($U98=0,$F98&lt;&gt;2),0,IF(FP98&gt;0,FP98,IF(ROUND(BR98*$J98,6)&lt;ROUND($M98,6),BR98,0)))</f>
        <v/>
      </c>
      <c r="FR98" s="68">
        <f>IF(OR($U98=0,$F98&lt;&gt;2),0,IF(FQ98&gt;0,FQ98,IF(ROUND(BS98*$J98,6)&lt;ROUND($M98,6),BS98,0)))</f>
        <v/>
      </c>
      <c r="FS98" s="68">
        <f>IF(OR($U98=0,$F98&lt;&gt;2),0,IF(FR98&gt;0,FR98,IF(ROUND(BT98*$J98,6)&lt;ROUND($M98,6),BT98,0)))</f>
        <v/>
      </c>
      <c r="FT98" s="68">
        <f>IF(OR($U98=0,$F98&lt;&gt;2),0,IF(FS98&gt;0,FS98,IF(ROUND(BU98*$J98,6)&lt;ROUND($M98,6),BU98,0)))</f>
        <v/>
      </c>
      <c r="FU98" s="68">
        <f>IF(OR($U98=0,$F98&lt;&gt;2),0,IF(FT98&gt;0,FT98,IF(ROUND(BV98*$J98,6)&lt;ROUND($M98,6),BV98,0)))</f>
        <v/>
      </c>
      <c r="FV98" s="68">
        <f>IF(OR($U98=0,$F98&lt;&gt;2),0,IF(FU98&gt;0,FU98,IF(ROUND(BW98*$J98,6)&lt;ROUND($M98,6),BW98,0)))</f>
        <v/>
      </c>
      <c r="FW98" s="68">
        <f>IF(OR($U98=0,$F98&lt;&gt;2),0,IF(FV98&gt;0,FV98,IF(ROUND(BX98*$J98,6)&lt;ROUND($M98,6),BX98,0)))</f>
        <v/>
      </c>
      <c r="FX98" s="68">
        <f>IF(OR($U98=0,$F98&lt;&gt;2),0,IF(FW98&gt;0,FW98,IF(ROUND(BY98*$J98,6)&lt;ROUND($M98,6),BY98,0)))</f>
        <v/>
      </c>
      <c r="FY98" s="68">
        <f>IF(OR($U98=0,$F98&lt;&gt;2),0,IF(FX98&gt;0,FX98,IF(ROUND(BZ98*$J98,6)&lt;ROUND($M98,6),BZ98,0)))</f>
        <v/>
      </c>
      <c r="FZ98" s="68">
        <f>IF(OR($U98=0,$F98&lt;&gt;2),0,IF(FY98&gt;0,FY98,IF(ROUND(CA98*$J98,6)&lt;ROUND($M98,6),CA98,0)))</f>
        <v/>
      </c>
      <c r="GA98" s="68">
        <f>IF(OR($U98=0,$F98&lt;&gt;2),0,IF(FZ98&gt;0,FZ98,IF(ROUND(CB98*$J98,6)&lt;ROUND($M98,6),CB98,0)))</f>
        <v/>
      </c>
      <c r="GB98" s="68">
        <f>IF(OR($U98=0,$F98&lt;&gt;2),0,IF(GA98&gt;0,GA98,IF(ROUND(CC98*$J98,6)&lt;ROUND($M98,6),CC98,0)))</f>
        <v/>
      </c>
      <c r="GC98" s="68">
        <f>IF(OR($U98=0,$F98&lt;&gt;2),0,IF(GB98&gt;0,GB98,IF(ROUND(CD98*$J98,6)&lt;ROUND($M98,6),CD98,0)))</f>
        <v/>
      </c>
      <c r="GD98" s="68">
        <f>IF(OR($U98=0,$F98&lt;&gt;2),0,IF(GC98&gt;0,GC98,IF(ROUND(CE98*$J98,6)&lt;ROUND($M98,6),CE98,0)))</f>
        <v/>
      </c>
      <c r="GE98" s="68">
        <f>IF(OR($U98=0,$F98&lt;&gt;2),0,IF(GD98&gt;0,GD98,IF(ROUND(CF98*$J98,6)&lt;ROUND($M98,6),CF98,0)))</f>
        <v/>
      </c>
      <c r="GF98" s="68">
        <f>IF(OR($U98=0,$F98&lt;&gt;2),0,IF(GE98&gt;0,GE98,IF(ROUND(CG98*$J98,6)&lt;ROUND($M98,6),CG98,0)))</f>
        <v/>
      </c>
      <c r="GG98" s="68">
        <f>IF(OR($U98=0,$F98&lt;&gt;2),0,IF(GF98&gt;0,GF98,IF(ROUND(CH98*$J98,6)&lt;ROUND($M98,6),CH98,0)))</f>
        <v/>
      </c>
      <c r="GH98" s="68">
        <f>IF(OR($U98=0,$F98&lt;&gt;2),0,IF(GG98&gt;0,GG98,IF(ROUND(CI98*$J98,6)&lt;ROUND($M98,6),CI98,0)))</f>
        <v/>
      </c>
      <c r="GI98" s="68">
        <f>IF(OR($U98=0,$F98&lt;&gt;2),0,IF(GH98&gt;0,GH98,IF(ROUND(CJ98*$J98,6)&lt;ROUND($M98,6),CJ98,0)))</f>
        <v/>
      </c>
      <c r="GJ98" s="68">
        <f>IF(OR($U98=0,$F98&lt;&gt;2),0,IF(GI98&gt;0,GI98,IF(ROUND(CK98*$J98,6)&lt;ROUND($M98,6),CK98,0)))</f>
        <v/>
      </c>
      <c r="GK98" s="68">
        <f>IF(OR($U98=0,$F98&lt;&gt;2),0,IF(GJ98&gt;0,GJ98,IF(ROUND(CL98*$J98,6)&lt;ROUND($M98,6),CL98,0)))</f>
        <v/>
      </c>
      <c r="GL98" s="68">
        <f>IF(OR($U98=0,$F98&lt;&gt;2),0,IF(GK98&gt;0,GK98,IF(ROUND(CM98*$J98,6)&lt;ROUND($M98,6),CM98,0)))</f>
        <v/>
      </c>
      <c r="GM98" s="68">
        <f>IF(OR($U98=0,$F98&lt;&gt;2),0,IF(GL98&gt;0,GL98,IF(ROUND(CN98*$J98,6)&lt;ROUND($M98,6),CN98,0)))</f>
        <v/>
      </c>
      <c r="GN98" s="68">
        <f>IF(OR($U98=0,$F98&lt;&gt;2),0,IF(GM98&gt;0,GM98,IF(ROUND(CO98*$J98,6)&lt;ROUND($M98,6),CO98,0)))</f>
        <v/>
      </c>
      <c r="GO98" s="68">
        <f>IF(OR($U98=0,$F98&lt;&gt;2),0,IF(GN98&gt;0,GN98,IF(ROUND(CP98*$J98,6)&lt;ROUND($M98,6),CP98,0)))</f>
        <v/>
      </c>
      <c r="GP98" s="68">
        <f>IF(OR($U98=0,$F98&lt;&gt;2),0,IF(GO98&gt;0,GO98,IF(ROUND(CQ98*$J98,6)&lt;ROUND($M98,6),CQ98,0)))</f>
        <v/>
      </c>
      <c r="GQ98" s="68">
        <f>IF(OR($U98=0,$F98&lt;&gt;2),0,IF(GP98&gt;0,GP98,IF(ROUND(CR98*$J98,6)&lt;ROUND($M98,6),CR98,0)))</f>
        <v/>
      </c>
      <c r="GR98" s="68">
        <f>IF(OR($U98=0,$F98&lt;&gt;2),0,IF(GQ98&gt;0,GQ98,IF(ROUND(CS98*$J98,6)&lt;ROUND($M98,6),CS98,0)))</f>
        <v/>
      </c>
      <c r="GS98" s="68">
        <f>IF(OR($U98=0,$F98&lt;&gt;2),0,IF(GR98&gt;0,GR98,IF(ROUND(CT98*$J98,6)&lt;ROUND($M98,6),CT98,0)))</f>
        <v/>
      </c>
      <c r="GT98" s="68">
        <f>IF(OR($U98=0,$F98&lt;&gt;2),0,IF(GS98&gt;0,GS98,IF(ROUND(CU98*$J98,6)&lt;ROUND($M98,6),CU98,0)))</f>
        <v/>
      </c>
      <c r="GU98" s="68">
        <f>IF(OR($U98=0,$F98&lt;&gt;2),0,IF(GT98&gt;0,GT98,IF(ROUND(CV98*$J98,6)&lt;ROUND($M98,6),CV98,0)))</f>
        <v/>
      </c>
      <c r="GV98" s="68">
        <f>IF(OR($U98=0,$F98&lt;&gt;2),0,IF(GU98&gt;0,GU98,IF(ROUND(CW98*$J98,6)&lt;ROUND($M98,6),CW98,0)))</f>
        <v/>
      </c>
      <c r="GW98" s="68">
        <f>IF(OR($U98=0,$F98&lt;&gt;2),0,IF(GV98&gt;0,GV98,IF(ROUND(CX98*$J98,6)&lt;ROUND($M98,6),CX98,0)))</f>
        <v/>
      </c>
      <c r="GX98" s="68">
        <f>IF(OR($U98=0,$F98&lt;&gt;2),0,IF(GW98&gt;0,GW98,IF(ROUND(CY98*$J98,6)&lt;ROUND($M98,6),CY98,0)))</f>
        <v/>
      </c>
      <c r="GY98" s="68">
        <f>IF(OR($U98=0,$F98&lt;&gt;2),0,IF(GX98&gt;0,GX98,IF(ROUND(CZ98*$J98,6)&lt;ROUND($M98,6),CZ98,0)))</f>
        <v/>
      </c>
      <c r="GZ98" s="68">
        <f>IF(OR($U98=0,$F98&lt;&gt;2),0,IF(GY98&gt;0,GY98,IF(ROUND(DA98*$J98,6)&lt;ROUND($M98,6),DA98,0)))</f>
        <v/>
      </c>
      <c r="HA98" s="68">
        <f>IF(OR($U98=0,$F98&lt;&gt;2),0,IF(GZ98&gt;0,GZ98,IF(ROUND(DB98*$J98,6)&lt;ROUND($M98,6),DB98,0)))</f>
        <v/>
      </c>
      <c r="HB98" s="68">
        <f>IF(OR($U98=0,$F98&lt;&gt;2),0,IF(HA98&gt;0,HA98,IF(ROUND(DC98*$J98,6)&lt;ROUND($M98,6),DC98,0)))</f>
        <v/>
      </c>
      <c r="HC98" s="68">
        <f>IF(OR($U98=0,$F98&lt;&gt;2),0,IF(HB98&gt;0,HB98,IF(ROUND(DD98*$J98,6)&lt;ROUND($M98,6),DD98,0)))</f>
        <v/>
      </c>
      <c r="HD98" s="68">
        <f>IF(OR($U98=0,$F98&lt;&gt;2),0,IF(HC98&gt;0,HC98,IF(ROUND(DE98*$J98,6)&lt;ROUND($M98,6),DE98,0)))</f>
        <v/>
      </c>
      <c r="HE98" s="68">
        <f>IF(OR($U98=0,$F98&lt;&gt;2),0,IF(HD98&gt;0,HD98,IF(ROUND(DF98*$J98,6)&lt;ROUND($M98,6),DF98,0)))</f>
        <v/>
      </c>
      <c r="HF98" s="68">
        <f>IF(OR($U98=0,$F98&lt;&gt;2),0,IF(HE98&gt;0,HE98,IF(ROUND(DG98*$J98,6)&lt;ROUND($M98,6),DG98,0)))</f>
        <v/>
      </c>
      <c r="HG98" s="68">
        <f>IF(OR($U98=0,$F98&lt;&gt;2),0,IF(HF98&gt;0,HF98,IF(ROUND(DH98*$J98,6)&lt;ROUND($M98,6),DH98,0)))</f>
        <v/>
      </c>
      <c r="HH98" s="68">
        <f>IF(OR($U98=0,$F98&lt;&gt;2),0,IF(HG98&gt;0,HG98,IF(ROUND(DI98*$J98,6)&lt;ROUND($M98,6),DI98,0)))</f>
        <v/>
      </c>
      <c r="HI98" s="68">
        <f>IF(OR($U98=0,$F98&lt;&gt;2),0,IF(HH98&gt;0,HH98,IF(ROUND(DJ98*$J98,6)&lt;ROUND($M98,6),DJ98,0)))</f>
        <v/>
      </c>
      <c r="HJ98" s="68">
        <f>IF(OR($U98=0,$F98&lt;&gt;2),0,IF(HI98&gt;0,HI98,IF(ROUND(DK98*$J98,6)&lt;ROUND($M98,6),DK98,0)))</f>
        <v/>
      </c>
      <c r="HK98" s="68">
        <f>IF(OR($U98=0,$F98&lt;&gt;2),0,IF(HJ98&gt;0,HJ98,IF(ROUND(DL98*$J98,6)&lt;ROUND($M98,6),DL98,0)))</f>
        <v/>
      </c>
      <c r="HL98" s="68">
        <f>IF(OR($U98=0,$F98&lt;&gt;2),0,IF(HK98&gt;0,HK98,IF(ROUND(DM98*$J98,6)&lt;ROUND($M98,6),DM98,0)))</f>
        <v/>
      </c>
      <c r="HM98" s="68">
        <f>IF(OR($U98=0,$F98&lt;&gt;2),0,IF(HL98&gt;0,HL98,IF(ROUND(DN98*$J98,6)&lt;ROUND($M98,6),DN98,0)))</f>
        <v/>
      </c>
      <c r="HN98" s="68">
        <f>IF(OR($U98=0,$F98&lt;&gt;2),0,IF(HM98&gt;0,HM98,IF(ROUND(DO98*$J98,6)&lt;ROUND($M98,6),DO98,0)))</f>
        <v/>
      </c>
      <c r="HO98" s="68">
        <f>IF(OR($U98=0,$F98&lt;&gt;2),0,IF(HN98&gt;0,HN98,IF(ROUND(DP98*$J98,6)&lt;ROUND($M98,6),DP98,0)))</f>
        <v/>
      </c>
      <c r="HP98" s="68">
        <f>IF(OR($U98=0,$F98&lt;&gt;2),0,IF(HO98&gt;0,HO98,IF(ROUND(DQ98*$J98,6)&lt;ROUND($M98,6),DQ98,0)))</f>
        <v/>
      </c>
      <c r="HQ98" s="68">
        <f>IF(OR($U98=0,$F98&lt;&gt;2),0,IF(HP98&gt;0,HP98,IF(ROUND(DR98*$J98,6)&lt;ROUND($M98,6),DR98,0)))</f>
        <v/>
      </c>
      <c r="HR98" s="68">
        <f>IF(OR($U98=0,$F98&lt;&gt;2),0,IF(HQ98&gt;0,HQ98,IF(ROUND(DS98*$J98,6)&lt;ROUND($M98,6),DS98,0)))</f>
        <v/>
      </c>
      <c r="HS98" s="68">
        <f>IF(OR($U98=0,$F98&lt;&gt;2),0,IF(HR98&gt;0,HR98,IF(ROUND(DT98*$J98,6)&lt;ROUND($M98,6),DT98,0)))</f>
        <v/>
      </c>
      <c r="HT98" s="68">
        <f>IF(OR($U98=0,$F98&lt;&gt;2),0,IF(HS98&gt;0,HS98,IF(ROUND(DU98*$J98,6)&lt;ROUND($M98,6),DU98,0)))</f>
        <v/>
      </c>
      <c r="HU98" s="68">
        <f>IF(OR($U98=0,$F98&lt;&gt;2),0,IF(HT98&gt;0,HT98,IF(ROUND(DV98*$J98,6)&lt;ROUND($M98,6),DV98,0)))</f>
        <v/>
      </c>
      <c r="HV98" s="68">
        <f>IF(OR($U98=0,$F98&lt;&gt;2),0,IF(HU98&gt;0,HU98,IF(ROUND(DW98*$J98,6)&lt;ROUND($M98,6),DW98,0)))</f>
        <v/>
      </c>
      <c r="HW98" s="68">
        <f>IF(OR($U98=0,$F98&lt;&gt;2),0,IF(HV98&gt;0,HV98,IF(ROUND(DX98*$J98,6)&lt;ROUND($M98,6),DX98,0)))</f>
        <v/>
      </c>
      <c r="HX98" s="68">
        <f>IF(OR($U98=0,$F98&lt;&gt;2),0,IF(HW98&gt;0,HW98,IF(ROUND(DY98*$J98,6)&lt;ROUND($M98,6),DY98,0)))</f>
        <v/>
      </c>
      <c r="HY98" s="68">
        <f>IF(OR($U98=0,$F98&lt;&gt;2),0,IF(HX98&gt;0,HX98,IF(ROUND(DZ98*$J98,6)&lt;ROUND($M98,6),DZ98,0)))</f>
        <v/>
      </c>
      <c r="HZ98" s="68">
        <f>IF(OR($U98=0,$F98&lt;&gt;2),0,IF(HY98&gt;0,HY98,IF(ROUND(EA98*$J98,6)&lt;ROUND($M98,6),EA98,0)))</f>
        <v/>
      </c>
      <c r="IA98" s="68">
        <f>IF(OR($U98=0,$F98&lt;&gt;2),0,IF(HZ98&gt;0,HZ98,IF(ROUND(EB98*$J98,6)&lt;ROUND($M98,6),EB98,0)))</f>
        <v/>
      </c>
      <c r="IB98" s="68">
        <f>IF(OR($U98=0,$F98&lt;&gt;2),0,IF(IA98&gt;0,IA98,IF(ROUND(EC98*$J98,6)&lt;ROUND($M98,6),EC98,0)))</f>
        <v/>
      </c>
      <c r="IC98" s="68">
        <f>IF(OR($U98=0,$F98&lt;&gt;2),0,IF(IB98&gt;0,IB98,IF(ROUND(ED98*$J98,6)&lt;ROUND($M98,6),ED98,0)))</f>
        <v/>
      </c>
      <c r="ID98" s="68">
        <f>IF(OR($U98=0,$F98&lt;&gt;2),0,IF(IC98&gt;0,IC98,IF(ROUND(EE98*$J98,6)&lt;ROUND($M98,6),EE98,0)))</f>
        <v/>
      </c>
      <c r="IE98" s="68">
        <f>IF(OR($U98=0,$F98&lt;&gt;2),0,IF(ID98&gt;0,ID98,IF(ROUND(EF98*$J98,6)&lt;ROUND($M98,6),EF98,0)))</f>
        <v/>
      </c>
      <c r="IF98" s="68">
        <f>IF(OR($U98=0,$F98&lt;&gt;2),0,IF(IE98&gt;0,IE98,IF(ROUND(EG98*$J98,6)&lt;ROUND($M98,6),EG98,0)))</f>
        <v/>
      </c>
      <c r="IG98" s="68">
        <f>IF(OR($U98=0,$F98&lt;&gt;2),0,IF(IF98&gt;0,IF98,IF(ROUND(EH98*$J98,6)&lt;ROUND($M98,6),EH98,0)))</f>
        <v/>
      </c>
      <c r="IH98" s="68">
        <f>IF(OR($U98=0,$F98&lt;&gt;2),0,IF(IG98&gt;0,IG98,IF(ROUND(EI98*$J98,6)&lt;ROUND($M98,6),EI98,0)))</f>
        <v/>
      </c>
      <c r="II98" s="68">
        <f>IF(OR($U98=0,$F98&lt;&gt;2),0,IF(IH98&gt;0,IH98,IF(ROUND(EJ98*$J98,6)&lt;ROUND($M98,6),EJ98,0)))</f>
        <v/>
      </c>
      <c r="IJ98" s="68">
        <f>IF(OR($U98=0,$F98&lt;&gt;2),0,IF(II98&gt;0,II98,IF(ROUND(EK98*$J98,6)&lt;ROUND($M98,6),EK98,0)))</f>
        <v/>
      </c>
      <c r="IK98" s="68">
        <f>IF(OR($U98=0,$F98&lt;&gt;2),0,IF(IJ98&gt;0,IJ98,IF(ROUND(EL98*$J98,6)&lt;ROUND($M98,6),EL98,0)))</f>
        <v/>
      </c>
      <c r="IL98" s="68">
        <f>IF(OR($U98=0,$F98&lt;&gt;2),0,IF(IK98&gt;0,IK98,IF(ROUND(EM98*$J98,6)&lt;ROUND($M98,6),EM98,0)))</f>
        <v/>
      </c>
      <c r="IM98" s="68">
        <f>IF(OR($U98=0,$F98&lt;&gt;2),0,IF(IL98&gt;0,IL98,IF(ROUND(EN98*$J98,6)&lt;ROUND($M98,6),EN98,0)))</f>
        <v/>
      </c>
      <c r="IN98" s="68">
        <f>IF(OR($U98=0,$F98&lt;&gt;2),0,IF(IM98&gt;0,IM98,IF(ROUND(EO98*$J98,6)&lt;ROUND($M98,6),EO98,0)))</f>
        <v/>
      </c>
    </row>
    <row r="99">
      <c r="A99" s="68" t="n">
        <v>94</v>
      </c>
      <c r="B99" s="68">
        <f>IF(OR(TRIM('固定資産台帳'!$B99)&lt;&gt;"",'固定資産台帳'!$E99&lt;&gt;"",'固定資産台帳'!$G99&lt;&gt;"",'固定資産台帳'!$H99&lt;&gt;""),1,0)</f>
        <v/>
      </c>
      <c r="C99" s="68">
        <f>IF(ISNUMBER('固定資産台帳'!$G99),MAX(ROUND('固定資産台帳'!$G99,0),0),0)</f>
        <v/>
      </c>
      <c r="D99" s="84">
        <f>IF(ISNUMBER('固定資産台帳'!$E99),INT('固定資産台帳'!$E99),0)</f>
        <v/>
      </c>
      <c r="E99" s="84">
        <f>IF(ISNUMBER('固定資産台帳'!$F99),INT('固定資産台帳'!$F99),$D99)</f>
        <v/>
      </c>
      <c r="F99" s="68">
        <f>IF('固定資産台帳'!$H99="定額法",1,IF(OR('固定資産台帳'!$H99="定率法",'固定資産台帳'!$H99="定率法（200%）",'固定資産台帳'!$H99="定率法（250%）"),2,IF('固定資産台帳'!$H99="一括償却（3年）",3,IF('固定資産台帳'!$H99="少額特例",4,0))))</f>
        <v/>
      </c>
      <c r="G99" s="68">
        <f>IF('固定資産台帳'!$H99="定率法（250%）",250,IF('固定資産台帳'!$H99="定率法（200%）",200,IF($D99&gt;=DATE(2012,4,1),200,250)))</f>
        <v/>
      </c>
      <c r="H99" s="68">
        <f>IF(ISNUMBER('固定資産台帳'!$I99),IF(AND('固定資産台帳'!$I99&gt;=2,'固定資産台帳'!$I99&lt;=100,'固定資産台帳'!$I99=INT('固定資産台帳'!$I99)),'固定資産台帳'!$I99,0),0)</f>
        <v/>
      </c>
      <c r="I99" s="68">
        <f>IF('固定資産台帳'!$C99="無形固定資産",0,1)</f>
        <v/>
      </c>
      <c r="J99" s="68">
        <f>IF(OR($H99=0,$F99=0,$F99&gt;2),0,IF($F99=1,INDEX('償却率表'!$B$6:$B$104,$H99-1),IF($G99=200,INDEX('償却率表'!$C$6:$C$104,$H99-1),INDEX('償却率表'!$F$6:$F$104,$H99-1))))</f>
        <v/>
      </c>
      <c r="K99" s="68">
        <f>IF(AND($F99=2,$H99&gt;0),IF($G99=200,INDEX('償却率表'!$D$6:$D$104,$H99-1),INDEX('償却率表'!$G$6:$G$104,$H99-1)),0)</f>
        <v/>
      </c>
      <c r="L99" s="68">
        <f>IF(AND($F99=2,$H99&gt;0),IF($G99=200,INDEX('償却率表'!$E$6:$E$104,$H99-1),INDEX('償却率表'!$H$6:$H$104,$H99-1)),0)</f>
        <v/>
      </c>
      <c r="M99" s="68">
        <f>$C99*$L99</f>
        <v/>
      </c>
      <c r="N99" s="68">
        <f>IF($B$1=1,1,IF('固定資産台帳'!$J99="",1,IF(ISNUMBER('固定資産台帳'!$J99),IF(AND('固定資産台帳'!$J99&gt;0,'固定資産台帳'!$J99&lt;=1),'固定資産台帳'!$J99,0),0)))</f>
        <v/>
      </c>
      <c r="O99" s="68">
        <f>IF($E99=0,0,YEAR($E99)-IF(MONTH($E99)&lt;$B$2,1,0))</f>
        <v/>
      </c>
      <c r="P99" s="68">
        <f>IF($E99=0,0,12-MOD(MONTH($E99)-$B$2,12))</f>
        <v/>
      </c>
      <c r="Q99" s="84">
        <f>IF(ISNUMBER('固定資産台帳'!$K99),INT('固定資産台帳'!$K99),0)</f>
        <v/>
      </c>
      <c r="R99" s="68">
        <f>IF(OR($Q99=0,$E99=0),999,YEAR($Q99)-IF(MONTH($Q99)&lt;$B$2,1,0)-$O99)</f>
        <v/>
      </c>
      <c r="S99" s="68">
        <f>IF($R99=999,0,MOD(MONTH($Q99)-$B$2,12)+1-IF($R99=0,12-$P99,0))</f>
        <v/>
      </c>
      <c r="T99" s="68">
        <f>IF($B99=0,0,IF($C99&lt;=0,1,IF($D99=0,2,IF($F99=0,3,IF(AND($F99&lt;=2,$H99=0),4,IF(AND($F99&lt;=2,$D99&lt;DATE(2007,4,1)),5,IF($E99&lt;$D99,6,IF(AND($Q99&gt;0,$Q99&lt;$E99),7,IF($N99=0,8,IF($B$3=0,9,0))))))))))</f>
        <v/>
      </c>
      <c r="U99" s="68">
        <f>IF(AND($B99=1,$T99=0),1,0)</f>
        <v/>
      </c>
      <c r="V99" s="68">
        <f>$B$3-$O99</f>
        <v/>
      </c>
      <c r="W99" s="68">
        <f>IF(AND($U99=1,$V99&gt;=0),1,0)</f>
        <v/>
      </c>
      <c r="X99" s="68">
        <f>IF($W99=0,0,IF($V99=0,$C99,INDEX($AS99:$EP99,MIN($V99,102))))</f>
        <v/>
      </c>
      <c r="Y99" s="68">
        <f>IF($W99=0,0,INDEX($AS99:$EP99,MIN($V99,101)+1))</f>
        <v/>
      </c>
      <c r="Z99" s="68">
        <f>$X99-$Y99</f>
        <v/>
      </c>
      <c r="AA99" s="68">
        <f>IF(AND($W99=1,$F99=2,$V99&gt;=1),INDEX($ER99:$IN99,MIN($V99,101)),0)</f>
        <v/>
      </c>
      <c r="AB99" s="68">
        <f>IF(OR($W99=0,$F99&gt;2,$Z99=0),0,IF($V99=0,IF($R99=0,$S99,$P99),IF($V99=$R99,$S99,12)))</f>
        <v/>
      </c>
      <c r="AC99" s="68">
        <f>IF($W99=0,0,INT(ROUND($Z99*$N99,6)+$B$4))</f>
        <v/>
      </c>
      <c r="AD99" s="68">
        <f>IF(AND($W99=1,$F99&lt;=2,$V99=$R99),1,0)</f>
        <v/>
      </c>
      <c r="AE99" s="68">
        <f>IF(AND($W99=1,$F99&lt;=2,$V99&gt;$R99),1,0)</f>
        <v/>
      </c>
      <c r="AF99" s="68">
        <f>IF(AND($W99=1,$AE99=0,OR($Z99&gt;0,$AD99=1)),1,0)</f>
        <v/>
      </c>
      <c r="AG99" s="68">
        <f>IF($AF99=1,SUM($AF$6:$AF99),0)</f>
        <v/>
      </c>
      <c r="AH99" s="68">
        <f>IF($T99=0,"",CHOOSE($T99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99" s="68">
        <f>IF(AND($F99=2,OR('固定資産台帳'!$C99="建物",'固定資産台帳'!$C99="無形固定資産",AND(OR('固定資産台帳'!$C99="建物附属設備",'固定資産台帳'!$C99="構築物"),$D99&gt;=DATE(2016,4,1)))),"この資産は定額法だけです（定率法は使えません）。","")&amp;IF(AND($F99=3,$C99&gt;=200000),"一括償却は20万円未満の資産だけです。","")&amp;IF(AND($F99=3,$B$1=0,$C99&lt;100000),"10万円未満は一括償却にせず、全額をその年の経費にします。","")&amp;IF(AND($F99=4,$C99&lt;100000),"10万円未満は少額特例ではなく、全額をその年の経費にします。","")&amp;IF(AND($F99=4,$D99&lt;DATE(2026,4,1),$C99&gt;=300000),"2026年3月31日までの取得で少額特例が使えるのは30万円未満です。","")&amp;IF(AND($F99=4,$D99&gt;=DATE(2026,4,1),$C99&gt;=400000),"少額特例は40万円未満の資産だけです。","")&amp;IF(AND($F99=4,OR($D99&lt;DATE(2006,4,1),$D99&gt;DATE(2029,3,31))),"少額特例は2006年4月1日〜2029年3月31日に取得した資産だけです。","")&amp;IF(AND($F99=2,$G99=250,$D99&gt;DATE(2012,12,31)),"250%定率法は2012年12月31日までの取得だけです。","")</f>
        <v/>
      </c>
      <c r="AJ99" s="68">
        <f>IF(AND($F99=2,'固定資産台帳'!$H99="定率法（200%）",$D99&lt;DATE(2012,4,1)),"2012年3月31日までの取得に200%を使うのは、経過措置の届出をした場合です。","")&amp;IF(AND($F99=2,'固定資産台帳'!$H99="定率法（250%）",$D99&gt;=DATE(2012,4,1),$D99&lt;=DATE(2012,12,31)),"2012年4〜12月の取得に250%を使うのは、経過措置を選んだ場合です。","")</f>
        <v/>
      </c>
      <c r="AK99" s="68">
        <f>IF($U99=0,"",IF($V99&lt;0,"表示している年より後に使い始める資産です。",IF($AE99=1,"売却・除却済みです。",IF($AD99=1,"この年に売却・除却。期末の帳簿価額 "&amp;TEXT($Y99,"#,##0")&amp;"円を帳簿から外します。",IF($F99=4,IF($V99=0,"少額特例：この年に全額を経費にします。","少額特例で経費にした資産です。"),IF($F99=3,IF($V99&gt;2,"一括償却は終わっています。","一括償却 "&amp;($V99+1)&amp;"年目（3年のうち）。"),IF($Z99=0,"償却済み（帳簿価額 "&amp;TEXT($Y99,"#,##0")&amp;"円）。",IF($AA99&gt;0,"改定償却率で計算（改定取得価額 "&amp;TEXT($AA99,"#,##0")&amp;"円）。",IF($V99=0,"この年に使い始め（"&amp;$AB99&amp;"か月分）。","")))))))))</f>
        <v/>
      </c>
      <c r="AL99" s="68">
        <f>IF(AND($U99=1,$F99=4,$V99=0),$C99,0)</f>
        <v/>
      </c>
      <c r="AM99" s="68">
        <f>IF($F99=2,INT(ROUND($M99,6)+$B$4),0)</f>
        <v/>
      </c>
      <c r="AN99" s="68">
        <f>IF($W99=0,0,IF($F99=2,IF($AA99&gt;0,$AA99,$X99),$C99))</f>
        <v/>
      </c>
      <c r="AO99" s="68">
        <f>IF($W99=0,"",IF($F99=3,"1/3",IF($F99=4,"―",IF($AA99&gt;0,$K99,$J99))))</f>
        <v/>
      </c>
      <c r="AP99" s="68" t="n"/>
      <c r="AQ99" s="68" t="n"/>
      <c r="AR99" s="68" t="n"/>
      <c r="AS99" s="68">
        <f>IF($U99=0,0,IF($F99=4,0,IF($F99=3,MAX($C99-INT(ROUND($C99/3,6)+$B$4),0),$C99-MIN(INT(ROUND($C99*$J99*IF($R99=0,$S99,$P99)/12,6)+$B$4),MAX($C99-$I99,0)))))</f>
        <v/>
      </c>
      <c r="AT99" s="68">
        <f>IF($U99=0,0,IF($F99=4,0,IF($F99=3,AS99-MIN(INT(ROUND($C99/3,6)+$B$4),AS99),IF(OR(1&gt;$R99,AS99&lt;=$I99),AS99,AS99-MIN(INT(ROUND(IF($F99=1,$C99*$J99,IF(ER99&gt;0,ER99*$K99,AS99*$J99))*IF(1=$R99,$S99,12)/12,6)+$B$4),AS99-$I99)))))</f>
        <v/>
      </c>
      <c r="AU99" s="68">
        <f>IF($U99=0,0,IF($F99=4,0,IF($F99=3,0,IF(OR(2&gt;$R99,AT99&lt;=$I99),AT99,AT99-MIN(INT(ROUND(IF($F99=1,$C99*$J99,IF(ES99&gt;0,ES99*$K99,AT99*$J99))*IF(2=$R99,$S99,12)/12,6)+$B$4),AT99-$I99)))))</f>
        <v/>
      </c>
      <c r="AV99" s="68">
        <f>IF($U99=0,0,IF($F99=4,0,IF($F99=3,0,IF(OR(3&gt;$R99,AU99&lt;=$I99),AU99,AU99-MIN(INT(ROUND(IF($F99=1,$C99*$J99,IF(ET99&gt;0,ET99*$K99,AU99*$J99))*IF(3=$R99,$S99,12)/12,6)+$B$4),AU99-$I99)))))</f>
        <v/>
      </c>
      <c r="AW99" s="68">
        <f>IF($U99=0,0,IF($F99=4,0,IF($F99=3,0,IF(OR(4&gt;$R99,AV99&lt;=$I99),AV99,AV99-MIN(INT(ROUND(IF($F99=1,$C99*$J99,IF(EU99&gt;0,EU99*$K99,AV99*$J99))*IF(4=$R99,$S99,12)/12,6)+$B$4),AV99-$I99)))))</f>
        <v/>
      </c>
      <c r="AX99" s="68">
        <f>IF($U99=0,0,IF($F99=4,0,IF($F99=3,0,IF(OR(5&gt;$R99,AW99&lt;=$I99),AW99,AW99-MIN(INT(ROUND(IF($F99=1,$C99*$J99,IF(EV99&gt;0,EV99*$K99,AW99*$J99))*IF(5=$R99,$S99,12)/12,6)+$B$4),AW99-$I99)))))</f>
        <v/>
      </c>
      <c r="AY99" s="68">
        <f>IF($U99=0,0,IF($F99=4,0,IF($F99=3,0,IF(OR(6&gt;$R99,AX99&lt;=$I99),AX99,AX99-MIN(INT(ROUND(IF($F99=1,$C99*$J99,IF(EW99&gt;0,EW99*$K99,AX99*$J99))*IF(6=$R99,$S99,12)/12,6)+$B$4),AX99-$I99)))))</f>
        <v/>
      </c>
      <c r="AZ99" s="68">
        <f>IF($U99=0,0,IF($F99=4,0,IF($F99=3,0,IF(OR(7&gt;$R99,AY99&lt;=$I99),AY99,AY99-MIN(INT(ROUND(IF($F99=1,$C99*$J99,IF(EX99&gt;0,EX99*$K99,AY99*$J99))*IF(7=$R99,$S99,12)/12,6)+$B$4),AY99-$I99)))))</f>
        <v/>
      </c>
      <c r="BA99" s="68">
        <f>IF($U99=0,0,IF($F99=4,0,IF($F99=3,0,IF(OR(8&gt;$R99,AZ99&lt;=$I99),AZ99,AZ99-MIN(INT(ROUND(IF($F99=1,$C99*$J99,IF(EY99&gt;0,EY99*$K99,AZ99*$J99))*IF(8=$R99,$S99,12)/12,6)+$B$4),AZ99-$I99)))))</f>
        <v/>
      </c>
      <c r="BB99" s="68">
        <f>IF($U99=0,0,IF($F99=4,0,IF($F99=3,0,IF(OR(9&gt;$R99,BA99&lt;=$I99),BA99,BA99-MIN(INT(ROUND(IF($F99=1,$C99*$J99,IF(EZ99&gt;0,EZ99*$K99,BA99*$J99))*IF(9=$R99,$S99,12)/12,6)+$B$4),BA99-$I99)))))</f>
        <v/>
      </c>
      <c r="BC99" s="68">
        <f>IF($U99=0,0,IF($F99=4,0,IF($F99=3,0,IF(OR(10&gt;$R99,BB99&lt;=$I99),BB99,BB99-MIN(INT(ROUND(IF($F99=1,$C99*$J99,IF(FA99&gt;0,FA99*$K99,BB99*$J99))*IF(10=$R99,$S99,12)/12,6)+$B$4),BB99-$I99)))))</f>
        <v/>
      </c>
      <c r="BD99" s="68">
        <f>IF($U99=0,0,IF($F99=4,0,IF($F99=3,0,IF(OR(11&gt;$R99,BC99&lt;=$I99),BC99,BC99-MIN(INT(ROUND(IF($F99=1,$C99*$J99,IF(FB99&gt;0,FB99*$K99,BC99*$J99))*IF(11=$R99,$S99,12)/12,6)+$B$4),BC99-$I99)))))</f>
        <v/>
      </c>
      <c r="BE99" s="68">
        <f>IF($U99=0,0,IF($F99=4,0,IF($F99=3,0,IF(OR(12&gt;$R99,BD99&lt;=$I99),BD99,BD99-MIN(INT(ROUND(IF($F99=1,$C99*$J99,IF(FC99&gt;0,FC99*$K99,BD99*$J99))*IF(12=$R99,$S99,12)/12,6)+$B$4),BD99-$I99)))))</f>
        <v/>
      </c>
      <c r="BF99" s="68">
        <f>IF($U99=0,0,IF($F99=4,0,IF($F99=3,0,IF(OR(13&gt;$R99,BE99&lt;=$I99),BE99,BE99-MIN(INT(ROUND(IF($F99=1,$C99*$J99,IF(FD99&gt;0,FD99*$K99,BE99*$J99))*IF(13=$R99,$S99,12)/12,6)+$B$4),BE99-$I99)))))</f>
        <v/>
      </c>
      <c r="BG99" s="68">
        <f>IF($U99=0,0,IF($F99=4,0,IF($F99=3,0,IF(OR(14&gt;$R99,BF99&lt;=$I99),BF99,BF99-MIN(INT(ROUND(IF($F99=1,$C99*$J99,IF(FE99&gt;0,FE99*$K99,BF99*$J99))*IF(14=$R99,$S99,12)/12,6)+$B$4),BF99-$I99)))))</f>
        <v/>
      </c>
      <c r="BH99" s="68">
        <f>IF($U99=0,0,IF($F99=4,0,IF($F99=3,0,IF(OR(15&gt;$R99,BG99&lt;=$I99),BG99,BG99-MIN(INT(ROUND(IF($F99=1,$C99*$J99,IF(FF99&gt;0,FF99*$K99,BG99*$J99))*IF(15=$R99,$S99,12)/12,6)+$B$4),BG99-$I99)))))</f>
        <v/>
      </c>
      <c r="BI99" s="68">
        <f>IF($U99=0,0,IF($F99=4,0,IF($F99=3,0,IF(OR(16&gt;$R99,BH99&lt;=$I99),BH99,BH99-MIN(INT(ROUND(IF($F99=1,$C99*$J99,IF(FG99&gt;0,FG99*$K99,BH99*$J99))*IF(16=$R99,$S99,12)/12,6)+$B$4),BH99-$I99)))))</f>
        <v/>
      </c>
      <c r="BJ99" s="68">
        <f>IF($U99=0,0,IF($F99=4,0,IF($F99=3,0,IF(OR(17&gt;$R99,BI99&lt;=$I99),BI99,BI99-MIN(INT(ROUND(IF($F99=1,$C99*$J99,IF(FH99&gt;0,FH99*$K99,BI99*$J99))*IF(17=$R99,$S99,12)/12,6)+$B$4),BI99-$I99)))))</f>
        <v/>
      </c>
      <c r="BK99" s="68">
        <f>IF($U99=0,0,IF($F99=4,0,IF($F99=3,0,IF(OR(18&gt;$R99,BJ99&lt;=$I99),BJ99,BJ99-MIN(INT(ROUND(IF($F99=1,$C99*$J99,IF(FI99&gt;0,FI99*$K99,BJ99*$J99))*IF(18=$R99,$S99,12)/12,6)+$B$4),BJ99-$I99)))))</f>
        <v/>
      </c>
      <c r="BL99" s="68">
        <f>IF($U99=0,0,IF($F99=4,0,IF($F99=3,0,IF(OR(19&gt;$R99,BK99&lt;=$I99),BK99,BK99-MIN(INT(ROUND(IF($F99=1,$C99*$J99,IF(FJ99&gt;0,FJ99*$K99,BK99*$J99))*IF(19=$R99,$S99,12)/12,6)+$B$4),BK99-$I99)))))</f>
        <v/>
      </c>
      <c r="BM99" s="68">
        <f>IF($U99=0,0,IF($F99=4,0,IF($F99=3,0,IF(OR(20&gt;$R99,BL99&lt;=$I99),BL99,BL99-MIN(INT(ROUND(IF($F99=1,$C99*$J99,IF(FK99&gt;0,FK99*$K99,BL99*$J99))*IF(20=$R99,$S99,12)/12,6)+$B$4),BL99-$I99)))))</f>
        <v/>
      </c>
      <c r="BN99" s="68">
        <f>IF($U99=0,0,IF($F99=4,0,IF($F99=3,0,IF(OR(21&gt;$R99,BM99&lt;=$I99),BM99,BM99-MIN(INT(ROUND(IF($F99=1,$C99*$J99,IF(FL99&gt;0,FL99*$K99,BM99*$J99))*IF(21=$R99,$S99,12)/12,6)+$B$4),BM99-$I99)))))</f>
        <v/>
      </c>
      <c r="BO99" s="68">
        <f>IF($U99=0,0,IF($F99=4,0,IF($F99=3,0,IF(OR(22&gt;$R99,BN99&lt;=$I99),BN99,BN99-MIN(INT(ROUND(IF($F99=1,$C99*$J99,IF(FM99&gt;0,FM99*$K99,BN99*$J99))*IF(22=$R99,$S99,12)/12,6)+$B$4),BN99-$I99)))))</f>
        <v/>
      </c>
      <c r="BP99" s="68">
        <f>IF($U99=0,0,IF($F99=4,0,IF($F99=3,0,IF(OR(23&gt;$R99,BO99&lt;=$I99),BO99,BO99-MIN(INT(ROUND(IF($F99=1,$C99*$J99,IF(FN99&gt;0,FN99*$K99,BO99*$J99))*IF(23=$R99,$S99,12)/12,6)+$B$4),BO99-$I99)))))</f>
        <v/>
      </c>
      <c r="BQ99" s="68">
        <f>IF($U99=0,0,IF($F99=4,0,IF($F99=3,0,IF(OR(24&gt;$R99,BP99&lt;=$I99),BP99,BP99-MIN(INT(ROUND(IF($F99=1,$C99*$J99,IF(FO99&gt;0,FO99*$K99,BP99*$J99))*IF(24=$R99,$S99,12)/12,6)+$B$4),BP99-$I99)))))</f>
        <v/>
      </c>
      <c r="BR99" s="68">
        <f>IF($U99=0,0,IF($F99=4,0,IF($F99=3,0,IF(OR(25&gt;$R99,BQ99&lt;=$I99),BQ99,BQ99-MIN(INT(ROUND(IF($F99=1,$C99*$J99,IF(FP99&gt;0,FP99*$K99,BQ99*$J99))*IF(25=$R99,$S99,12)/12,6)+$B$4),BQ99-$I99)))))</f>
        <v/>
      </c>
      <c r="BS99" s="68">
        <f>IF($U99=0,0,IF($F99=4,0,IF($F99=3,0,IF(OR(26&gt;$R99,BR99&lt;=$I99),BR99,BR99-MIN(INT(ROUND(IF($F99=1,$C99*$J99,IF(FQ99&gt;0,FQ99*$K99,BR99*$J99))*IF(26=$R99,$S99,12)/12,6)+$B$4),BR99-$I99)))))</f>
        <v/>
      </c>
      <c r="BT99" s="68">
        <f>IF($U99=0,0,IF($F99=4,0,IF($F99=3,0,IF(OR(27&gt;$R99,BS99&lt;=$I99),BS99,BS99-MIN(INT(ROUND(IF($F99=1,$C99*$J99,IF(FR99&gt;0,FR99*$K99,BS99*$J99))*IF(27=$R99,$S99,12)/12,6)+$B$4),BS99-$I99)))))</f>
        <v/>
      </c>
      <c r="BU99" s="68">
        <f>IF($U99=0,0,IF($F99=4,0,IF($F99=3,0,IF(OR(28&gt;$R99,BT99&lt;=$I99),BT99,BT99-MIN(INT(ROUND(IF($F99=1,$C99*$J99,IF(FS99&gt;0,FS99*$K99,BT99*$J99))*IF(28=$R99,$S99,12)/12,6)+$B$4),BT99-$I99)))))</f>
        <v/>
      </c>
      <c r="BV99" s="68">
        <f>IF($U99=0,0,IF($F99=4,0,IF($F99=3,0,IF(OR(29&gt;$R99,BU99&lt;=$I99),BU99,BU99-MIN(INT(ROUND(IF($F99=1,$C99*$J99,IF(FT99&gt;0,FT99*$K99,BU99*$J99))*IF(29=$R99,$S99,12)/12,6)+$B$4),BU99-$I99)))))</f>
        <v/>
      </c>
      <c r="BW99" s="68">
        <f>IF($U99=0,0,IF($F99=4,0,IF($F99=3,0,IF(OR(30&gt;$R99,BV99&lt;=$I99),BV99,BV99-MIN(INT(ROUND(IF($F99=1,$C99*$J99,IF(FU99&gt;0,FU99*$K99,BV99*$J99))*IF(30=$R99,$S99,12)/12,6)+$B$4),BV99-$I99)))))</f>
        <v/>
      </c>
      <c r="BX99" s="68">
        <f>IF($U99=0,0,IF($F99=4,0,IF($F99=3,0,IF(OR(31&gt;$R99,BW99&lt;=$I99),BW99,BW99-MIN(INT(ROUND(IF($F99=1,$C99*$J99,IF(FV99&gt;0,FV99*$K99,BW99*$J99))*IF(31=$R99,$S99,12)/12,6)+$B$4),BW99-$I99)))))</f>
        <v/>
      </c>
      <c r="BY99" s="68">
        <f>IF($U99=0,0,IF($F99=4,0,IF($F99=3,0,IF(OR(32&gt;$R99,BX99&lt;=$I99),BX99,BX99-MIN(INT(ROUND(IF($F99=1,$C99*$J99,IF(FW99&gt;0,FW99*$K99,BX99*$J99))*IF(32=$R99,$S99,12)/12,6)+$B$4),BX99-$I99)))))</f>
        <v/>
      </c>
      <c r="BZ99" s="68">
        <f>IF($U99=0,0,IF($F99=4,0,IF($F99=3,0,IF(OR(33&gt;$R99,BY99&lt;=$I99),BY99,BY99-MIN(INT(ROUND(IF($F99=1,$C99*$J99,IF(FX99&gt;0,FX99*$K99,BY99*$J99))*IF(33=$R99,$S99,12)/12,6)+$B$4),BY99-$I99)))))</f>
        <v/>
      </c>
      <c r="CA99" s="68">
        <f>IF($U99=0,0,IF($F99=4,0,IF($F99=3,0,IF(OR(34&gt;$R99,BZ99&lt;=$I99),BZ99,BZ99-MIN(INT(ROUND(IF($F99=1,$C99*$J99,IF(FY99&gt;0,FY99*$K99,BZ99*$J99))*IF(34=$R99,$S99,12)/12,6)+$B$4),BZ99-$I99)))))</f>
        <v/>
      </c>
      <c r="CB99" s="68">
        <f>IF($U99=0,0,IF($F99=4,0,IF($F99=3,0,IF(OR(35&gt;$R99,CA99&lt;=$I99),CA99,CA99-MIN(INT(ROUND(IF($F99=1,$C99*$J99,IF(FZ99&gt;0,FZ99*$K99,CA99*$J99))*IF(35=$R99,$S99,12)/12,6)+$B$4),CA99-$I99)))))</f>
        <v/>
      </c>
      <c r="CC99" s="68">
        <f>IF($U99=0,0,IF($F99=4,0,IF($F99=3,0,IF(OR(36&gt;$R99,CB99&lt;=$I99),CB99,CB99-MIN(INT(ROUND(IF($F99=1,$C99*$J99,IF(GA99&gt;0,GA99*$K99,CB99*$J99))*IF(36=$R99,$S99,12)/12,6)+$B$4),CB99-$I99)))))</f>
        <v/>
      </c>
      <c r="CD99" s="68">
        <f>IF($U99=0,0,IF($F99=4,0,IF($F99=3,0,IF(OR(37&gt;$R99,CC99&lt;=$I99),CC99,CC99-MIN(INT(ROUND(IF($F99=1,$C99*$J99,IF(GB99&gt;0,GB99*$K99,CC99*$J99))*IF(37=$R99,$S99,12)/12,6)+$B$4),CC99-$I99)))))</f>
        <v/>
      </c>
      <c r="CE99" s="68">
        <f>IF($U99=0,0,IF($F99=4,0,IF($F99=3,0,IF(OR(38&gt;$R99,CD99&lt;=$I99),CD99,CD99-MIN(INT(ROUND(IF($F99=1,$C99*$J99,IF(GC99&gt;0,GC99*$K99,CD99*$J99))*IF(38=$R99,$S99,12)/12,6)+$B$4),CD99-$I99)))))</f>
        <v/>
      </c>
      <c r="CF99" s="68">
        <f>IF($U99=0,0,IF($F99=4,0,IF($F99=3,0,IF(OR(39&gt;$R99,CE99&lt;=$I99),CE99,CE99-MIN(INT(ROUND(IF($F99=1,$C99*$J99,IF(GD99&gt;0,GD99*$K99,CE99*$J99))*IF(39=$R99,$S99,12)/12,6)+$B$4),CE99-$I99)))))</f>
        <v/>
      </c>
      <c r="CG99" s="68">
        <f>IF($U99=0,0,IF($F99=4,0,IF($F99=3,0,IF(OR(40&gt;$R99,CF99&lt;=$I99),CF99,CF99-MIN(INT(ROUND(IF($F99=1,$C99*$J99,IF(GE99&gt;0,GE99*$K99,CF99*$J99))*IF(40=$R99,$S99,12)/12,6)+$B$4),CF99-$I99)))))</f>
        <v/>
      </c>
      <c r="CH99" s="68">
        <f>IF($U99=0,0,IF($F99=4,0,IF($F99=3,0,IF(OR(41&gt;$R99,CG99&lt;=$I99),CG99,CG99-MIN(INT(ROUND(IF($F99=1,$C99*$J99,IF(GF99&gt;0,GF99*$K99,CG99*$J99))*IF(41=$R99,$S99,12)/12,6)+$B$4),CG99-$I99)))))</f>
        <v/>
      </c>
      <c r="CI99" s="68">
        <f>IF($U99=0,0,IF($F99=4,0,IF($F99=3,0,IF(OR(42&gt;$R99,CH99&lt;=$I99),CH99,CH99-MIN(INT(ROUND(IF($F99=1,$C99*$J99,IF(GG99&gt;0,GG99*$K99,CH99*$J99))*IF(42=$R99,$S99,12)/12,6)+$B$4),CH99-$I99)))))</f>
        <v/>
      </c>
      <c r="CJ99" s="68">
        <f>IF($U99=0,0,IF($F99=4,0,IF($F99=3,0,IF(OR(43&gt;$R99,CI99&lt;=$I99),CI99,CI99-MIN(INT(ROUND(IF($F99=1,$C99*$J99,IF(GH99&gt;0,GH99*$K99,CI99*$J99))*IF(43=$R99,$S99,12)/12,6)+$B$4),CI99-$I99)))))</f>
        <v/>
      </c>
      <c r="CK99" s="68">
        <f>IF($U99=0,0,IF($F99=4,0,IF($F99=3,0,IF(OR(44&gt;$R99,CJ99&lt;=$I99),CJ99,CJ99-MIN(INT(ROUND(IF($F99=1,$C99*$J99,IF(GI99&gt;0,GI99*$K99,CJ99*$J99))*IF(44=$R99,$S99,12)/12,6)+$B$4),CJ99-$I99)))))</f>
        <v/>
      </c>
      <c r="CL99" s="68">
        <f>IF($U99=0,0,IF($F99=4,0,IF($F99=3,0,IF(OR(45&gt;$R99,CK99&lt;=$I99),CK99,CK99-MIN(INT(ROUND(IF($F99=1,$C99*$J99,IF(GJ99&gt;0,GJ99*$K99,CK99*$J99))*IF(45=$R99,$S99,12)/12,6)+$B$4),CK99-$I99)))))</f>
        <v/>
      </c>
      <c r="CM99" s="68">
        <f>IF($U99=0,0,IF($F99=4,0,IF($F99=3,0,IF(OR(46&gt;$R99,CL99&lt;=$I99),CL99,CL99-MIN(INT(ROUND(IF($F99=1,$C99*$J99,IF(GK99&gt;0,GK99*$K99,CL99*$J99))*IF(46=$R99,$S99,12)/12,6)+$B$4),CL99-$I99)))))</f>
        <v/>
      </c>
      <c r="CN99" s="68">
        <f>IF($U99=0,0,IF($F99=4,0,IF($F99=3,0,IF(OR(47&gt;$R99,CM99&lt;=$I99),CM99,CM99-MIN(INT(ROUND(IF($F99=1,$C99*$J99,IF(GL99&gt;0,GL99*$K99,CM99*$J99))*IF(47=$R99,$S99,12)/12,6)+$B$4),CM99-$I99)))))</f>
        <v/>
      </c>
      <c r="CO99" s="68">
        <f>IF($U99=0,0,IF($F99=4,0,IF($F99=3,0,IF(OR(48&gt;$R99,CN99&lt;=$I99),CN99,CN99-MIN(INT(ROUND(IF($F99=1,$C99*$J99,IF(GM99&gt;0,GM99*$K99,CN99*$J99))*IF(48=$R99,$S99,12)/12,6)+$B$4),CN99-$I99)))))</f>
        <v/>
      </c>
      <c r="CP99" s="68">
        <f>IF($U99=0,0,IF($F99=4,0,IF($F99=3,0,IF(OR(49&gt;$R99,CO99&lt;=$I99),CO99,CO99-MIN(INT(ROUND(IF($F99=1,$C99*$J99,IF(GN99&gt;0,GN99*$K99,CO99*$J99))*IF(49=$R99,$S99,12)/12,6)+$B$4),CO99-$I99)))))</f>
        <v/>
      </c>
      <c r="CQ99" s="68">
        <f>IF($U99=0,0,IF($F99=4,0,IF($F99=3,0,IF(OR(50&gt;$R99,CP99&lt;=$I99),CP99,CP99-MIN(INT(ROUND(IF($F99=1,$C99*$J99,IF(GO99&gt;0,GO99*$K99,CP99*$J99))*IF(50=$R99,$S99,12)/12,6)+$B$4),CP99-$I99)))))</f>
        <v/>
      </c>
      <c r="CR99" s="68">
        <f>IF($U99=0,0,IF($F99=4,0,IF($F99=3,0,IF(OR(51&gt;$R99,CQ99&lt;=$I99),CQ99,CQ99-MIN(INT(ROUND(IF($F99=1,$C99*$J99,IF(GP99&gt;0,GP99*$K99,CQ99*$J99))*IF(51=$R99,$S99,12)/12,6)+$B$4),CQ99-$I99)))))</f>
        <v/>
      </c>
      <c r="CS99" s="68">
        <f>IF($U99=0,0,IF($F99=4,0,IF($F99=3,0,IF(OR(52&gt;$R99,CR99&lt;=$I99),CR99,CR99-MIN(INT(ROUND(IF($F99=1,$C99*$J99,IF(GQ99&gt;0,GQ99*$K99,CR99*$J99))*IF(52=$R99,$S99,12)/12,6)+$B$4),CR99-$I99)))))</f>
        <v/>
      </c>
      <c r="CT99" s="68">
        <f>IF($U99=0,0,IF($F99=4,0,IF($F99=3,0,IF(OR(53&gt;$R99,CS99&lt;=$I99),CS99,CS99-MIN(INT(ROUND(IF($F99=1,$C99*$J99,IF(GR99&gt;0,GR99*$K99,CS99*$J99))*IF(53=$R99,$S99,12)/12,6)+$B$4),CS99-$I99)))))</f>
        <v/>
      </c>
      <c r="CU99" s="68">
        <f>IF($U99=0,0,IF($F99=4,0,IF($F99=3,0,IF(OR(54&gt;$R99,CT99&lt;=$I99),CT99,CT99-MIN(INT(ROUND(IF($F99=1,$C99*$J99,IF(GS99&gt;0,GS99*$K99,CT99*$J99))*IF(54=$R99,$S99,12)/12,6)+$B$4),CT99-$I99)))))</f>
        <v/>
      </c>
      <c r="CV99" s="68">
        <f>IF($U99=0,0,IF($F99=4,0,IF($F99=3,0,IF(OR(55&gt;$R99,CU99&lt;=$I99),CU99,CU99-MIN(INT(ROUND(IF($F99=1,$C99*$J99,IF(GT99&gt;0,GT99*$K99,CU99*$J99))*IF(55=$R99,$S99,12)/12,6)+$B$4),CU99-$I99)))))</f>
        <v/>
      </c>
      <c r="CW99" s="68">
        <f>IF($U99=0,0,IF($F99=4,0,IF($F99=3,0,IF(OR(56&gt;$R99,CV99&lt;=$I99),CV99,CV99-MIN(INT(ROUND(IF($F99=1,$C99*$J99,IF(GU99&gt;0,GU99*$K99,CV99*$J99))*IF(56=$R99,$S99,12)/12,6)+$B$4),CV99-$I99)))))</f>
        <v/>
      </c>
      <c r="CX99" s="68">
        <f>IF($U99=0,0,IF($F99=4,0,IF($F99=3,0,IF(OR(57&gt;$R99,CW99&lt;=$I99),CW99,CW99-MIN(INT(ROUND(IF($F99=1,$C99*$J99,IF(GV99&gt;0,GV99*$K99,CW99*$J99))*IF(57=$R99,$S99,12)/12,6)+$B$4),CW99-$I99)))))</f>
        <v/>
      </c>
      <c r="CY99" s="68">
        <f>IF($U99=0,0,IF($F99=4,0,IF($F99=3,0,IF(OR(58&gt;$R99,CX99&lt;=$I99),CX99,CX99-MIN(INT(ROUND(IF($F99=1,$C99*$J99,IF(GW99&gt;0,GW99*$K99,CX99*$J99))*IF(58=$R99,$S99,12)/12,6)+$B$4),CX99-$I99)))))</f>
        <v/>
      </c>
      <c r="CZ99" s="68">
        <f>IF($U99=0,0,IF($F99=4,0,IF($F99=3,0,IF(OR(59&gt;$R99,CY99&lt;=$I99),CY99,CY99-MIN(INT(ROUND(IF($F99=1,$C99*$J99,IF(GX99&gt;0,GX99*$K99,CY99*$J99))*IF(59=$R99,$S99,12)/12,6)+$B$4),CY99-$I99)))))</f>
        <v/>
      </c>
      <c r="DA99" s="68">
        <f>IF($U99=0,0,IF($F99=4,0,IF($F99=3,0,IF(OR(60&gt;$R99,CZ99&lt;=$I99),CZ99,CZ99-MIN(INT(ROUND(IF($F99=1,$C99*$J99,IF(GY99&gt;0,GY99*$K99,CZ99*$J99))*IF(60=$R99,$S99,12)/12,6)+$B$4),CZ99-$I99)))))</f>
        <v/>
      </c>
      <c r="DB99" s="68">
        <f>IF($U99=0,0,IF($F99=4,0,IF($F99=3,0,IF(OR(61&gt;$R99,DA99&lt;=$I99),DA99,DA99-MIN(INT(ROUND(IF($F99=1,$C99*$J99,IF(GZ99&gt;0,GZ99*$K99,DA99*$J99))*IF(61=$R99,$S99,12)/12,6)+$B$4),DA99-$I99)))))</f>
        <v/>
      </c>
      <c r="DC99" s="68">
        <f>IF($U99=0,0,IF($F99=4,0,IF($F99=3,0,IF(OR(62&gt;$R99,DB99&lt;=$I99),DB99,DB99-MIN(INT(ROUND(IF($F99=1,$C99*$J99,IF(HA99&gt;0,HA99*$K99,DB99*$J99))*IF(62=$R99,$S99,12)/12,6)+$B$4),DB99-$I99)))))</f>
        <v/>
      </c>
      <c r="DD99" s="68">
        <f>IF($U99=0,0,IF($F99=4,0,IF($F99=3,0,IF(OR(63&gt;$R99,DC99&lt;=$I99),DC99,DC99-MIN(INT(ROUND(IF($F99=1,$C99*$J99,IF(HB99&gt;0,HB99*$K99,DC99*$J99))*IF(63=$R99,$S99,12)/12,6)+$B$4),DC99-$I99)))))</f>
        <v/>
      </c>
      <c r="DE99" s="68">
        <f>IF($U99=0,0,IF($F99=4,0,IF($F99=3,0,IF(OR(64&gt;$R99,DD99&lt;=$I99),DD99,DD99-MIN(INT(ROUND(IF($F99=1,$C99*$J99,IF(HC99&gt;0,HC99*$K99,DD99*$J99))*IF(64=$R99,$S99,12)/12,6)+$B$4),DD99-$I99)))))</f>
        <v/>
      </c>
      <c r="DF99" s="68">
        <f>IF($U99=0,0,IF($F99=4,0,IF($F99=3,0,IF(OR(65&gt;$R99,DE99&lt;=$I99),DE99,DE99-MIN(INT(ROUND(IF($F99=1,$C99*$J99,IF(HD99&gt;0,HD99*$K99,DE99*$J99))*IF(65=$R99,$S99,12)/12,6)+$B$4),DE99-$I99)))))</f>
        <v/>
      </c>
      <c r="DG99" s="68">
        <f>IF($U99=0,0,IF($F99=4,0,IF($F99=3,0,IF(OR(66&gt;$R99,DF99&lt;=$I99),DF99,DF99-MIN(INT(ROUND(IF($F99=1,$C99*$J99,IF(HE99&gt;0,HE99*$K99,DF99*$J99))*IF(66=$R99,$S99,12)/12,6)+$B$4),DF99-$I99)))))</f>
        <v/>
      </c>
      <c r="DH99" s="68">
        <f>IF($U99=0,0,IF($F99=4,0,IF($F99=3,0,IF(OR(67&gt;$R99,DG99&lt;=$I99),DG99,DG99-MIN(INT(ROUND(IF($F99=1,$C99*$J99,IF(HF99&gt;0,HF99*$K99,DG99*$J99))*IF(67=$R99,$S99,12)/12,6)+$B$4),DG99-$I99)))))</f>
        <v/>
      </c>
      <c r="DI99" s="68">
        <f>IF($U99=0,0,IF($F99=4,0,IF($F99=3,0,IF(OR(68&gt;$R99,DH99&lt;=$I99),DH99,DH99-MIN(INT(ROUND(IF($F99=1,$C99*$J99,IF(HG99&gt;0,HG99*$K99,DH99*$J99))*IF(68=$R99,$S99,12)/12,6)+$B$4),DH99-$I99)))))</f>
        <v/>
      </c>
      <c r="DJ99" s="68">
        <f>IF($U99=0,0,IF($F99=4,0,IF($F99=3,0,IF(OR(69&gt;$R99,DI99&lt;=$I99),DI99,DI99-MIN(INT(ROUND(IF($F99=1,$C99*$J99,IF(HH99&gt;0,HH99*$K99,DI99*$J99))*IF(69=$R99,$S99,12)/12,6)+$B$4),DI99-$I99)))))</f>
        <v/>
      </c>
      <c r="DK99" s="68">
        <f>IF($U99=0,0,IF($F99=4,0,IF($F99=3,0,IF(OR(70&gt;$R99,DJ99&lt;=$I99),DJ99,DJ99-MIN(INT(ROUND(IF($F99=1,$C99*$J99,IF(HI99&gt;0,HI99*$K99,DJ99*$J99))*IF(70=$R99,$S99,12)/12,6)+$B$4),DJ99-$I99)))))</f>
        <v/>
      </c>
      <c r="DL99" s="68">
        <f>IF($U99=0,0,IF($F99=4,0,IF($F99=3,0,IF(OR(71&gt;$R99,DK99&lt;=$I99),DK99,DK99-MIN(INT(ROUND(IF($F99=1,$C99*$J99,IF(HJ99&gt;0,HJ99*$K99,DK99*$J99))*IF(71=$R99,$S99,12)/12,6)+$B$4),DK99-$I99)))))</f>
        <v/>
      </c>
      <c r="DM99" s="68">
        <f>IF($U99=0,0,IF($F99=4,0,IF($F99=3,0,IF(OR(72&gt;$R99,DL99&lt;=$I99),DL99,DL99-MIN(INT(ROUND(IF($F99=1,$C99*$J99,IF(HK99&gt;0,HK99*$K99,DL99*$J99))*IF(72=$R99,$S99,12)/12,6)+$B$4),DL99-$I99)))))</f>
        <v/>
      </c>
      <c r="DN99" s="68">
        <f>IF($U99=0,0,IF($F99=4,0,IF($F99=3,0,IF(OR(73&gt;$R99,DM99&lt;=$I99),DM99,DM99-MIN(INT(ROUND(IF($F99=1,$C99*$J99,IF(HL99&gt;0,HL99*$K99,DM99*$J99))*IF(73=$R99,$S99,12)/12,6)+$B$4),DM99-$I99)))))</f>
        <v/>
      </c>
      <c r="DO99" s="68">
        <f>IF($U99=0,0,IF($F99=4,0,IF($F99=3,0,IF(OR(74&gt;$R99,DN99&lt;=$I99),DN99,DN99-MIN(INT(ROUND(IF($F99=1,$C99*$J99,IF(HM99&gt;0,HM99*$K99,DN99*$J99))*IF(74=$R99,$S99,12)/12,6)+$B$4),DN99-$I99)))))</f>
        <v/>
      </c>
      <c r="DP99" s="68">
        <f>IF($U99=0,0,IF($F99=4,0,IF($F99=3,0,IF(OR(75&gt;$R99,DO99&lt;=$I99),DO99,DO99-MIN(INT(ROUND(IF($F99=1,$C99*$J99,IF(HN99&gt;0,HN99*$K99,DO99*$J99))*IF(75=$R99,$S99,12)/12,6)+$B$4),DO99-$I99)))))</f>
        <v/>
      </c>
      <c r="DQ99" s="68">
        <f>IF($U99=0,0,IF($F99=4,0,IF($F99=3,0,IF(OR(76&gt;$R99,DP99&lt;=$I99),DP99,DP99-MIN(INT(ROUND(IF($F99=1,$C99*$J99,IF(HO99&gt;0,HO99*$K99,DP99*$J99))*IF(76=$R99,$S99,12)/12,6)+$B$4),DP99-$I99)))))</f>
        <v/>
      </c>
      <c r="DR99" s="68">
        <f>IF($U99=0,0,IF($F99=4,0,IF($F99=3,0,IF(OR(77&gt;$R99,DQ99&lt;=$I99),DQ99,DQ99-MIN(INT(ROUND(IF($F99=1,$C99*$J99,IF(HP99&gt;0,HP99*$K99,DQ99*$J99))*IF(77=$R99,$S99,12)/12,6)+$B$4),DQ99-$I99)))))</f>
        <v/>
      </c>
      <c r="DS99" s="68">
        <f>IF($U99=0,0,IF($F99=4,0,IF($F99=3,0,IF(OR(78&gt;$R99,DR99&lt;=$I99),DR99,DR99-MIN(INT(ROUND(IF($F99=1,$C99*$J99,IF(HQ99&gt;0,HQ99*$K99,DR99*$J99))*IF(78=$R99,$S99,12)/12,6)+$B$4),DR99-$I99)))))</f>
        <v/>
      </c>
      <c r="DT99" s="68">
        <f>IF($U99=0,0,IF($F99=4,0,IF($F99=3,0,IF(OR(79&gt;$R99,DS99&lt;=$I99),DS99,DS99-MIN(INT(ROUND(IF($F99=1,$C99*$J99,IF(HR99&gt;0,HR99*$K99,DS99*$J99))*IF(79=$R99,$S99,12)/12,6)+$B$4),DS99-$I99)))))</f>
        <v/>
      </c>
      <c r="DU99" s="68">
        <f>IF($U99=0,0,IF($F99=4,0,IF($F99=3,0,IF(OR(80&gt;$R99,DT99&lt;=$I99),DT99,DT99-MIN(INT(ROUND(IF($F99=1,$C99*$J99,IF(HS99&gt;0,HS99*$K99,DT99*$J99))*IF(80=$R99,$S99,12)/12,6)+$B$4),DT99-$I99)))))</f>
        <v/>
      </c>
      <c r="DV99" s="68">
        <f>IF($U99=0,0,IF($F99=4,0,IF($F99=3,0,IF(OR(81&gt;$R99,DU99&lt;=$I99),DU99,DU99-MIN(INT(ROUND(IF($F99=1,$C99*$J99,IF(HT99&gt;0,HT99*$K99,DU99*$J99))*IF(81=$R99,$S99,12)/12,6)+$B$4),DU99-$I99)))))</f>
        <v/>
      </c>
      <c r="DW99" s="68">
        <f>IF($U99=0,0,IF($F99=4,0,IF($F99=3,0,IF(OR(82&gt;$R99,DV99&lt;=$I99),DV99,DV99-MIN(INT(ROUND(IF($F99=1,$C99*$J99,IF(HU99&gt;0,HU99*$K99,DV99*$J99))*IF(82=$R99,$S99,12)/12,6)+$B$4),DV99-$I99)))))</f>
        <v/>
      </c>
      <c r="DX99" s="68">
        <f>IF($U99=0,0,IF($F99=4,0,IF($F99=3,0,IF(OR(83&gt;$R99,DW99&lt;=$I99),DW99,DW99-MIN(INT(ROUND(IF($F99=1,$C99*$J99,IF(HV99&gt;0,HV99*$K99,DW99*$J99))*IF(83=$R99,$S99,12)/12,6)+$B$4),DW99-$I99)))))</f>
        <v/>
      </c>
      <c r="DY99" s="68">
        <f>IF($U99=0,0,IF($F99=4,0,IF($F99=3,0,IF(OR(84&gt;$R99,DX99&lt;=$I99),DX99,DX99-MIN(INT(ROUND(IF($F99=1,$C99*$J99,IF(HW99&gt;0,HW99*$K99,DX99*$J99))*IF(84=$R99,$S99,12)/12,6)+$B$4),DX99-$I99)))))</f>
        <v/>
      </c>
      <c r="DZ99" s="68">
        <f>IF($U99=0,0,IF($F99=4,0,IF($F99=3,0,IF(OR(85&gt;$R99,DY99&lt;=$I99),DY99,DY99-MIN(INT(ROUND(IF($F99=1,$C99*$J99,IF(HX99&gt;0,HX99*$K99,DY99*$J99))*IF(85=$R99,$S99,12)/12,6)+$B$4),DY99-$I99)))))</f>
        <v/>
      </c>
      <c r="EA99" s="68">
        <f>IF($U99=0,0,IF($F99=4,0,IF($F99=3,0,IF(OR(86&gt;$R99,DZ99&lt;=$I99),DZ99,DZ99-MIN(INT(ROUND(IF($F99=1,$C99*$J99,IF(HY99&gt;0,HY99*$K99,DZ99*$J99))*IF(86=$R99,$S99,12)/12,6)+$B$4),DZ99-$I99)))))</f>
        <v/>
      </c>
      <c r="EB99" s="68">
        <f>IF($U99=0,0,IF($F99=4,0,IF($F99=3,0,IF(OR(87&gt;$R99,EA99&lt;=$I99),EA99,EA99-MIN(INT(ROUND(IF($F99=1,$C99*$J99,IF(HZ99&gt;0,HZ99*$K99,EA99*$J99))*IF(87=$R99,$S99,12)/12,6)+$B$4),EA99-$I99)))))</f>
        <v/>
      </c>
      <c r="EC99" s="68">
        <f>IF($U99=0,0,IF($F99=4,0,IF($F99=3,0,IF(OR(88&gt;$R99,EB99&lt;=$I99),EB99,EB99-MIN(INT(ROUND(IF($F99=1,$C99*$J99,IF(IA99&gt;0,IA99*$K99,EB99*$J99))*IF(88=$R99,$S99,12)/12,6)+$B$4),EB99-$I99)))))</f>
        <v/>
      </c>
      <c r="ED99" s="68">
        <f>IF($U99=0,0,IF($F99=4,0,IF($F99=3,0,IF(OR(89&gt;$R99,EC99&lt;=$I99),EC99,EC99-MIN(INT(ROUND(IF($F99=1,$C99*$J99,IF(IB99&gt;0,IB99*$K99,EC99*$J99))*IF(89=$R99,$S99,12)/12,6)+$B$4),EC99-$I99)))))</f>
        <v/>
      </c>
      <c r="EE99" s="68">
        <f>IF($U99=0,0,IF($F99=4,0,IF($F99=3,0,IF(OR(90&gt;$R99,ED99&lt;=$I99),ED99,ED99-MIN(INT(ROUND(IF($F99=1,$C99*$J99,IF(IC99&gt;0,IC99*$K99,ED99*$J99))*IF(90=$R99,$S99,12)/12,6)+$B$4),ED99-$I99)))))</f>
        <v/>
      </c>
      <c r="EF99" s="68">
        <f>IF($U99=0,0,IF($F99=4,0,IF($F99=3,0,IF(OR(91&gt;$R99,EE99&lt;=$I99),EE99,EE99-MIN(INT(ROUND(IF($F99=1,$C99*$J99,IF(ID99&gt;0,ID99*$K99,EE99*$J99))*IF(91=$R99,$S99,12)/12,6)+$B$4),EE99-$I99)))))</f>
        <v/>
      </c>
      <c r="EG99" s="68">
        <f>IF($U99=0,0,IF($F99=4,0,IF($F99=3,0,IF(OR(92&gt;$R99,EF99&lt;=$I99),EF99,EF99-MIN(INT(ROUND(IF($F99=1,$C99*$J99,IF(IE99&gt;0,IE99*$K99,EF99*$J99))*IF(92=$R99,$S99,12)/12,6)+$B$4),EF99-$I99)))))</f>
        <v/>
      </c>
      <c r="EH99" s="68">
        <f>IF($U99=0,0,IF($F99=4,0,IF($F99=3,0,IF(OR(93&gt;$R99,EG99&lt;=$I99),EG99,EG99-MIN(INT(ROUND(IF($F99=1,$C99*$J99,IF(IF99&gt;0,IF99*$K99,EG99*$J99))*IF(93=$R99,$S99,12)/12,6)+$B$4),EG99-$I99)))))</f>
        <v/>
      </c>
      <c r="EI99" s="68">
        <f>IF($U99=0,0,IF($F99=4,0,IF($F99=3,0,IF(OR(94&gt;$R99,EH99&lt;=$I99),EH99,EH99-MIN(INT(ROUND(IF($F99=1,$C99*$J99,IF(IG99&gt;0,IG99*$K99,EH99*$J99))*IF(94=$R99,$S99,12)/12,6)+$B$4),EH99-$I99)))))</f>
        <v/>
      </c>
      <c r="EJ99" s="68">
        <f>IF($U99=0,0,IF($F99=4,0,IF($F99=3,0,IF(OR(95&gt;$R99,EI99&lt;=$I99),EI99,EI99-MIN(INT(ROUND(IF($F99=1,$C99*$J99,IF(IH99&gt;0,IH99*$K99,EI99*$J99))*IF(95=$R99,$S99,12)/12,6)+$B$4),EI99-$I99)))))</f>
        <v/>
      </c>
      <c r="EK99" s="68">
        <f>IF($U99=0,0,IF($F99=4,0,IF($F99=3,0,IF(OR(96&gt;$R99,EJ99&lt;=$I99),EJ99,EJ99-MIN(INT(ROUND(IF($F99=1,$C99*$J99,IF(II99&gt;0,II99*$K99,EJ99*$J99))*IF(96=$R99,$S99,12)/12,6)+$B$4),EJ99-$I99)))))</f>
        <v/>
      </c>
      <c r="EL99" s="68">
        <f>IF($U99=0,0,IF($F99=4,0,IF($F99=3,0,IF(OR(97&gt;$R99,EK99&lt;=$I99),EK99,EK99-MIN(INT(ROUND(IF($F99=1,$C99*$J99,IF(IJ99&gt;0,IJ99*$K99,EK99*$J99))*IF(97=$R99,$S99,12)/12,6)+$B$4),EK99-$I99)))))</f>
        <v/>
      </c>
      <c r="EM99" s="68">
        <f>IF($U99=0,0,IF($F99=4,0,IF($F99=3,0,IF(OR(98&gt;$R99,EL99&lt;=$I99),EL99,EL99-MIN(INT(ROUND(IF($F99=1,$C99*$J99,IF(IK99&gt;0,IK99*$K99,EL99*$J99))*IF(98=$R99,$S99,12)/12,6)+$B$4),EL99-$I99)))))</f>
        <v/>
      </c>
      <c r="EN99" s="68">
        <f>IF($U99=0,0,IF($F99=4,0,IF($F99=3,0,IF(OR(99&gt;$R99,EM99&lt;=$I99),EM99,EM99-MIN(INT(ROUND(IF($F99=1,$C99*$J99,IF(IL99&gt;0,IL99*$K99,EM99*$J99))*IF(99=$R99,$S99,12)/12,6)+$B$4),EM99-$I99)))))</f>
        <v/>
      </c>
      <c r="EO99" s="68">
        <f>IF($U99=0,0,IF($F99=4,0,IF($F99=3,0,IF(OR(100&gt;$R99,EN99&lt;=$I99),EN99,EN99-MIN(INT(ROUND(IF($F99=1,$C99*$J99,IF(IM99&gt;0,IM99*$K99,EN99*$J99))*IF(100=$R99,$S99,12)/12,6)+$B$4),EN99-$I99)))))</f>
        <v/>
      </c>
      <c r="EP99" s="68">
        <f>IF($U99=0,0,IF($F99=4,0,IF($F99=3,0,IF(OR(101&gt;$R99,EO99&lt;=$I99),EO99,EO99-MIN(INT(ROUND(IF($F99=1,$C99*$J99,IF(IN99&gt;0,IN99*$K99,EO99*$J99))*IF(101=$R99,$S99,12)/12,6)+$B$4),EO99-$I99)))))</f>
        <v/>
      </c>
      <c r="EQ99" s="68" t="n"/>
      <c r="ER99" s="68">
        <f>IF(OR($U99=0,$F99&lt;&gt;2),0,IF(ROUND(AS99*$J99,6)&lt;ROUND($M99,6),AS99,0))</f>
        <v/>
      </c>
      <c r="ES99" s="68">
        <f>IF(OR($U99=0,$F99&lt;&gt;2),0,IF(ER99&gt;0,ER99,IF(ROUND(AT99*$J99,6)&lt;ROUND($M99,6),AT99,0)))</f>
        <v/>
      </c>
      <c r="ET99" s="68">
        <f>IF(OR($U99=0,$F99&lt;&gt;2),0,IF(ES99&gt;0,ES99,IF(ROUND(AU99*$J99,6)&lt;ROUND($M99,6),AU99,0)))</f>
        <v/>
      </c>
      <c r="EU99" s="68">
        <f>IF(OR($U99=0,$F99&lt;&gt;2),0,IF(ET99&gt;0,ET99,IF(ROUND(AV99*$J99,6)&lt;ROUND($M99,6),AV99,0)))</f>
        <v/>
      </c>
      <c r="EV99" s="68">
        <f>IF(OR($U99=0,$F99&lt;&gt;2),0,IF(EU99&gt;0,EU99,IF(ROUND(AW99*$J99,6)&lt;ROUND($M99,6),AW99,0)))</f>
        <v/>
      </c>
      <c r="EW99" s="68">
        <f>IF(OR($U99=0,$F99&lt;&gt;2),0,IF(EV99&gt;0,EV99,IF(ROUND(AX99*$J99,6)&lt;ROUND($M99,6),AX99,0)))</f>
        <v/>
      </c>
      <c r="EX99" s="68">
        <f>IF(OR($U99=0,$F99&lt;&gt;2),0,IF(EW99&gt;0,EW99,IF(ROUND(AY99*$J99,6)&lt;ROUND($M99,6),AY99,0)))</f>
        <v/>
      </c>
      <c r="EY99" s="68">
        <f>IF(OR($U99=0,$F99&lt;&gt;2),0,IF(EX99&gt;0,EX99,IF(ROUND(AZ99*$J99,6)&lt;ROUND($M99,6),AZ99,0)))</f>
        <v/>
      </c>
      <c r="EZ99" s="68">
        <f>IF(OR($U99=0,$F99&lt;&gt;2),0,IF(EY99&gt;0,EY99,IF(ROUND(BA99*$J99,6)&lt;ROUND($M99,6),BA99,0)))</f>
        <v/>
      </c>
      <c r="FA99" s="68">
        <f>IF(OR($U99=0,$F99&lt;&gt;2),0,IF(EZ99&gt;0,EZ99,IF(ROUND(BB99*$J99,6)&lt;ROUND($M99,6),BB99,0)))</f>
        <v/>
      </c>
      <c r="FB99" s="68">
        <f>IF(OR($U99=0,$F99&lt;&gt;2),0,IF(FA99&gt;0,FA99,IF(ROUND(BC99*$J99,6)&lt;ROUND($M99,6),BC99,0)))</f>
        <v/>
      </c>
      <c r="FC99" s="68">
        <f>IF(OR($U99=0,$F99&lt;&gt;2),0,IF(FB99&gt;0,FB99,IF(ROUND(BD99*$J99,6)&lt;ROUND($M99,6),BD99,0)))</f>
        <v/>
      </c>
      <c r="FD99" s="68">
        <f>IF(OR($U99=0,$F99&lt;&gt;2),0,IF(FC99&gt;0,FC99,IF(ROUND(BE99*$J99,6)&lt;ROUND($M99,6),BE99,0)))</f>
        <v/>
      </c>
      <c r="FE99" s="68">
        <f>IF(OR($U99=0,$F99&lt;&gt;2),0,IF(FD99&gt;0,FD99,IF(ROUND(BF99*$J99,6)&lt;ROUND($M99,6),BF99,0)))</f>
        <v/>
      </c>
      <c r="FF99" s="68">
        <f>IF(OR($U99=0,$F99&lt;&gt;2),0,IF(FE99&gt;0,FE99,IF(ROUND(BG99*$J99,6)&lt;ROUND($M99,6),BG99,0)))</f>
        <v/>
      </c>
      <c r="FG99" s="68">
        <f>IF(OR($U99=0,$F99&lt;&gt;2),0,IF(FF99&gt;0,FF99,IF(ROUND(BH99*$J99,6)&lt;ROUND($M99,6),BH99,0)))</f>
        <v/>
      </c>
      <c r="FH99" s="68">
        <f>IF(OR($U99=0,$F99&lt;&gt;2),0,IF(FG99&gt;0,FG99,IF(ROUND(BI99*$J99,6)&lt;ROUND($M99,6),BI99,0)))</f>
        <v/>
      </c>
      <c r="FI99" s="68">
        <f>IF(OR($U99=0,$F99&lt;&gt;2),0,IF(FH99&gt;0,FH99,IF(ROUND(BJ99*$J99,6)&lt;ROUND($M99,6),BJ99,0)))</f>
        <v/>
      </c>
      <c r="FJ99" s="68">
        <f>IF(OR($U99=0,$F99&lt;&gt;2),0,IF(FI99&gt;0,FI99,IF(ROUND(BK99*$J99,6)&lt;ROUND($M99,6),BK99,0)))</f>
        <v/>
      </c>
      <c r="FK99" s="68">
        <f>IF(OR($U99=0,$F99&lt;&gt;2),0,IF(FJ99&gt;0,FJ99,IF(ROUND(BL99*$J99,6)&lt;ROUND($M99,6),BL99,0)))</f>
        <v/>
      </c>
      <c r="FL99" s="68">
        <f>IF(OR($U99=0,$F99&lt;&gt;2),0,IF(FK99&gt;0,FK99,IF(ROUND(BM99*$J99,6)&lt;ROUND($M99,6),BM99,0)))</f>
        <v/>
      </c>
      <c r="FM99" s="68">
        <f>IF(OR($U99=0,$F99&lt;&gt;2),0,IF(FL99&gt;0,FL99,IF(ROUND(BN99*$J99,6)&lt;ROUND($M99,6),BN99,0)))</f>
        <v/>
      </c>
      <c r="FN99" s="68">
        <f>IF(OR($U99=0,$F99&lt;&gt;2),0,IF(FM99&gt;0,FM99,IF(ROUND(BO99*$J99,6)&lt;ROUND($M99,6),BO99,0)))</f>
        <v/>
      </c>
      <c r="FO99" s="68">
        <f>IF(OR($U99=0,$F99&lt;&gt;2),0,IF(FN99&gt;0,FN99,IF(ROUND(BP99*$J99,6)&lt;ROUND($M99,6),BP99,0)))</f>
        <v/>
      </c>
      <c r="FP99" s="68">
        <f>IF(OR($U99=0,$F99&lt;&gt;2),0,IF(FO99&gt;0,FO99,IF(ROUND(BQ99*$J99,6)&lt;ROUND($M99,6),BQ99,0)))</f>
        <v/>
      </c>
      <c r="FQ99" s="68">
        <f>IF(OR($U99=0,$F99&lt;&gt;2),0,IF(FP99&gt;0,FP99,IF(ROUND(BR99*$J99,6)&lt;ROUND($M99,6),BR99,0)))</f>
        <v/>
      </c>
      <c r="FR99" s="68">
        <f>IF(OR($U99=0,$F99&lt;&gt;2),0,IF(FQ99&gt;0,FQ99,IF(ROUND(BS99*$J99,6)&lt;ROUND($M99,6),BS99,0)))</f>
        <v/>
      </c>
      <c r="FS99" s="68">
        <f>IF(OR($U99=0,$F99&lt;&gt;2),0,IF(FR99&gt;0,FR99,IF(ROUND(BT99*$J99,6)&lt;ROUND($M99,6),BT99,0)))</f>
        <v/>
      </c>
      <c r="FT99" s="68">
        <f>IF(OR($U99=0,$F99&lt;&gt;2),0,IF(FS99&gt;0,FS99,IF(ROUND(BU99*$J99,6)&lt;ROUND($M99,6),BU99,0)))</f>
        <v/>
      </c>
      <c r="FU99" s="68">
        <f>IF(OR($U99=0,$F99&lt;&gt;2),0,IF(FT99&gt;0,FT99,IF(ROUND(BV99*$J99,6)&lt;ROUND($M99,6),BV99,0)))</f>
        <v/>
      </c>
      <c r="FV99" s="68">
        <f>IF(OR($U99=0,$F99&lt;&gt;2),0,IF(FU99&gt;0,FU99,IF(ROUND(BW99*$J99,6)&lt;ROUND($M99,6),BW99,0)))</f>
        <v/>
      </c>
      <c r="FW99" s="68">
        <f>IF(OR($U99=0,$F99&lt;&gt;2),0,IF(FV99&gt;0,FV99,IF(ROUND(BX99*$J99,6)&lt;ROUND($M99,6),BX99,0)))</f>
        <v/>
      </c>
      <c r="FX99" s="68">
        <f>IF(OR($U99=0,$F99&lt;&gt;2),0,IF(FW99&gt;0,FW99,IF(ROUND(BY99*$J99,6)&lt;ROUND($M99,6),BY99,0)))</f>
        <v/>
      </c>
      <c r="FY99" s="68">
        <f>IF(OR($U99=0,$F99&lt;&gt;2),0,IF(FX99&gt;0,FX99,IF(ROUND(BZ99*$J99,6)&lt;ROUND($M99,6),BZ99,0)))</f>
        <v/>
      </c>
      <c r="FZ99" s="68">
        <f>IF(OR($U99=0,$F99&lt;&gt;2),0,IF(FY99&gt;0,FY99,IF(ROUND(CA99*$J99,6)&lt;ROUND($M99,6),CA99,0)))</f>
        <v/>
      </c>
      <c r="GA99" s="68">
        <f>IF(OR($U99=0,$F99&lt;&gt;2),0,IF(FZ99&gt;0,FZ99,IF(ROUND(CB99*$J99,6)&lt;ROUND($M99,6),CB99,0)))</f>
        <v/>
      </c>
      <c r="GB99" s="68">
        <f>IF(OR($U99=0,$F99&lt;&gt;2),0,IF(GA99&gt;0,GA99,IF(ROUND(CC99*$J99,6)&lt;ROUND($M99,6),CC99,0)))</f>
        <v/>
      </c>
      <c r="GC99" s="68">
        <f>IF(OR($U99=0,$F99&lt;&gt;2),0,IF(GB99&gt;0,GB99,IF(ROUND(CD99*$J99,6)&lt;ROUND($M99,6),CD99,0)))</f>
        <v/>
      </c>
      <c r="GD99" s="68">
        <f>IF(OR($U99=0,$F99&lt;&gt;2),0,IF(GC99&gt;0,GC99,IF(ROUND(CE99*$J99,6)&lt;ROUND($M99,6),CE99,0)))</f>
        <v/>
      </c>
      <c r="GE99" s="68">
        <f>IF(OR($U99=0,$F99&lt;&gt;2),0,IF(GD99&gt;0,GD99,IF(ROUND(CF99*$J99,6)&lt;ROUND($M99,6),CF99,0)))</f>
        <v/>
      </c>
      <c r="GF99" s="68">
        <f>IF(OR($U99=0,$F99&lt;&gt;2),0,IF(GE99&gt;0,GE99,IF(ROUND(CG99*$J99,6)&lt;ROUND($M99,6),CG99,0)))</f>
        <v/>
      </c>
      <c r="GG99" s="68">
        <f>IF(OR($U99=0,$F99&lt;&gt;2),0,IF(GF99&gt;0,GF99,IF(ROUND(CH99*$J99,6)&lt;ROUND($M99,6),CH99,0)))</f>
        <v/>
      </c>
      <c r="GH99" s="68">
        <f>IF(OR($U99=0,$F99&lt;&gt;2),0,IF(GG99&gt;0,GG99,IF(ROUND(CI99*$J99,6)&lt;ROUND($M99,6),CI99,0)))</f>
        <v/>
      </c>
      <c r="GI99" s="68">
        <f>IF(OR($U99=0,$F99&lt;&gt;2),0,IF(GH99&gt;0,GH99,IF(ROUND(CJ99*$J99,6)&lt;ROUND($M99,6),CJ99,0)))</f>
        <v/>
      </c>
      <c r="GJ99" s="68">
        <f>IF(OR($U99=0,$F99&lt;&gt;2),0,IF(GI99&gt;0,GI99,IF(ROUND(CK99*$J99,6)&lt;ROUND($M99,6),CK99,0)))</f>
        <v/>
      </c>
      <c r="GK99" s="68">
        <f>IF(OR($U99=0,$F99&lt;&gt;2),0,IF(GJ99&gt;0,GJ99,IF(ROUND(CL99*$J99,6)&lt;ROUND($M99,6),CL99,0)))</f>
        <v/>
      </c>
      <c r="GL99" s="68">
        <f>IF(OR($U99=0,$F99&lt;&gt;2),0,IF(GK99&gt;0,GK99,IF(ROUND(CM99*$J99,6)&lt;ROUND($M99,6),CM99,0)))</f>
        <v/>
      </c>
      <c r="GM99" s="68">
        <f>IF(OR($U99=0,$F99&lt;&gt;2),0,IF(GL99&gt;0,GL99,IF(ROUND(CN99*$J99,6)&lt;ROUND($M99,6),CN99,0)))</f>
        <v/>
      </c>
      <c r="GN99" s="68">
        <f>IF(OR($U99=0,$F99&lt;&gt;2),0,IF(GM99&gt;0,GM99,IF(ROUND(CO99*$J99,6)&lt;ROUND($M99,6),CO99,0)))</f>
        <v/>
      </c>
      <c r="GO99" s="68">
        <f>IF(OR($U99=0,$F99&lt;&gt;2),0,IF(GN99&gt;0,GN99,IF(ROUND(CP99*$J99,6)&lt;ROUND($M99,6),CP99,0)))</f>
        <v/>
      </c>
      <c r="GP99" s="68">
        <f>IF(OR($U99=0,$F99&lt;&gt;2),0,IF(GO99&gt;0,GO99,IF(ROUND(CQ99*$J99,6)&lt;ROUND($M99,6),CQ99,0)))</f>
        <v/>
      </c>
      <c r="GQ99" s="68">
        <f>IF(OR($U99=0,$F99&lt;&gt;2),0,IF(GP99&gt;0,GP99,IF(ROUND(CR99*$J99,6)&lt;ROUND($M99,6),CR99,0)))</f>
        <v/>
      </c>
      <c r="GR99" s="68">
        <f>IF(OR($U99=0,$F99&lt;&gt;2),0,IF(GQ99&gt;0,GQ99,IF(ROUND(CS99*$J99,6)&lt;ROUND($M99,6),CS99,0)))</f>
        <v/>
      </c>
      <c r="GS99" s="68">
        <f>IF(OR($U99=0,$F99&lt;&gt;2),0,IF(GR99&gt;0,GR99,IF(ROUND(CT99*$J99,6)&lt;ROUND($M99,6),CT99,0)))</f>
        <v/>
      </c>
      <c r="GT99" s="68">
        <f>IF(OR($U99=0,$F99&lt;&gt;2),0,IF(GS99&gt;0,GS99,IF(ROUND(CU99*$J99,6)&lt;ROUND($M99,6),CU99,0)))</f>
        <v/>
      </c>
      <c r="GU99" s="68">
        <f>IF(OR($U99=0,$F99&lt;&gt;2),0,IF(GT99&gt;0,GT99,IF(ROUND(CV99*$J99,6)&lt;ROUND($M99,6),CV99,0)))</f>
        <v/>
      </c>
      <c r="GV99" s="68">
        <f>IF(OR($U99=0,$F99&lt;&gt;2),0,IF(GU99&gt;0,GU99,IF(ROUND(CW99*$J99,6)&lt;ROUND($M99,6),CW99,0)))</f>
        <v/>
      </c>
      <c r="GW99" s="68">
        <f>IF(OR($U99=0,$F99&lt;&gt;2),0,IF(GV99&gt;0,GV99,IF(ROUND(CX99*$J99,6)&lt;ROUND($M99,6),CX99,0)))</f>
        <v/>
      </c>
      <c r="GX99" s="68">
        <f>IF(OR($U99=0,$F99&lt;&gt;2),0,IF(GW99&gt;0,GW99,IF(ROUND(CY99*$J99,6)&lt;ROUND($M99,6),CY99,0)))</f>
        <v/>
      </c>
      <c r="GY99" s="68">
        <f>IF(OR($U99=0,$F99&lt;&gt;2),0,IF(GX99&gt;0,GX99,IF(ROUND(CZ99*$J99,6)&lt;ROUND($M99,6),CZ99,0)))</f>
        <v/>
      </c>
      <c r="GZ99" s="68">
        <f>IF(OR($U99=0,$F99&lt;&gt;2),0,IF(GY99&gt;0,GY99,IF(ROUND(DA99*$J99,6)&lt;ROUND($M99,6),DA99,0)))</f>
        <v/>
      </c>
      <c r="HA99" s="68">
        <f>IF(OR($U99=0,$F99&lt;&gt;2),0,IF(GZ99&gt;0,GZ99,IF(ROUND(DB99*$J99,6)&lt;ROUND($M99,6),DB99,0)))</f>
        <v/>
      </c>
      <c r="HB99" s="68">
        <f>IF(OR($U99=0,$F99&lt;&gt;2),0,IF(HA99&gt;0,HA99,IF(ROUND(DC99*$J99,6)&lt;ROUND($M99,6),DC99,0)))</f>
        <v/>
      </c>
      <c r="HC99" s="68">
        <f>IF(OR($U99=0,$F99&lt;&gt;2),0,IF(HB99&gt;0,HB99,IF(ROUND(DD99*$J99,6)&lt;ROUND($M99,6),DD99,0)))</f>
        <v/>
      </c>
      <c r="HD99" s="68">
        <f>IF(OR($U99=0,$F99&lt;&gt;2),0,IF(HC99&gt;0,HC99,IF(ROUND(DE99*$J99,6)&lt;ROUND($M99,6),DE99,0)))</f>
        <v/>
      </c>
      <c r="HE99" s="68">
        <f>IF(OR($U99=0,$F99&lt;&gt;2),0,IF(HD99&gt;0,HD99,IF(ROUND(DF99*$J99,6)&lt;ROUND($M99,6),DF99,0)))</f>
        <v/>
      </c>
      <c r="HF99" s="68">
        <f>IF(OR($U99=0,$F99&lt;&gt;2),0,IF(HE99&gt;0,HE99,IF(ROUND(DG99*$J99,6)&lt;ROUND($M99,6),DG99,0)))</f>
        <v/>
      </c>
      <c r="HG99" s="68">
        <f>IF(OR($U99=0,$F99&lt;&gt;2),0,IF(HF99&gt;0,HF99,IF(ROUND(DH99*$J99,6)&lt;ROUND($M99,6),DH99,0)))</f>
        <v/>
      </c>
      <c r="HH99" s="68">
        <f>IF(OR($U99=0,$F99&lt;&gt;2),0,IF(HG99&gt;0,HG99,IF(ROUND(DI99*$J99,6)&lt;ROUND($M99,6),DI99,0)))</f>
        <v/>
      </c>
      <c r="HI99" s="68">
        <f>IF(OR($U99=0,$F99&lt;&gt;2),0,IF(HH99&gt;0,HH99,IF(ROUND(DJ99*$J99,6)&lt;ROUND($M99,6),DJ99,0)))</f>
        <v/>
      </c>
      <c r="HJ99" s="68">
        <f>IF(OR($U99=0,$F99&lt;&gt;2),0,IF(HI99&gt;0,HI99,IF(ROUND(DK99*$J99,6)&lt;ROUND($M99,6),DK99,0)))</f>
        <v/>
      </c>
      <c r="HK99" s="68">
        <f>IF(OR($U99=0,$F99&lt;&gt;2),0,IF(HJ99&gt;0,HJ99,IF(ROUND(DL99*$J99,6)&lt;ROUND($M99,6),DL99,0)))</f>
        <v/>
      </c>
      <c r="HL99" s="68">
        <f>IF(OR($U99=0,$F99&lt;&gt;2),0,IF(HK99&gt;0,HK99,IF(ROUND(DM99*$J99,6)&lt;ROUND($M99,6),DM99,0)))</f>
        <v/>
      </c>
      <c r="HM99" s="68">
        <f>IF(OR($U99=0,$F99&lt;&gt;2),0,IF(HL99&gt;0,HL99,IF(ROUND(DN99*$J99,6)&lt;ROUND($M99,6),DN99,0)))</f>
        <v/>
      </c>
      <c r="HN99" s="68">
        <f>IF(OR($U99=0,$F99&lt;&gt;2),0,IF(HM99&gt;0,HM99,IF(ROUND(DO99*$J99,6)&lt;ROUND($M99,6),DO99,0)))</f>
        <v/>
      </c>
      <c r="HO99" s="68">
        <f>IF(OR($U99=0,$F99&lt;&gt;2),0,IF(HN99&gt;0,HN99,IF(ROUND(DP99*$J99,6)&lt;ROUND($M99,6),DP99,0)))</f>
        <v/>
      </c>
      <c r="HP99" s="68">
        <f>IF(OR($U99=0,$F99&lt;&gt;2),0,IF(HO99&gt;0,HO99,IF(ROUND(DQ99*$J99,6)&lt;ROUND($M99,6),DQ99,0)))</f>
        <v/>
      </c>
      <c r="HQ99" s="68">
        <f>IF(OR($U99=0,$F99&lt;&gt;2),0,IF(HP99&gt;0,HP99,IF(ROUND(DR99*$J99,6)&lt;ROUND($M99,6),DR99,0)))</f>
        <v/>
      </c>
      <c r="HR99" s="68">
        <f>IF(OR($U99=0,$F99&lt;&gt;2),0,IF(HQ99&gt;0,HQ99,IF(ROUND(DS99*$J99,6)&lt;ROUND($M99,6),DS99,0)))</f>
        <v/>
      </c>
      <c r="HS99" s="68">
        <f>IF(OR($U99=0,$F99&lt;&gt;2),0,IF(HR99&gt;0,HR99,IF(ROUND(DT99*$J99,6)&lt;ROUND($M99,6),DT99,0)))</f>
        <v/>
      </c>
      <c r="HT99" s="68">
        <f>IF(OR($U99=0,$F99&lt;&gt;2),0,IF(HS99&gt;0,HS99,IF(ROUND(DU99*$J99,6)&lt;ROUND($M99,6),DU99,0)))</f>
        <v/>
      </c>
      <c r="HU99" s="68">
        <f>IF(OR($U99=0,$F99&lt;&gt;2),0,IF(HT99&gt;0,HT99,IF(ROUND(DV99*$J99,6)&lt;ROUND($M99,6),DV99,0)))</f>
        <v/>
      </c>
      <c r="HV99" s="68">
        <f>IF(OR($U99=0,$F99&lt;&gt;2),0,IF(HU99&gt;0,HU99,IF(ROUND(DW99*$J99,6)&lt;ROUND($M99,6),DW99,0)))</f>
        <v/>
      </c>
      <c r="HW99" s="68">
        <f>IF(OR($U99=0,$F99&lt;&gt;2),0,IF(HV99&gt;0,HV99,IF(ROUND(DX99*$J99,6)&lt;ROUND($M99,6),DX99,0)))</f>
        <v/>
      </c>
      <c r="HX99" s="68">
        <f>IF(OR($U99=0,$F99&lt;&gt;2),0,IF(HW99&gt;0,HW99,IF(ROUND(DY99*$J99,6)&lt;ROUND($M99,6),DY99,0)))</f>
        <v/>
      </c>
      <c r="HY99" s="68">
        <f>IF(OR($U99=0,$F99&lt;&gt;2),0,IF(HX99&gt;0,HX99,IF(ROUND(DZ99*$J99,6)&lt;ROUND($M99,6),DZ99,0)))</f>
        <v/>
      </c>
      <c r="HZ99" s="68">
        <f>IF(OR($U99=0,$F99&lt;&gt;2),0,IF(HY99&gt;0,HY99,IF(ROUND(EA99*$J99,6)&lt;ROUND($M99,6),EA99,0)))</f>
        <v/>
      </c>
      <c r="IA99" s="68">
        <f>IF(OR($U99=0,$F99&lt;&gt;2),0,IF(HZ99&gt;0,HZ99,IF(ROUND(EB99*$J99,6)&lt;ROUND($M99,6),EB99,0)))</f>
        <v/>
      </c>
      <c r="IB99" s="68">
        <f>IF(OR($U99=0,$F99&lt;&gt;2),0,IF(IA99&gt;0,IA99,IF(ROUND(EC99*$J99,6)&lt;ROUND($M99,6),EC99,0)))</f>
        <v/>
      </c>
      <c r="IC99" s="68">
        <f>IF(OR($U99=0,$F99&lt;&gt;2),0,IF(IB99&gt;0,IB99,IF(ROUND(ED99*$J99,6)&lt;ROUND($M99,6),ED99,0)))</f>
        <v/>
      </c>
      <c r="ID99" s="68">
        <f>IF(OR($U99=0,$F99&lt;&gt;2),0,IF(IC99&gt;0,IC99,IF(ROUND(EE99*$J99,6)&lt;ROUND($M99,6),EE99,0)))</f>
        <v/>
      </c>
      <c r="IE99" s="68">
        <f>IF(OR($U99=0,$F99&lt;&gt;2),0,IF(ID99&gt;0,ID99,IF(ROUND(EF99*$J99,6)&lt;ROUND($M99,6),EF99,0)))</f>
        <v/>
      </c>
      <c r="IF99" s="68">
        <f>IF(OR($U99=0,$F99&lt;&gt;2),0,IF(IE99&gt;0,IE99,IF(ROUND(EG99*$J99,6)&lt;ROUND($M99,6),EG99,0)))</f>
        <v/>
      </c>
      <c r="IG99" s="68">
        <f>IF(OR($U99=0,$F99&lt;&gt;2),0,IF(IF99&gt;0,IF99,IF(ROUND(EH99*$J99,6)&lt;ROUND($M99,6),EH99,0)))</f>
        <v/>
      </c>
      <c r="IH99" s="68">
        <f>IF(OR($U99=0,$F99&lt;&gt;2),0,IF(IG99&gt;0,IG99,IF(ROUND(EI99*$J99,6)&lt;ROUND($M99,6),EI99,0)))</f>
        <v/>
      </c>
      <c r="II99" s="68">
        <f>IF(OR($U99=0,$F99&lt;&gt;2),0,IF(IH99&gt;0,IH99,IF(ROUND(EJ99*$J99,6)&lt;ROUND($M99,6),EJ99,0)))</f>
        <v/>
      </c>
      <c r="IJ99" s="68">
        <f>IF(OR($U99=0,$F99&lt;&gt;2),0,IF(II99&gt;0,II99,IF(ROUND(EK99*$J99,6)&lt;ROUND($M99,6),EK99,0)))</f>
        <v/>
      </c>
      <c r="IK99" s="68">
        <f>IF(OR($U99=0,$F99&lt;&gt;2),0,IF(IJ99&gt;0,IJ99,IF(ROUND(EL99*$J99,6)&lt;ROUND($M99,6),EL99,0)))</f>
        <v/>
      </c>
      <c r="IL99" s="68">
        <f>IF(OR($U99=0,$F99&lt;&gt;2),0,IF(IK99&gt;0,IK99,IF(ROUND(EM99*$J99,6)&lt;ROUND($M99,6),EM99,0)))</f>
        <v/>
      </c>
      <c r="IM99" s="68">
        <f>IF(OR($U99=0,$F99&lt;&gt;2),0,IF(IL99&gt;0,IL99,IF(ROUND(EN99*$J99,6)&lt;ROUND($M99,6),EN99,0)))</f>
        <v/>
      </c>
      <c r="IN99" s="68">
        <f>IF(OR($U99=0,$F99&lt;&gt;2),0,IF(IM99&gt;0,IM99,IF(ROUND(EO99*$J99,6)&lt;ROUND($M99,6),EO99,0)))</f>
        <v/>
      </c>
    </row>
    <row r="100">
      <c r="A100" s="68" t="n">
        <v>95</v>
      </c>
      <c r="B100" s="68">
        <f>IF(OR(TRIM('固定資産台帳'!$B100)&lt;&gt;"",'固定資産台帳'!$E100&lt;&gt;"",'固定資産台帳'!$G100&lt;&gt;"",'固定資産台帳'!$H100&lt;&gt;""),1,0)</f>
        <v/>
      </c>
      <c r="C100" s="68">
        <f>IF(ISNUMBER('固定資産台帳'!$G100),MAX(ROUND('固定資産台帳'!$G100,0),0),0)</f>
        <v/>
      </c>
      <c r="D100" s="84">
        <f>IF(ISNUMBER('固定資産台帳'!$E100),INT('固定資産台帳'!$E100),0)</f>
        <v/>
      </c>
      <c r="E100" s="84">
        <f>IF(ISNUMBER('固定資産台帳'!$F100),INT('固定資産台帳'!$F100),$D100)</f>
        <v/>
      </c>
      <c r="F100" s="68">
        <f>IF('固定資産台帳'!$H100="定額法",1,IF(OR('固定資産台帳'!$H100="定率法",'固定資産台帳'!$H100="定率法（200%）",'固定資産台帳'!$H100="定率法（250%）"),2,IF('固定資産台帳'!$H100="一括償却（3年）",3,IF('固定資産台帳'!$H100="少額特例",4,0))))</f>
        <v/>
      </c>
      <c r="G100" s="68">
        <f>IF('固定資産台帳'!$H100="定率法（250%）",250,IF('固定資産台帳'!$H100="定率法（200%）",200,IF($D100&gt;=DATE(2012,4,1),200,250)))</f>
        <v/>
      </c>
      <c r="H100" s="68">
        <f>IF(ISNUMBER('固定資産台帳'!$I100),IF(AND('固定資産台帳'!$I100&gt;=2,'固定資産台帳'!$I100&lt;=100,'固定資産台帳'!$I100=INT('固定資産台帳'!$I100)),'固定資産台帳'!$I100,0),0)</f>
        <v/>
      </c>
      <c r="I100" s="68">
        <f>IF('固定資産台帳'!$C100="無形固定資産",0,1)</f>
        <v/>
      </c>
      <c r="J100" s="68">
        <f>IF(OR($H100=0,$F100=0,$F100&gt;2),0,IF($F100=1,INDEX('償却率表'!$B$6:$B$104,$H100-1),IF($G100=200,INDEX('償却率表'!$C$6:$C$104,$H100-1),INDEX('償却率表'!$F$6:$F$104,$H100-1))))</f>
        <v/>
      </c>
      <c r="K100" s="68">
        <f>IF(AND($F100=2,$H100&gt;0),IF($G100=200,INDEX('償却率表'!$D$6:$D$104,$H100-1),INDEX('償却率表'!$G$6:$G$104,$H100-1)),0)</f>
        <v/>
      </c>
      <c r="L100" s="68">
        <f>IF(AND($F100=2,$H100&gt;0),IF($G100=200,INDEX('償却率表'!$E$6:$E$104,$H100-1),INDEX('償却率表'!$H$6:$H$104,$H100-1)),0)</f>
        <v/>
      </c>
      <c r="M100" s="68">
        <f>$C100*$L100</f>
        <v/>
      </c>
      <c r="N100" s="68">
        <f>IF($B$1=1,1,IF('固定資産台帳'!$J100="",1,IF(ISNUMBER('固定資産台帳'!$J100),IF(AND('固定資産台帳'!$J100&gt;0,'固定資産台帳'!$J100&lt;=1),'固定資産台帳'!$J100,0),0)))</f>
        <v/>
      </c>
      <c r="O100" s="68">
        <f>IF($E100=0,0,YEAR($E100)-IF(MONTH($E100)&lt;$B$2,1,0))</f>
        <v/>
      </c>
      <c r="P100" s="68">
        <f>IF($E100=0,0,12-MOD(MONTH($E100)-$B$2,12))</f>
        <v/>
      </c>
      <c r="Q100" s="84">
        <f>IF(ISNUMBER('固定資産台帳'!$K100),INT('固定資産台帳'!$K100),0)</f>
        <v/>
      </c>
      <c r="R100" s="68">
        <f>IF(OR($Q100=0,$E100=0),999,YEAR($Q100)-IF(MONTH($Q100)&lt;$B$2,1,0)-$O100)</f>
        <v/>
      </c>
      <c r="S100" s="68">
        <f>IF($R100=999,0,MOD(MONTH($Q100)-$B$2,12)+1-IF($R100=0,12-$P100,0))</f>
        <v/>
      </c>
      <c r="T100" s="68">
        <f>IF($B100=0,0,IF($C100&lt;=0,1,IF($D100=0,2,IF($F100=0,3,IF(AND($F100&lt;=2,$H100=0),4,IF(AND($F100&lt;=2,$D100&lt;DATE(2007,4,1)),5,IF($E100&lt;$D100,6,IF(AND($Q100&gt;0,$Q100&lt;$E100),7,IF($N100=0,8,IF($B$3=0,9,0))))))))))</f>
        <v/>
      </c>
      <c r="U100" s="68">
        <f>IF(AND($B100=1,$T100=0),1,0)</f>
        <v/>
      </c>
      <c r="V100" s="68">
        <f>$B$3-$O100</f>
        <v/>
      </c>
      <c r="W100" s="68">
        <f>IF(AND($U100=1,$V100&gt;=0),1,0)</f>
        <v/>
      </c>
      <c r="X100" s="68">
        <f>IF($W100=0,0,IF($V100=0,$C100,INDEX($AS100:$EP100,MIN($V100,102))))</f>
        <v/>
      </c>
      <c r="Y100" s="68">
        <f>IF($W100=0,0,INDEX($AS100:$EP100,MIN($V100,101)+1))</f>
        <v/>
      </c>
      <c r="Z100" s="68">
        <f>$X100-$Y100</f>
        <v/>
      </c>
      <c r="AA100" s="68">
        <f>IF(AND($W100=1,$F100=2,$V100&gt;=1),INDEX($ER100:$IN100,MIN($V100,101)),0)</f>
        <v/>
      </c>
      <c r="AB100" s="68">
        <f>IF(OR($W100=0,$F100&gt;2,$Z100=0),0,IF($V100=0,IF($R100=0,$S100,$P100),IF($V100=$R100,$S100,12)))</f>
        <v/>
      </c>
      <c r="AC100" s="68">
        <f>IF($W100=0,0,INT(ROUND($Z100*$N100,6)+$B$4))</f>
        <v/>
      </c>
      <c r="AD100" s="68">
        <f>IF(AND($W100=1,$F100&lt;=2,$V100=$R100),1,0)</f>
        <v/>
      </c>
      <c r="AE100" s="68">
        <f>IF(AND($W100=1,$F100&lt;=2,$V100&gt;$R100),1,0)</f>
        <v/>
      </c>
      <c r="AF100" s="68">
        <f>IF(AND($W100=1,$AE100=0,OR($Z100&gt;0,$AD100=1)),1,0)</f>
        <v/>
      </c>
      <c r="AG100" s="68">
        <f>IF($AF100=1,SUM($AF$6:$AF100),0)</f>
        <v/>
      </c>
      <c r="AH100" s="68">
        <f>IF($T100=0,"",CHOOSE($T100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00" s="68">
        <f>IF(AND($F100=2,OR('固定資産台帳'!$C100="建物",'固定資産台帳'!$C100="無形固定資産",AND(OR('固定資産台帳'!$C100="建物附属設備",'固定資産台帳'!$C100="構築物"),$D100&gt;=DATE(2016,4,1)))),"この資産は定額法だけです（定率法は使えません）。","")&amp;IF(AND($F100=3,$C100&gt;=200000),"一括償却は20万円未満の資産だけです。","")&amp;IF(AND($F100=3,$B$1=0,$C100&lt;100000),"10万円未満は一括償却にせず、全額をその年の経費にします。","")&amp;IF(AND($F100=4,$C100&lt;100000),"10万円未満は少額特例ではなく、全額をその年の経費にします。","")&amp;IF(AND($F100=4,$D100&lt;DATE(2026,4,1),$C100&gt;=300000),"2026年3月31日までの取得で少額特例が使えるのは30万円未満です。","")&amp;IF(AND($F100=4,$D100&gt;=DATE(2026,4,1),$C100&gt;=400000),"少額特例は40万円未満の資産だけです。","")&amp;IF(AND($F100=4,OR($D100&lt;DATE(2006,4,1),$D100&gt;DATE(2029,3,31))),"少額特例は2006年4月1日〜2029年3月31日に取得した資産だけです。","")&amp;IF(AND($F100=2,$G100=250,$D100&gt;DATE(2012,12,31)),"250%定率法は2012年12月31日までの取得だけです。","")</f>
        <v/>
      </c>
      <c r="AJ100" s="68">
        <f>IF(AND($F100=2,'固定資産台帳'!$H100="定率法（200%）",$D100&lt;DATE(2012,4,1)),"2012年3月31日までの取得に200%を使うのは、経過措置の届出をした場合です。","")&amp;IF(AND($F100=2,'固定資産台帳'!$H100="定率法（250%）",$D100&gt;=DATE(2012,4,1),$D100&lt;=DATE(2012,12,31)),"2012年4〜12月の取得に250%を使うのは、経過措置を選んだ場合です。","")</f>
        <v/>
      </c>
      <c r="AK100" s="68">
        <f>IF($U100=0,"",IF($V100&lt;0,"表示している年より後に使い始める資産です。",IF($AE100=1,"売却・除却済みです。",IF($AD100=1,"この年に売却・除却。期末の帳簿価額 "&amp;TEXT($Y100,"#,##0")&amp;"円を帳簿から外します。",IF($F100=4,IF($V100=0,"少額特例：この年に全額を経費にします。","少額特例で経費にした資産です。"),IF($F100=3,IF($V100&gt;2,"一括償却は終わっています。","一括償却 "&amp;($V100+1)&amp;"年目（3年のうち）。"),IF($Z100=0,"償却済み（帳簿価額 "&amp;TEXT($Y100,"#,##0")&amp;"円）。",IF($AA100&gt;0,"改定償却率で計算（改定取得価額 "&amp;TEXT($AA100,"#,##0")&amp;"円）。",IF($V100=0,"この年に使い始め（"&amp;$AB100&amp;"か月分）。","")))))))))</f>
        <v/>
      </c>
      <c r="AL100" s="68">
        <f>IF(AND($U100=1,$F100=4,$V100=0),$C100,0)</f>
        <v/>
      </c>
      <c r="AM100" s="68">
        <f>IF($F100=2,INT(ROUND($M100,6)+$B$4),0)</f>
        <v/>
      </c>
      <c r="AN100" s="68">
        <f>IF($W100=0,0,IF($F100=2,IF($AA100&gt;0,$AA100,$X100),$C100))</f>
        <v/>
      </c>
      <c r="AO100" s="68">
        <f>IF($W100=0,"",IF($F100=3,"1/3",IF($F100=4,"―",IF($AA100&gt;0,$K100,$J100))))</f>
        <v/>
      </c>
      <c r="AP100" s="68" t="n"/>
      <c r="AQ100" s="68" t="n"/>
      <c r="AR100" s="68" t="n"/>
      <c r="AS100" s="68">
        <f>IF($U100=0,0,IF($F100=4,0,IF($F100=3,MAX($C100-INT(ROUND($C100/3,6)+$B$4),0),$C100-MIN(INT(ROUND($C100*$J100*IF($R100=0,$S100,$P100)/12,6)+$B$4),MAX($C100-$I100,0)))))</f>
        <v/>
      </c>
      <c r="AT100" s="68">
        <f>IF($U100=0,0,IF($F100=4,0,IF($F100=3,AS100-MIN(INT(ROUND($C100/3,6)+$B$4),AS100),IF(OR(1&gt;$R100,AS100&lt;=$I100),AS100,AS100-MIN(INT(ROUND(IF($F100=1,$C100*$J100,IF(ER100&gt;0,ER100*$K100,AS100*$J100))*IF(1=$R100,$S100,12)/12,6)+$B$4),AS100-$I100)))))</f>
        <v/>
      </c>
      <c r="AU100" s="68">
        <f>IF($U100=0,0,IF($F100=4,0,IF($F100=3,0,IF(OR(2&gt;$R100,AT100&lt;=$I100),AT100,AT100-MIN(INT(ROUND(IF($F100=1,$C100*$J100,IF(ES100&gt;0,ES100*$K100,AT100*$J100))*IF(2=$R100,$S100,12)/12,6)+$B$4),AT100-$I100)))))</f>
        <v/>
      </c>
      <c r="AV100" s="68">
        <f>IF($U100=0,0,IF($F100=4,0,IF($F100=3,0,IF(OR(3&gt;$R100,AU100&lt;=$I100),AU100,AU100-MIN(INT(ROUND(IF($F100=1,$C100*$J100,IF(ET100&gt;0,ET100*$K100,AU100*$J100))*IF(3=$R100,$S100,12)/12,6)+$B$4),AU100-$I100)))))</f>
        <v/>
      </c>
      <c r="AW100" s="68">
        <f>IF($U100=0,0,IF($F100=4,0,IF($F100=3,0,IF(OR(4&gt;$R100,AV100&lt;=$I100),AV100,AV100-MIN(INT(ROUND(IF($F100=1,$C100*$J100,IF(EU100&gt;0,EU100*$K100,AV100*$J100))*IF(4=$R100,$S100,12)/12,6)+$B$4),AV100-$I100)))))</f>
        <v/>
      </c>
      <c r="AX100" s="68">
        <f>IF($U100=0,0,IF($F100=4,0,IF($F100=3,0,IF(OR(5&gt;$R100,AW100&lt;=$I100),AW100,AW100-MIN(INT(ROUND(IF($F100=1,$C100*$J100,IF(EV100&gt;0,EV100*$K100,AW100*$J100))*IF(5=$R100,$S100,12)/12,6)+$B$4),AW100-$I100)))))</f>
        <v/>
      </c>
      <c r="AY100" s="68">
        <f>IF($U100=0,0,IF($F100=4,0,IF($F100=3,0,IF(OR(6&gt;$R100,AX100&lt;=$I100),AX100,AX100-MIN(INT(ROUND(IF($F100=1,$C100*$J100,IF(EW100&gt;0,EW100*$K100,AX100*$J100))*IF(6=$R100,$S100,12)/12,6)+$B$4),AX100-$I100)))))</f>
        <v/>
      </c>
      <c r="AZ100" s="68">
        <f>IF($U100=0,0,IF($F100=4,0,IF($F100=3,0,IF(OR(7&gt;$R100,AY100&lt;=$I100),AY100,AY100-MIN(INT(ROUND(IF($F100=1,$C100*$J100,IF(EX100&gt;0,EX100*$K100,AY100*$J100))*IF(7=$R100,$S100,12)/12,6)+$B$4),AY100-$I100)))))</f>
        <v/>
      </c>
      <c r="BA100" s="68">
        <f>IF($U100=0,0,IF($F100=4,0,IF($F100=3,0,IF(OR(8&gt;$R100,AZ100&lt;=$I100),AZ100,AZ100-MIN(INT(ROUND(IF($F100=1,$C100*$J100,IF(EY100&gt;0,EY100*$K100,AZ100*$J100))*IF(8=$R100,$S100,12)/12,6)+$B$4),AZ100-$I100)))))</f>
        <v/>
      </c>
      <c r="BB100" s="68">
        <f>IF($U100=0,0,IF($F100=4,0,IF($F100=3,0,IF(OR(9&gt;$R100,BA100&lt;=$I100),BA100,BA100-MIN(INT(ROUND(IF($F100=1,$C100*$J100,IF(EZ100&gt;0,EZ100*$K100,BA100*$J100))*IF(9=$R100,$S100,12)/12,6)+$B$4),BA100-$I100)))))</f>
        <v/>
      </c>
      <c r="BC100" s="68">
        <f>IF($U100=0,0,IF($F100=4,0,IF($F100=3,0,IF(OR(10&gt;$R100,BB100&lt;=$I100),BB100,BB100-MIN(INT(ROUND(IF($F100=1,$C100*$J100,IF(FA100&gt;0,FA100*$K100,BB100*$J100))*IF(10=$R100,$S100,12)/12,6)+$B$4),BB100-$I100)))))</f>
        <v/>
      </c>
      <c r="BD100" s="68">
        <f>IF($U100=0,0,IF($F100=4,0,IF($F100=3,0,IF(OR(11&gt;$R100,BC100&lt;=$I100),BC100,BC100-MIN(INT(ROUND(IF($F100=1,$C100*$J100,IF(FB100&gt;0,FB100*$K100,BC100*$J100))*IF(11=$R100,$S100,12)/12,6)+$B$4),BC100-$I100)))))</f>
        <v/>
      </c>
      <c r="BE100" s="68">
        <f>IF($U100=0,0,IF($F100=4,0,IF($F100=3,0,IF(OR(12&gt;$R100,BD100&lt;=$I100),BD100,BD100-MIN(INT(ROUND(IF($F100=1,$C100*$J100,IF(FC100&gt;0,FC100*$K100,BD100*$J100))*IF(12=$R100,$S100,12)/12,6)+$B$4),BD100-$I100)))))</f>
        <v/>
      </c>
      <c r="BF100" s="68">
        <f>IF($U100=0,0,IF($F100=4,0,IF($F100=3,0,IF(OR(13&gt;$R100,BE100&lt;=$I100),BE100,BE100-MIN(INT(ROUND(IF($F100=1,$C100*$J100,IF(FD100&gt;0,FD100*$K100,BE100*$J100))*IF(13=$R100,$S100,12)/12,6)+$B$4),BE100-$I100)))))</f>
        <v/>
      </c>
      <c r="BG100" s="68">
        <f>IF($U100=0,0,IF($F100=4,0,IF($F100=3,0,IF(OR(14&gt;$R100,BF100&lt;=$I100),BF100,BF100-MIN(INT(ROUND(IF($F100=1,$C100*$J100,IF(FE100&gt;0,FE100*$K100,BF100*$J100))*IF(14=$R100,$S100,12)/12,6)+$B$4),BF100-$I100)))))</f>
        <v/>
      </c>
      <c r="BH100" s="68">
        <f>IF($U100=0,0,IF($F100=4,0,IF($F100=3,0,IF(OR(15&gt;$R100,BG100&lt;=$I100),BG100,BG100-MIN(INT(ROUND(IF($F100=1,$C100*$J100,IF(FF100&gt;0,FF100*$K100,BG100*$J100))*IF(15=$R100,$S100,12)/12,6)+$B$4),BG100-$I100)))))</f>
        <v/>
      </c>
      <c r="BI100" s="68">
        <f>IF($U100=0,0,IF($F100=4,0,IF($F100=3,0,IF(OR(16&gt;$R100,BH100&lt;=$I100),BH100,BH100-MIN(INT(ROUND(IF($F100=1,$C100*$J100,IF(FG100&gt;0,FG100*$K100,BH100*$J100))*IF(16=$R100,$S100,12)/12,6)+$B$4),BH100-$I100)))))</f>
        <v/>
      </c>
      <c r="BJ100" s="68">
        <f>IF($U100=0,0,IF($F100=4,0,IF($F100=3,0,IF(OR(17&gt;$R100,BI100&lt;=$I100),BI100,BI100-MIN(INT(ROUND(IF($F100=1,$C100*$J100,IF(FH100&gt;0,FH100*$K100,BI100*$J100))*IF(17=$R100,$S100,12)/12,6)+$B$4),BI100-$I100)))))</f>
        <v/>
      </c>
      <c r="BK100" s="68">
        <f>IF($U100=0,0,IF($F100=4,0,IF($F100=3,0,IF(OR(18&gt;$R100,BJ100&lt;=$I100),BJ100,BJ100-MIN(INT(ROUND(IF($F100=1,$C100*$J100,IF(FI100&gt;0,FI100*$K100,BJ100*$J100))*IF(18=$R100,$S100,12)/12,6)+$B$4),BJ100-$I100)))))</f>
        <v/>
      </c>
      <c r="BL100" s="68">
        <f>IF($U100=0,0,IF($F100=4,0,IF($F100=3,0,IF(OR(19&gt;$R100,BK100&lt;=$I100),BK100,BK100-MIN(INT(ROUND(IF($F100=1,$C100*$J100,IF(FJ100&gt;0,FJ100*$K100,BK100*$J100))*IF(19=$R100,$S100,12)/12,6)+$B$4),BK100-$I100)))))</f>
        <v/>
      </c>
      <c r="BM100" s="68">
        <f>IF($U100=0,0,IF($F100=4,0,IF($F100=3,0,IF(OR(20&gt;$R100,BL100&lt;=$I100),BL100,BL100-MIN(INT(ROUND(IF($F100=1,$C100*$J100,IF(FK100&gt;0,FK100*$K100,BL100*$J100))*IF(20=$R100,$S100,12)/12,6)+$B$4),BL100-$I100)))))</f>
        <v/>
      </c>
      <c r="BN100" s="68">
        <f>IF($U100=0,0,IF($F100=4,0,IF($F100=3,0,IF(OR(21&gt;$R100,BM100&lt;=$I100),BM100,BM100-MIN(INT(ROUND(IF($F100=1,$C100*$J100,IF(FL100&gt;0,FL100*$K100,BM100*$J100))*IF(21=$R100,$S100,12)/12,6)+$B$4),BM100-$I100)))))</f>
        <v/>
      </c>
      <c r="BO100" s="68">
        <f>IF($U100=0,0,IF($F100=4,0,IF($F100=3,0,IF(OR(22&gt;$R100,BN100&lt;=$I100),BN100,BN100-MIN(INT(ROUND(IF($F100=1,$C100*$J100,IF(FM100&gt;0,FM100*$K100,BN100*$J100))*IF(22=$R100,$S100,12)/12,6)+$B$4),BN100-$I100)))))</f>
        <v/>
      </c>
      <c r="BP100" s="68">
        <f>IF($U100=0,0,IF($F100=4,0,IF($F100=3,0,IF(OR(23&gt;$R100,BO100&lt;=$I100),BO100,BO100-MIN(INT(ROUND(IF($F100=1,$C100*$J100,IF(FN100&gt;0,FN100*$K100,BO100*$J100))*IF(23=$R100,$S100,12)/12,6)+$B$4),BO100-$I100)))))</f>
        <v/>
      </c>
      <c r="BQ100" s="68">
        <f>IF($U100=0,0,IF($F100=4,0,IF($F100=3,0,IF(OR(24&gt;$R100,BP100&lt;=$I100),BP100,BP100-MIN(INT(ROUND(IF($F100=1,$C100*$J100,IF(FO100&gt;0,FO100*$K100,BP100*$J100))*IF(24=$R100,$S100,12)/12,6)+$B$4),BP100-$I100)))))</f>
        <v/>
      </c>
      <c r="BR100" s="68">
        <f>IF($U100=0,0,IF($F100=4,0,IF($F100=3,0,IF(OR(25&gt;$R100,BQ100&lt;=$I100),BQ100,BQ100-MIN(INT(ROUND(IF($F100=1,$C100*$J100,IF(FP100&gt;0,FP100*$K100,BQ100*$J100))*IF(25=$R100,$S100,12)/12,6)+$B$4),BQ100-$I100)))))</f>
        <v/>
      </c>
      <c r="BS100" s="68">
        <f>IF($U100=0,0,IF($F100=4,0,IF($F100=3,0,IF(OR(26&gt;$R100,BR100&lt;=$I100),BR100,BR100-MIN(INT(ROUND(IF($F100=1,$C100*$J100,IF(FQ100&gt;0,FQ100*$K100,BR100*$J100))*IF(26=$R100,$S100,12)/12,6)+$B$4),BR100-$I100)))))</f>
        <v/>
      </c>
      <c r="BT100" s="68">
        <f>IF($U100=0,0,IF($F100=4,0,IF($F100=3,0,IF(OR(27&gt;$R100,BS100&lt;=$I100),BS100,BS100-MIN(INT(ROUND(IF($F100=1,$C100*$J100,IF(FR100&gt;0,FR100*$K100,BS100*$J100))*IF(27=$R100,$S100,12)/12,6)+$B$4),BS100-$I100)))))</f>
        <v/>
      </c>
      <c r="BU100" s="68">
        <f>IF($U100=0,0,IF($F100=4,0,IF($F100=3,0,IF(OR(28&gt;$R100,BT100&lt;=$I100),BT100,BT100-MIN(INT(ROUND(IF($F100=1,$C100*$J100,IF(FS100&gt;0,FS100*$K100,BT100*$J100))*IF(28=$R100,$S100,12)/12,6)+$B$4),BT100-$I100)))))</f>
        <v/>
      </c>
      <c r="BV100" s="68">
        <f>IF($U100=0,0,IF($F100=4,0,IF($F100=3,0,IF(OR(29&gt;$R100,BU100&lt;=$I100),BU100,BU100-MIN(INT(ROUND(IF($F100=1,$C100*$J100,IF(FT100&gt;0,FT100*$K100,BU100*$J100))*IF(29=$R100,$S100,12)/12,6)+$B$4),BU100-$I100)))))</f>
        <v/>
      </c>
      <c r="BW100" s="68">
        <f>IF($U100=0,0,IF($F100=4,0,IF($F100=3,0,IF(OR(30&gt;$R100,BV100&lt;=$I100),BV100,BV100-MIN(INT(ROUND(IF($F100=1,$C100*$J100,IF(FU100&gt;0,FU100*$K100,BV100*$J100))*IF(30=$R100,$S100,12)/12,6)+$B$4),BV100-$I100)))))</f>
        <v/>
      </c>
      <c r="BX100" s="68">
        <f>IF($U100=0,0,IF($F100=4,0,IF($F100=3,0,IF(OR(31&gt;$R100,BW100&lt;=$I100),BW100,BW100-MIN(INT(ROUND(IF($F100=1,$C100*$J100,IF(FV100&gt;0,FV100*$K100,BW100*$J100))*IF(31=$R100,$S100,12)/12,6)+$B$4),BW100-$I100)))))</f>
        <v/>
      </c>
      <c r="BY100" s="68">
        <f>IF($U100=0,0,IF($F100=4,0,IF($F100=3,0,IF(OR(32&gt;$R100,BX100&lt;=$I100),BX100,BX100-MIN(INT(ROUND(IF($F100=1,$C100*$J100,IF(FW100&gt;0,FW100*$K100,BX100*$J100))*IF(32=$R100,$S100,12)/12,6)+$B$4),BX100-$I100)))))</f>
        <v/>
      </c>
      <c r="BZ100" s="68">
        <f>IF($U100=0,0,IF($F100=4,0,IF($F100=3,0,IF(OR(33&gt;$R100,BY100&lt;=$I100),BY100,BY100-MIN(INT(ROUND(IF($F100=1,$C100*$J100,IF(FX100&gt;0,FX100*$K100,BY100*$J100))*IF(33=$R100,$S100,12)/12,6)+$B$4),BY100-$I100)))))</f>
        <v/>
      </c>
      <c r="CA100" s="68">
        <f>IF($U100=0,0,IF($F100=4,0,IF($F100=3,0,IF(OR(34&gt;$R100,BZ100&lt;=$I100),BZ100,BZ100-MIN(INT(ROUND(IF($F100=1,$C100*$J100,IF(FY100&gt;0,FY100*$K100,BZ100*$J100))*IF(34=$R100,$S100,12)/12,6)+$B$4),BZ100-$I100)))))</f>
        <v/>
      </c>
      <c r="CB100" s="68">
        <f>IF($U100=0,0,IF($F100=4,0,IF($F100=3,0,IF(OR(35&gt;$R100,CA100&lt;=$I100),CA100,CA100-MIN(INT(ROUND(IF($F100=1,$C100*$J100,IF(FZ100&gt;0,FZ100*$K100,CA100*$J100))*IF(35=$R100,$S100,12)/12,6)+$B$4),CA100-$I100)))))</f>
        <v/>
      </c>
      <c r="CC100" s="68">
        <f>IF($U100=0,0,IF($F100=4,0,IF($F100=3,0,IF(OR(36&gt;$R100,CB100&lt;=$I100),CB100,CB100-MIN(INT(ROUND(IF($F100=1,$C100*$J100,IF(GA100&gt;0,GA100*$K100,CB100*$J100))*IF(36=$R100,$S100,12)/12,6)+$B$4),CB100-$I100)))))</f>
        <v/>
      </c>
      <c r="CD100" s="68">
        <f>IF($U100=0,0,IF($F100=4,0,IF($F100=3,0,IF(OR(37&gt;$R100,CC100&lt;=$I100),CC100,CC100-MIN(INT(ROUND(IF($F100=1,$C100*$J100,IF(GB100&gt;0,GB100*$K100,CC100*$J100))*IF(37=$R100,$S100,12)/12,6)+$B$4),CC100-$I100)))))</f>
        <v/>
      </c>
      <c r="CE100" s="68">
        <f>IF($U100=0,0,IF($F100=4,0,IF($F100=3,0,IF(OR(38&gt;$R100,CD100&lt;=$I100),CD100,CD100-MIN(INT(ROUND(IF($F100=1,$C100*$J100,IF(GC100&gt;0,GC100*$K100,CD100*$J100))*IF(38=$R100,$S100,12)/12,6)+$B$4),CD100-$I100)))))</f>
        <v/>
      </c>
      <c r="CF100" s="68">
        <f>IF($U100=0,0,IF($F100=4,0,IF($F100=3,0,IF(OR(39&gt;$R100,CE100&lt;=$I100),CE100,CE100-MIN(INT(ROUND(IF($F100=1,$C100*$J100,IF(GD100&gt;0,GD100*$K100,CE100*$J100))*IF(39=$R100,$S100,12)/12,6)+$B$4),CE100-$I100)))))</f>
        <v/>
      </c>
      <c r="CG100" s="68">
        <f>IF($U100=0,0,IF($F100=4,0,IF($F100=3,0,IF(OR(40&gt;$R100,CF100&lt;=$I100),CF100,CF100-MIN(INT(ROUND(IF($F100=1,$C100*$J100,IF(GE100&gt;0,GE100*$K100,CF100*$J100))*IF(40=$R100,$S100,12)/12,6)+$B$4),CF100-$I100)))))</f>
        <v/>
      </c>
      <c r="CH100" s="68">
        <f>IF($U100=0,0,IF($F100=4,0,IF($F100=3,0,IF(OR(41&gt;$R100,CG100&lt;=$I100),CG100,CG100-MIN(INT(ROUND(IF($F100=1,$C100*$J100,IF(GF100&gt;0,GF100*$K100,CG100*$J100))*IF(41=$R100,$S100,12)/12,6)+$B$4),CG100-$I100)))))</f>
        <v/>
      </c>
      <c r="CI100" s="68">
        <f>IF($U100=0,0,IF($F100=4,0,IF($F100=3,0,IF(OR(42&gt;$R100,CH100&lt;=$I100),CH100,CH100-MIN(INT(ROUND(IF($F100=1,$C100*$J100,IF(GG100&gt;0,GG100*$K100,CH100*$J100))*IF(42=$R100,$S100,12)/12,6)+$B$4),CH100-$I100)))))</f>
        <v/>
      </c>
      <c r="CJ100" s="68">
        <f>IF($U100=0,0,IF($F100=4,0,IF($F100=3,0,IF(OR(43&gt;$R100,CI100&lt;=$I100),CI100,CI100-MIN(INT(ROUND(IF($F100=1,$C100*$J100,IF(GH100&gt;0,GH100*$K100,CI100*$J100))*IF(43=$R100,$S100,12)/12,6)+$B$4),CI100-$I100)))))</f>
        <v/>
      </c>
      <c r="CK100" s="68">
        <f>IF($U100=0,0,IF($F100=4,0,IF($F100=3,0,IF(OR(44&gt;$R100,CJ100&lt;=$I100),CJ100,CJ100-MIN(INT(ROUND(IF($F100=1,$C100*$J100,IF(GI100&gt;0,GI100*$K100,CJ100*$J100))*IF(44=$R100,$S100,12)/12,6)+$B$4),CJ100-$I100)))))</f>
        <v/>
      </c>
      <c r="CL100" s="68">
        <f>IF($U100=0,0,IF($F100=4,0,IF($F100=3,0,IF(OR(45&gt;$R100,CK100&lt;=$I100),CK100,CK100-MIN(INT(ROUND(IF($F100=1,$C100*$J100,IF(GJ100&gt;0,GJ100*$K100,CK100*$J100))*IF(45=$R100,$S100,12)/12,6)+$B$4),CK100-$I100)))))</f>
        <v/>
      </c>
      <c r="CM100" s="68">
        <f>IF($U100=0,0,IF($F100=4,0,IF($F100=3,0,IF(OR(46&gt;$R100,CL100&lt;=$I100),CL100,CL100-MIN(INT(ROUND(IF($F100=1,$C100*$J100,IF(GK100&gt;0,GK100*$K100,CL100*$J100))*IF(46=$R100,$S100,12)/12,6)+$B$4),CL100-$I100)))))</f>
        <v/>
      </c>
      <c r="CN100" s="68">
        <f>IF($U100=0,0,IF($F100=4,0,IF($F100=3,0,IF(OR(47&gt;$R100,CM100&lt;=$I100),CM100,CM100-MIN(INT(ROUND(IF($F100=1,$C100*$J100,IF(GL100&gt;0,GL100*$K100,CM100*$J100))*IF(47=$R100,$S100,12)/12,6)+$B$4),CM100-$I100)))))</f>
        <v/>
      </c>
      <c r="CO100" s="68">
        <f>IF($U100=0,0,IF($F100=4,0,IF($F100=3,0,IF(OR(48&gt;$R100,CN100&lt;=$I100),CN100,CN100-MIN(INT(ROUND(IF($F100=1,$C100*$J100,IF(GM100&gt;0,GM100*$K100,CN100*$J100))*IF(48=$R100,$S100,12)/12,6)+$B$4),CN100-$I100)))))</f>
        <v/>
      </c>
      <c r="CP100" s="68">
        <f>IF($U100=0,0,IF($F100=4,0,IF($F100=3,0,IF(OR(49&gt;$R100,CO100&lt;=$I100),CO100,CO100-MIN(INT(ROUND(IF($F100=1,$C100*$J100,IF(GN100&gt;0,GN100*$K100,CO100*$J100))*IF(49=$R100,$S100,12)/12,6)+$B$4),CO100-$I100)))))</f>
        <v/>
      </c>
      <c r="CQ100" s="68">
        <f>IF($U100=0,0,IF($F100=4,0,IF($F100=3,0,IF(OR(50&gt;$R100,CP100&lt;=$I100),CP100,CP100-MIN(INT(ROUND(IF($F100=1,$C100*$J100,IF(GO100&gt;0,GO100*$K100,CP100*$J100))*IF(50=$R100,$S100,12)/12,6)+$B$4),CP100-$I100)))))</f>
        <v/>
      </c>
      <c r="CR100" s="68">
        <f>IF($U100=0,0,IF($F100=4,0,IF($F100=3,0,IF(OR(51&gt;$R100,CQ100&lt;=$I100),CQ100,CQ100-MIN(INT(ROUND(IF($F100=1,$C100*$J100,IF(GP100&gt;0,GP100*$K100,CQ100*$J100))*IF(51=$R100,$S100,12)/12,6)+$B$4),CQ100-$I100)))))</f>
        <v/>
      </c>
      <c r="CS100" s="68">
        <f>IF($U100=0,0,IF($F100=4,0,IF($F100=3,0,IF(OR(52&gt;$R100,CR100&lt;=$I100),CR100,CR100-MIN(INT(ROUND(IF($F100=1,$C100*$J100,IF(GQ100&gt;0,GQ100*$K100,CR100*$J100))*IF(52=$R100,$S100,12)/12,6)+$B$4),CR100-$I100)))))</f>
        <v/>
      </c>
      <c r="CT100" s="68">
        <f>IF($U100=0,0,IF($F100=4,0,IF($F100=3,0,IF(OR(53&gt;$R100,CS100&lt;=$I100),CS100,CS100-MIN(INT(ROUND(IF($F100=1,$C100*$J100,IF(GR100&gt;0,GR100*$K100,CS100*$J100))*IF(53=$R100,$S100,12)/12,6)+$B$4),CS100-$I100)))))</f>
        <v/>
      </c>
      <c r="CU100" s="68">
        <f>IF($U100=0,0,IF($F100=4,0,IF($F100=3,0,IF(OR(54&gt;$R100,CT100&lt;=$I100),CT100,CT100-MIN(INT(ROUND(IF($F100=1,$C100*$J100,IF(GS100&gt;0,GS100*$K100,CT100*$J100))*IF(54=$R100,$S100,12)/12,6)+$B$4),CT100-$I100)))))</f>
        <v/>
      </c>
      <c r="CV100" s="68">
        <f>IF($U100=0,0,IF($F100=4,0,IF($F100=3,0,IF(OR(55&gt;$R100,CU100&lt;=$I100),CU100,CU100-MIN(INT(ROUND(IF($F100=1,$C100*$J100,IF(GT100&gt;0,GT100*$K100,CU100*$J100))*IF(55=$R100,$S100,12)/12,6)+$B$4),CU100-$I100)))))</f>
        <v/>
      </c>
      <c r="CW100" s="68">
        <f>IF($U100=0,0,IF($F100=4,0,IF($F100=3,0,IF(OR(56&gt;$R100,CV100&lt;=$I100),CV100,CV100-MIN(INT(ROUND(IF($F100=1,$C100*$J100,IF(GU100&gt;0,GU100*$K100,CV100*$J100))*IF(56=$R100,$S100,12)/12,6)+$B$4),CV100-$I100)))))</f>
        <v/>
      </c>
      <c r="CX100" s="68">
        <f>IF($U100=0,0,IF($F100=4,0,IF($F100=3,0,IF(OR(57&gt;$R100,CW100&lt;=$I100),CW100,CW100-MIN(INT(ROUND(IF($F100=1,$C100*$J100,IF(GV100&gt;0,GV100*$K100,CW100*$J100))*IF(57=$R100,$S100,12)/12,6)+$B$4),CW100-$I100)))))</f>
        <v/>
      </c>
      <c r="CY100" s="68">
        <f>IF($U100=0,0,IF($F100=4,0,IF($F100=3,0,IF(OR(58&gt;$R100,CX100&lt;=$I100),CX100,CX100-MIN(INT(ROUND(IF($F100=1,$C100*$J100,IF(GW100&gt;0,GW100*$K100,CX100*$J100))*IF(58=$R100,$S100,12)/12,6)+$B$4),CX100-$I100)))))</f>
        <v/>
      </c>
      <c r="CZ100" s="68">
        <f>IF($U100=0,0,IF($F100=4,0,IF($F100=3,0,IF(OR(59&gt;$R100,CY100&lt;=$I100),CY100,CY100-MIN(INT(ROUND(IF($F100=1,$C100*$J100,IF(GX100&gt;0,GX100*$K100,CY100*$J100))*IF(59=$R100,$S100,12)/12,6)+$B$4),CY100-$I100)))))</f>
        <v/>
      </c>
      <c r="DA100" s="68">
        <f>IF($U100=0,0,IF($F100=4,0,IF($F100=3,0,IF(OR(60&gt;$R100,CZ100&lt;=$I100),CZ100,CZ100-MIN(INT(ROUND(IF($F100=1,$C100*$J100,IF(GY100&gt;0,GY100*$K100,CZ100*$J100))*IF(60=$R100,$S100,12)/12,6)+$B$4),CZ100-$I100)))))</f>
        <v/>
      </c>
      <c r="DB100" s="68">
        <f>IF($U100=0,0,IF($F100=4,0,IF($F100=3,0,IF(OR(61&gt;$R100,DA100&lt;=$I100),DA100,DA100-MIN(INT(ROUND(IF($F100=1,$C100*$J100,IF(GZ100&gt;0,GZ100*$K100,DA100*$J100))*IF(61=$R100,$S100,12)/12,6)+$B$4),DA100-$I100)))))</f>
        <v/>
      </c>
      <c r="DC100" s="68">
        <f>IF($U100=0,0,IF($F100=4,0,IF($F100=3,0,IF(OR(62&gt;$R100,DB100&lt;=$I100),DB100,DB100-MIN(INT(ROUND(IF($F100=1,$C100*$J100,IF(HA100&gt;0,HA100*$K100,DB100*$J100))*IF(62=$R100,$S100,12)/12,6)+$B$4),DB100-$I100)))))</f>
        <v/>
      </c>
      <c r="DD100" s="68">
        <f>IF($U100=0,0,IF($F100=4,0,IF($F100=3,0,IF(OR(63&gt;$R100,DC100&lt;=$I100),DC100,DC100-MIN(INT(ROUND(IF($F100=1,$C100*$J100,IF(HB100&gt;0,HB100*$K100,DC100*$J100))*IF(63=$R100,$S100,12)/12,6)+$B$4),DC100-$I100)))))</f>
        <v/>
      </c>
      <c r="DE100" s="68">
        <f>IF($U100=0,0,IF($F100=4,0,IF($F100=3,0,IF(OR(64&gt;$R100,DD100&lt;=$I100),DD100,DD100-MIN(INT(ROUND(IF($F100=1,$C100*$J100,IF(HC100&gt;0,HC100*$K100,DD100*$J100))*IF(64=$R100,$S100,12)/12,6)+$B$4),DD100-$I100)))))</f>
        <v/>
      </c>
      <c r="DF100" s="68">
        <f>IF($U100=0,0,IF($F100=4,0,IF($F100=3,0,IF(OR(65&gt;$R100,DE100&lt;=$I100),DE100,DE100-MIN(INT(ROUND(IF($F100=1,$C100*$J100,IF(HD100&gt;0,HD100*$K100,DE100*$J100))*IF(65=$R100,$S100,12)/12,6)+$B$4),DE100-$I100)))))</f>
        <v/>
      </c>
      <c r="DG100" s="68">
        <f>IF($U100=0,0,IF($F100=4,0,IF($F100=3,0,IF(OR(66&gt;$R100,DF100&lt;=$I100),DF100,DF100-MIN(INT(ROUND(IF($F100=1,$C100*$J100,IF(HE100&gt;0,HE100*$K100,DF100*$J100))*IF(66=$R100,$S100,12)/12,6)+$B$4),DF100-$I100)))))</f>
        <v/>
      </c>
      <c r="DH100" s="68">
        <f>IF($U100=0,0,IF($F100=4,0,IF($F100=3,0,IF(OR(67&gt;$R100,DG100&lt;=$I100),DG100,DG100-MIN(INT(ROUND(IF($F100=1,$C100*$J100,IF(HF100&gt;0,HF100*$K100,DG100*$J100))*IF(67=$R100,$S100,12)/12,6)+$B$4),DG100-$I100)))))</f>
        <v/>
      </c>
      <c r="DI100" s="68">
        <f>IF($U100=0,0,IF($F100=4,0,IF($F100=3,0,IF(OR(68&gt;$R100,DH100&lt;=$I100),DH100,DH100-MIN(INT(ROUND(IF($F100=1,$C100*$J100,IF(HG100&gt;0,HG100*$K100,DH100*$J100))*IF(68=$R100,$S100,12)/12,6)+$B$4),DH100-$I100)))))</f>
        <v/>
      </c>
      <c r="DJ100" s="68">
        <f>IF($U100=0,0,IF($F100=4,0,IF($F100=3,0,IF(OR(69&gt;$R100,DI100&lt;=$I100),DI100,DI100-MIN(INT(ROUND(IF($F100=1,$C100*$J100,IF(HH100&gt;0,HH100*$K100,DI100*$J100))*IF(69=$R100,$S100,12)/12,6)+$B$4),DI100-$I100)))))</f>
        <v/>
      </c>
      <c r="DK100" s="68">
        <f>IF($U100=0,0,IF($F100=4,0,IF($F100=3,0,IF(OR(70&gt;$R100,DJ100&lt;=$I100),DJ100,DJ100-MIN(INT(ROUND(IF($F100=1,$C100*$J100,IF(HI100&gt;0,HI100*$K100,DJ100*$J100))*IF(70=$R100,$S100,12)/12,6)+$B$4),DJ100-$I100)))))</f>
        <v/>
      </c>
      <c r="DL100" s="68">
        <f>IF($U100=0,0,IF($F100=4,0,IF($F100=3,0,IF(OR(71&gt;$R100,DK100&lt;=$I100),DK100,DK100-MIN(INT(ROUND(IF($F100=1,$C100*$J100,IF(HJ100&gt;0,HJ100*$K100,DK100*$J100))*IF(71=$R100,$S100,12)/12,6)+$B$4),DK100-$I100)))))</f>
        <v/>
      </c>
      <c r="DM100" s="68">
        <f>IF($U100=0,0,IF($F100=4,0,IF($F100=3,0,IF(OR(72&gt;$R100,DL100&lt;=$I100),DL100,DL100-MIN(INT(ROUND(IF($F100=1,$C100*$J100,IF(HK100&gt;0,HK100*$K100,DL100*$J100))*IF(72=$R100,$S100,12)/12,6)+$B$4),DL100-$I100)))))</f>
        <v/>
      </c>
      <c r="DN100" s="68">
        <f>IF($U100=0,0,IF($F100=4,0,IF($F100=3,0,IF(OR(73&gt;$R100,DM100&lt;=$I100),DM100,DM100-MIN(INT(ROUND(IF($F100=1,$C100*$J100,IF(HL100&gt;0,HL100*$K100,DM100*$J100))*IF(73=$R100,$S100,12)/12,6)+$B$4),DM100-$I100)))))</f>
        <v/>
      </c>
      <c r="DO100" s="68">
        <f>IF($U100=0,0,IF($F100=4,0,IF($F100=3,0,IF(OR(74&gt;$R100,DN100&lt;=$I100),DN100,DN100-MIN(INT(ROUND(IF($F100=1,$C100*$J100,IF(HM100&gt;0,HM100*$K100,DN100*$J100))*IF(74=$R100,$S100,12)/12,6)+$B$4),DN100-$I100)))))</f>
        <v/>
      </c>
      <c r="DP100" s="68">
        <f>IF($U100=0,0,IF($F100=4,0,IF($F100=3,0,IF(OR(75&gt;$R100,DO100&lt;=$I100),DO100,DO100-MIN(INT(ROUND(IF($F100=1,$C100*$J100,IF(HN100&gt;0,HN100*$K100,DO100*$J100))*IF(75=$R100,$S100,12)/12,6)+$B$4),DO100-$I100)))))</f>
        <v/>
      </c>
      <c r="DQ100" s="68">
        <f>IF($U100=0,0,IF($F100=4,0,IF($F100=3,0,IF(OR(76&gt;$R100,DP100&lt;=$I100),DP100,DP100-MIN(INT(ROUND(IF($F100=1,$C100*$J100,IF(HO100&gt;0,HO100*$K100,DP100*$J100))*IF(76=$R100,$S100,12)/12,6)+$B$4),DP100-$I100)))))</f>
        <v/>
      </c>
      <c r="DR100" s="68">
        <f>IF($U100=0,0,IF($F100=4,0,IF($F100=3,0,IF(OR(77&gt;$R100,DQ100&lt;=$I100),DQ100,DQ100-MIN(INT(ROUND(IF($F100=1,$C100*$J100,IF(HP100&gt;0,HP100*$K100,DQ100*$J100))*IF(77=$R100,$S100,12)/12,6)+$B$4),DQ100-$I100)))))</f>
        <v/>
      </c>
      <c r="DS100" s="68">
        <f>IF($U100=0,0,IF($F100=4,0,IF($F100=3,0,IF(OR(78&gt;$R100,DR100&lt;=$I100),DR100,DR100-MIN(INT(ROUND(IF($F100=1,$C100*$J100,IF(HQ100&gt;0,HQ100*$K100,DR100*$J100))*IF(78=$R100,$S100,12)/12,6)+$B$4),DR100-$I100)))))</f>
        <v/>
      </c>
      <c r="DT100" s="68">
        <f>IF($U100=0,0,IF($F100=4,0,IF($F100=3,0,IF(OR(79&gt;$R100,DS100&lt;=$I100),DS100,DS100-MIN(INT(ROUND(IF($F100=1,$C100*$J100,IF(HR100&gt;0,HR100*$K100,DS100*$J100))*IF(79=$R100,$S100,12)/12,6)+$B$4),DS100-$I100)))))</f>
        <v/>
      </c>
      <c r="DU100" s="68">
        <f>IF($U100=0,0,IF($F100=4,0,IF($F100=3,0,IF(OR(80&gt;$R100,DT100&lt;=$I100),DT100,DT100-MIN(INT(ROUND(IF($F100=1,$C100*$J100,IF(HS100&gt;0,HS100*$K100,DT100*$J100))*IF(80=$R100,$S100,12)/12,6)+$B$4),DT100-$I100)))))</f>
        <v/>
      </c>
      <c r="DV100" s="68">
        <f>IF($U100=0,0,IF($F100=4,0,IF($F100=3,0,IF(OR(81&gt;$R100,DU100&lt;=$I100),DU100,DU100-MIN(INT(ROUND(IF($F100=1,$C100*$J100,IF(HT100&gt;0,HT100*$K100,DU100*$J100))*IF(81=$R100,$S100,12)/12,6)+$B$4),DU100-$I100)))))</f>
        <v/>
      </c>
      <c r="DW100" s="68">
        <f>IF($U100=0,0,IF($F100=4,0,IF($F100=3,0,IF(OR(82&gt;$R100,DV100&lt;=$I100),DV100,DV100-MIN(INT(ROUND(IF($F100=1,$C100*$J100,IF(HU100&gt;0,HU100*$K100,DV100*$J100))*IF(82=$R100,$S100,12)/12,6)+$B$4),DV100-$I100)))))</f>
        <v/>
      </c>
      <c r="DX100" s="68">
        <f>IF($U100=0,0,IF($F100=4,0,IF($F100=3,0,IF(OR(83&gt;$R100,DW100&lt;=$I100),DW100,DW100-MIN(INT(ROUND(IF($F100=1,$C100*$J100,IF(HV100&gt;0,HV100*$K100,DW100*$J100))*IF(83=$R100,$S100,12)/12,6)+$B$4),DW100-$I100)))))</f>
        <v/>
      </c>
      <c r="DY100" s="68">
        <f>IF($U100=0,0,IF($F100=4,0,IF($F100=3,0,IF(OR(84&gt;$R100,DX100&lt;=$I100),DX100,DX100-MIN(INT(ROUND(IF($F100=1,$C100*$J100,IF(HW100&gt;0,HW100*$K100,DX100*$J100))*IF(84=$R100,$S100,12)/12,6)+$B$4),DX100-$I100)))))</f>
        <v/>
      </c>
      <c r="DZ100" s="68">
        <f>IF($U100=0,0,IF($F100=4,0,IF($F100=3,0,IF(OR(85&gt;$R100,DY100&lt;=$I100),DY100,DY100-MIN(INT(ROUND(IF($F100=1,$C100*$J100,IF(HX100&gt;0,HX100*$K100,DY100*$J100))*IF(85=$R100,$S100,12)/12,6)+$B$4),DY100-$I100)))))</f>
        <v/>
      </c>
      <c r="EA100" s="68">
        <f>IF($U100=0,0,IF($F100=4,0,IF($F100=3,0,IF(OR(86&gt;$R100,DZ100&lt;=$I100),DZ100,DZ100-MIN(INT(ROUND(IF($F100=1,$C100*$J100,IF(HY100&gt;0,HY100*$K100,DZ100*$J100))*IF(86=$R100,$S100,12)/12,6)+$B$4),DZ100-$I100)))))</f>
        <v/>
      </c>
      <c r="EB100" s="68">
        <f>IF($U100=0,0,IF($F100=4,0,IF($F100=3,0,IF(OR(87&gt;$R100,EA100&lt;=$I100),EA100,EA100-MIN(INT(ROUND(IF($F100=1,$C100*$J100,IF(HZ100&gt;0,HZ100*$K100,EA100*$J100))*IF(87=$R100,$S100,12)/12,6)+$B$4),EA100-$I100)))))</f>
        <v/>
      </c>
      <c r="EC100" s="68">
        <f>IF($U100=0,0,IF($F100=4,0,IF($F100=3,0,IF(OR(88&gt;$R100,EB100&lt;=$I100),EB100,EB100-MIN(INT(ROUND(IF($F100=1,$C100*$J100,IF(IA100&gt;0,IA100*$K100,EB100*$J100))*IF(88=$R100,$S100,12)/12,6)+$B$4),EB100-$I100)))))</f>
        <v/>
      </c>
      <c r="ED100" s="68">
        <f>IF($U100=0,0,IF($F100=4,0,IF($F100=3,0,IF(OR(89&gt;$R100,EC100&lt;=$I100),EC100,EC100-MIN(INT(ROUND(IF($F100=1,$C100*$J100,IF(IB100&gt;0,IB100*$K100,EC100*$J100))*IF(89=$R100,$S100,12)/12,6)+$B$4),EC100-$I100)))))</f>
        <v/>
      </c>
      <c r="EE100" s="68">
        <f>IF($U100=0,0,IF($F100=4,0,IF($F100=3,0,IF(OR(90&gt;$R100,ED100&lt;=$I100),ED100,ED100-MIN(INT(ROUND(IF($F100=1,$C100*$J100,IF(IC100&gt;0,IC100*$K100,ED100*$J100))*IF(90=$R100,$S100,12)/12,6)+$B$4),ED100-$I100)))))</f>
        <v/>
      </c>
      <c r="EF100" s="68">
        <f>IF($U100=0,0,IF($F100=4,0,IF($F100=3,0,IF(OR(91&gt;$R100,EE100&lt;=$I100),EE100,EE100-MIN(INT(ROUND(IF($F100=1,$C100*$J100,IF(ID100&gt;0,ID100*$K100,EE100*$J100))*IF(91=$R100,$S100,12)/12,6)+$B$4),EE100-$I100)))))</f>
        <v/>
      </c>
      <c r="EG100" s="68">
        <f>IF($U100=0,0,IF($F100=4,0,IF($F100=3,0,IF(OR(92&gt;$R100,EF100&lt;=$I100),EF100,EF100-MIN(INT(ROUND(IF($F100=1,$C100*$J100,IF(IE100&gt;0,IE100*$K100,EF100*$J100))*IF(92=$R100,$S100,12)/12,6)+$B$4),EF100-$I100)))))</f>
        <v/>
      </c>
      <c r="EH100" s="68">
        <f>IF($U100=0,0,IF($F100=4,0,IF($F100=3,0,IF(OR(93&gt;$R100,EG100&lt;=$I100),EG100,EG100-MIN(INT(ROUND(IF($F100=1,$C100*$J100,IF(IF100&gt;0,IF100*$K100,EG100*$J100))*IF(93=$R100,$S100,12)/12,6)+$B$4),EG100-$I100)))))</f>
        <v/>
      </c>
      <c r="EI100" s="68">
        <f>IF($U100=0,0,IF($F100=4,0,IF($F100=3,0,IF(OR(94&gt;$R100,EH100&lt;=$I100),EH100,EH100-MIN(INT(ROUND(IF($F100=1,$C100*$J100,IF(IG100&gt;0,IG100*$K100,EH100*$J100))*IF(94=$R100,$S100,12)/12,6)+$B$4),EH100-$I100)))))</f>
        <v/>
      </c>
      <c r="EJ100" s="68">
        <f>IF($U100=0,0,IF($F100=4,0,IF($F100=3,0,IF(OR(95&gt;$R100,EI100&lt;=$I100),EI100,EI100-MIN(INT(ROUND(IF($F100=1,$C100*$J100,IF(IH100&gt;0,IH100*$K100,EI100*$J100))*IF(95=$R100,$S100,12)/12,6)+$B$4),EI100-$I100)))))</f>
        <v/>
      </c>
      <c r="EK100" s="68">
        <f>IF($U100=0,0,IF($F100=4,0,IF($F100=3,0,IF(OR(96&gt;$R100,EJ100&lt;=$I100),EJ100,EJ100-MIN(INT(ROUND(IF($F100=1,$C100*$J100,IF(II100&gt;0,II100*$K100,EJ100*$J100))*IF(96=$R100,$S100,12)/12,6)+$B$4),EJ100-$I100)))))</f>
        <v/>
      </c>
      <c r="EL100" s="68">
        <f>IF($U100=0,0,IF($F100=4,0,IF($F100=3,0,IF(OR(97&gt;$R100,EK100&lt;=$I100),EK100,EK100-MIN(INT(ROUND(IF($F100=1,$C100*$J100,IF(IJ100&gt;0,IJ100*$K100,EK100*$J100))*IF(97=$R100,$S100,12)/12,6)+$B$4),EK100-$I100)))))</f>
        <v/>
      </c>
      <c r="EM100" s="68">
        <f>IF($U100=0,0,IF($F100=4,0,IF($F100=3,0,IF(OR(98&gt;$R100,EL100&lt;=$I100),EL100,EL100-MIN(INT(ROUND(IF($F100=1,$C100*$J100,IF(IK100&gt;0,IK100*$K100,EL100*$J100))*IF(98=$R100,$S100,12)/12,6)+$B$4),EL100-$I100)))))</f>
        <v/>
      </c>
      <c r="EN100" s="68">
        <f>IF($U100=0,0,IF($F100=4,0,IF($F100=3,0,IF(OR(99&gt;$R100,EM100&lt;=$I100),EM100,EM100-MIN(INT(ROUND(IF($F100=1,$C100*$J100,IF(IL100&gt;0,IL100*$K100,EM100*$J100))*IF(99=$R100,$S100,12)/12,6)+$B$4),EM100-$I100)))))</f>
        <v/>
      </c>
      <c r="EO100" s="68">
        <f>IF($U100=0,0,IF($F100=4,0,IF($F100=3,0,IF(OR(100&gt;$R100,EN100&lt;=$I100),EN100,EN100-MIN(INT(ROUND(IF($F100=1,$C100*$J100,IF(IM100&gt;0,IM100*$K100,EN100*$J100))*IF(100=$R100,$S100,12)/12,6)+$B$4),EN100-$I100)))))</f>
        <v/>
      </c>
      <c r="EP100" s="68">
        <f>IF($U100=0,0,IF($F100=4,0,IF($F100=3,0,IF(OR(101&gt;$R100,EO100&lt;=$I100),EO100,EO100-MIN(INT(ROUND(IF($F100=1,$C100*$J100,IF(IN100&gt;0,IN100*$K100,EO100*$J100))*IF(101=$R100,$S100,12)/12,6)+$B$4),EO100-$I100)))))</f>
        <v/>
      </c>
      <c r="EQ100" s="68" t="n"/>
      <c r="ER100" s="68">
        <f>IF(OR($U100=0,$F100&lt;&gt;2),0,IF(ROUND(AS100*$J100,6)&lt;ROUND($M100,6),AS100,0))</f>
        <v/>
      </c>
      <c r="ES100" s="68">
        <f>IF(OR($U100=0,$F100&lt;&gt;2),0,IF(ER100&gt;0,ER100,IF(ROUND(AT100*$J100,6)&lt;ROUND($M100,6),AT100,0)))</f>
        <v/>
      </c>
      <c r="ET100" s="68">
        <f>IF(OR($U100=0,$F100&lt;&gt;2),0,IF(ES100&gt;0,ES100,IF(ROUND(AU100*$J100,6)&lt;ROUND($M100,6),AU100,0)))</f>
        <v/>
      </c>
      <c r="EU100" s="68">
        <f>IF(OR($U100=0,$F100&lt;&gt;2),0,IF(ET100&gt;0,ET100,IF(ROUND(AV100*$J100,6)&lt;ROUND($M100,6),AV100,0)))</f>
        <v/>
      </c>
      <c r="EV100" s="68">
        <f>IF(OR($U100=0,$F100&lt;&gt;2),0,IF(EU100&gt;0,EU100,IF(ROUND(AW100*$J100,6)&lt;ROUND($M100,6),AW100,0)))</f>
        <v/>
      </c>
      <c r="EW100" s="68">
        <f>IF(OR($U100=0,$F100&lt;&gt;2),0,IF(EV100&gt;0,EV100,IF(ROUND(AX100*$J100,6)&lt;ROUND($M100,6),AX100,0)))</f>
        <v/>
      </c>
      <c r="EX100" s="68">
        <f>IF(OR($U100=0,$F100&lt;&gt;2),0,IF(EW100&gt;0,EW100,IF(ROUND(AY100*$J100,6)&lt;ROUND($M100,6),AY100,0)))</f>
        <v/>
      </c>
      <c r="EY100" s="68">
        <f>IF(OR($U100=0,$F100&lt;&gt;2),0,IF(EX100&gt;0,EX100,IF(ROUND(AZ100*$J100,6)&lt;ROUND($M100,6),AZ100,0)))</f>
        <v/>
      </c>
      <c r="EZ100" s="68">
        <f>IF(OR($U100=0,$F100&lt;&gt;2),0,IF(EY100&gt;0,EY100,IF(ROUND(BA100*$J100,6)&lt;ROUND($M100,6),BA100,0)))</f>
        <v/>
      </c>
      <c r="FA100" s="68">
        <f>IF(OR($U100=0,$F100&lt;&gt;2),0,IF(EZ100&gt;0,EZ100,IF(ROUND(BB100*$J100,6)&lt;ROUND($M100,6),BB100,0)))</f>
        <v/>
      </c>
      <c r="FB100" s="68">
        <f>IF(OR($U100=0,$F100&lt;&gt;2),0,IF(FA100&gt;0,FA100,IF(ROUND(BC100*$J100,6)&lt;ROUND($M100,6),BC100,0)))</f>
        <v/>
      </c>
      <c r="FC100" s="68">
        <f>IF(OR($U100=0,$F100&lt;&gt;2),0,IF(FB100&gt;0,FB100,IF(ROUND(BD100*$J100,6)&lt;ROUND($M100,6),BD100,0)))</f>
        <v/>
      </c>
      <c r="FD100" s="68">
        <f>IF(OR($U100=0,$F100&lt;&gt;2),0,IF(FC100&gt;0,FC100,IF(ROUND(BE100*$J100,6)&lt;ROUND($M100,6),BE100,0)))</f>
        <v/>
      </c>
      <c r="FE100" s="68">
        <f>IF(OR($U100=0,$F100&lt;&gt;2),0,IF(FD100&gt;0,FD100,IF(ROUND(BF100*$J100,6)&lt;ROUND($M100,6),BF100,0)))</f>
        <v/>
      </c>
      <c r="FF100" s="68">
        <f>IF(OR($U100=0,$F100&lt;&gt;2),0,IF(FE100&gt;0,FE100,IF(ROUND(BG100*$J100,6)&lt;ROUND($M100,6),BG100,0)))</f>
        <v/>
      </c>
      <c r="FG100" s="68">
        <f>IF(OR($U100=0,$F100&lt;&gt;2),0,IF(FF100&gt;0,FF100,IF(ROUND(BH100*$J100,6)&lt;ROUND($M100,6),BH100,0)))</f>
        <v/>
      </c>
      <c r="FH100" s="68">
        <f>IF(OR($U100=0,$F100&lt;&gt;2),0,IF(FG100&gt;0,FG100,IF(ROUND(BI100*$J100,6)&lt;ROUND($M100,6),BI100,0)))</f>
        <v/>
      </c>
      <c r="FI100" s="68">
        <f>IF(OR($U100=0,$F100&lt;&gt;2),0,IF(FH100&gt;0,FH100,IF(ROUND(BJ100*$J100,6)&lt;ROUND($M100,6),BJ100,0)))</f>
        <v/>
      </c>
      <c r="FJ100" s="68">
        <f>IF(OR($U100=0,$F100&lt;&gt;2),0,IF(FI100&gt;0,FI100,IF(ROUND(BK100*$J100,6)&lt;ROUND($M100,6),BK100,0)))</f>
        <v/>
      </c>
      <c r="FK100" s="68">
        <f>IF(OR($U100=0,$F100&lt;&gt;2),0,IF(FJ100&gt;0,FJ100,IF(ROUND(BL100*$J100,6)&lt;ROUND($M100,6),BL100,0)))</f>
        <v/>
      </c>
      <c r="FL100" s="68">
        <f>IF(OR($U100=0,$F100&lt;&gt;2),0,IF(FK100&gt;0,FK100,IF(ROUND(BM100*$J100,6)&lt;ROUND($M100,6),BM100,0)))</f>
        <v/>
      </c>
      <c r="FM100" s="68">
        <f>IF(OR($U100=0,$F100&lt;&gt;2),0,IF(FL100&gt;0,FL100,IF(ROUND(BN100*$J100,6)&lt;ROUND($M100,6),BN100,0)))</f>
        <v/>
      </c>
      <c r="FN100" s="68">
        <f>IF(OR($U100=0,$F100&lt;&gt;2),0,IF(FM100&gt;0,FM100,IF(ROUND(BO100*$J100,6)&lt;ROUND($M100,6),BO100,0)))</f>
        <v/>
      </c>
      <c r="FO100" s="68">
        <f>IF(OR($U100=0,$F100&lt;&gt;2),0,IF(FN100&gt;0,FN100,IF(ROUND(BP100*$J100,6)&lt;ROUND($M100,6),BP100,0)))</f>
        <v/>
      </c>
      <c r="FP100" s="68">
        <f>IF(OR($U100=0,$F100&lt;&gt;2),0,IF(FO100&gt;0,FO100,IF(ROUND(BQ100*$J100,6)&lt;ROUND($M100,6),BQ100,0)))</f>
        <v/>
      </c>
      <c r="FQ100" s="68">
        <f>IF(OR($U100=0,$F100&lt;&gt;2),0,IF(FP100&gt;0,FP100,IF(ROUND(BR100*$J100,6)&lt;ROUND($M100,6),BR100,0)))</f>
        <v/>
      </c>
      <c r="FR100" s="68">
        <f>IF(OR($U100=0,$F100&lt;&gt;2),0,IF(FQ100&gt;0,FQ100,IF(ROUND(BS100*$J100,6)&lt;ROUND($M100,6),BS100,0)))</f>
        <v/>
      </c>
      <c r="FS100" s="68">
        <f>IF(OR($U100=0,$F100&lt;&gt;2),0,IF(FR100&gt;0,FR100,IF(ROUND(BT100*$J100,6)&lt;ROUND($M100,6),BT100,0)))</f>
        <v/>
      </c>
      <c r="FT100" s="68">
        <f>IF(OR($U100=0,$F100&lt;&gt;2),0,IF(FS100&gt;0,FS100,IF(ROUND(BU100*$J100,6)&lt;ROUND($M100,6),BU100,0)))</f>
        <v/>
      </c>
      <c r="FU100" s="68">
        <f>IF(OR($U100=0,$F100&lt;&gt;2),0,IF(FT100&gt;0,FT100,IF(ROUND(BV100*$J100,6)&lt;ROUND($M100,6),BV100,0)))</f>
        <v/>
      </c>
      <c r="FV100" s="68">
        <f>IF(OR($U100=0,$F100&lt;&gt;2),0,IF(FU100&gt;0,FU100,IF(ROUND(BW100*$J100,6)&lt;ROUND($M100,6),BW100,0)))</f>
        <v/>
      </c>
      <c r="FW100" s="68">
        <f>IF(OR($U100=0,$F100&lt;&gt;2),0,IF(FV100&gt;0,FV100,IF(ROUND(BX100*$J100,6)&lt;ROUND($M100,6),BX100,0)))</f>
        <v/>
      </c>
      <c r="FX100" s="68">
        <f>IF(OR($U100=0,$F100&lt;&gt;2),0,IF(FW100&gt;0,FW100,IF(ROUND(BY100*$J100,6)&lt;ROUND($M100,6),BY100,0)))</f>
        <v/>
      </c>
      <c r="FY100" s="68">
        <f>IF(OR($U100=0,$F100&lt;&gt;2),0,IF(FX100&gt;0,FX100,IF(ROUND(BZ100*$J100,6)&lt;ROUND($M100,6),BZ100,0)))</f>
        <v/>
      </c>
      <c r="FZ100" s="68">
        <f>IF(OR($U100=0,$F100&lt;&gt;2),0,IF(FY100&gt;0,FY100,IF(ROUND(CA100*$J100,6)&lt;ROUND($M100,6),CA100,0)))</f>
        <v/>
      </c>
      <c r="GA100" s="68">
        <f>IF(OR($U100=0,$F100&lt;&gt;2),0,IF(FZ100&gt;0,FZ100,IF(ROUND(CB100*$J100,6)&lt;ROUND($M100,6),CB100,0)))</f>
        <v/>
      </c>
      <c r="GB100" s="68">
        <f>IF(OR($U100=0,$F100&lt;&gt;2),0,IF(GA100&gt;0,GA100,IF(ROUND(CC100*$J100,6)&lt;ROUND($M100,6),CC100,0)))</f>
        <v/>
      </c>
      <c r="GC100" s="68">
        <f>IF(OR($U100=0,$F100&lt;&gt;2),0,IF(GB100&gt;0,GB100,IF(ROUND(CD100*$J100,6)&lt;ROUND($M100,6),CD100,0)))</f>
        <v/>
      </c>
      <c r="GD100" s="68">
        <f>IF(OR($U100=0,$F100&lt;&gt;2),0,IF(GC100&gt;0,GC100,IF(ROUND(CE100*$J100,6)&lt;ROUND($M100,6),CE100,0)))</f>
        <v/>
      </c>
      <c r="GE100" s="68">
        <f>IF(OR($U100=0,$F100&lt;&gt;2),0,IF(GD100&gt;0,GD100,IF(ROUND(CF100*$J100,6)&lt;ROUND($M100,6),CF100,0)))</f>
        <v/>
      </c>
      <c r="GF100" s="68">
        <f>IF(OR($U100=0,$F100&lt;&gt;2),0,IF(GE100&gt;0,GE100,IF(ROUND(CG100*$J100,6)&lt;ROUND($M100,6),CG100,0)))</f>
        <v/>
      </c>
      <c r="GG100" s="68">
        <f>IF(OR($U100=0,$F100&lt;&gt;2),0,IF(GF100&gt;0,GF100,IF(ROUND(CH100*$J100,6)&lt;ROUND($M100,6),CH100,0)))</f>
        <v/>
      </c>
      <c r="GH100" s="68">
        <f>IF(OR($U100=0,$F100&lt;&gt;2),0,IF(GG100&gt;0,GG100,IF(ROUND(CI100*$J100,6)&lt;ROUND($M100,6),CI100,0)))</f>
        <v/>
      </c>
      <c r="GI100" s="68">
        <f>IF(OR($U100=0,$F100&lt;&gt;2),0,IF(GH100&gt;0,GH100,IF(ROUND(CJ100*$J100,6)&lt;ROUND($M100,6),CJ100,0)))</f>
        <v/>
      </c>
      <c r="GJ100" s="68">
        <f>IF(OR($U100=0,$F100&lt;&gt;2),0,IF(GI100&gt;0,GI100,IF(ROUND(CK100*$J100,6)&lt;ROUND($M100,6),CK100,0)))</f>
        <v/>
      </c>
      <c r="GK100" s="68">
        <f>IF(OR($U100=0,$F100&lt;&gt;2),0,IF(GJ100&gt;0,GJ100,IF(ROUND(CL100*$J100,6)&lt;ROUND($M100,6),CL100,0)))</f>
        <v/>
      </c>
      <c r="GL100" s="68">
        <f>IF(OR($U100=0,$F100&lt;&gt;2),0,IF(GK100&gt;0,GK100,IF(ROUND(CM100*$J100,6)&lt;ROUND($M100,6),CM100,0)))</f>
        <v/>
      </c>
      <c r="GM100" s="68">
        <f>IF(OR($U100=0,$F100&lt;&gt;2),0,IF(GL100&gt;0,GL100,IF(ROUND(CN100*$J100,6)&lt;ROUND($M100,6),CN100,0)))</f>
        <v/>
      </c>
      <c r="GN100" s="68">
        <f>IF(OR($U100=0,$F100&lt;&gt;2),0,IF(GM100&gt;0,GM100,IF(ROUND(CO100*$J100,6)&lt;ROUND($M100,6),CO100,0)))</f>
        <v/>
      </c>
      <c r="GO100" s="68">
        <f>IF(OR($U100=0,$F100&lt;&gt;2),0,IF(GN100&gt;0,GN100,IF(ROUND(CP100*$J100,6)&lt;ROUND($M100,6),CP100,0)))</f>
        <v/>
      </c>
      <c r="GP100" s="68">
        <f>IF(OR($U100=0,$F100&lt;&gt;2),0,IF(GO100&gt;0,GO100,IF(ROUND(CQ100*$J100,6)&lt;ROUND($M100,6),CQ100,0)))</f>
        <v/>
      </c>
      <c r="GQ100" s="68">
        <f>IF(OR($U100=0,$F100&lt;&gt;2),0,IF(GP100&gt;0,GP100,IF(ROUND(CR100*$J100,6)&lt;ROUND($M100,6),CR100,0)))</f>
        <v/>
      </c>
      <c r="GR100" s="68">
        <f>IF(OR($U100=0,$F100&lt;&gt;2),0,IF(GQ100&gt;0,GQ100,IF(ROUND(CS100*$J100,6)&lt;ROUND($M100,6),CS100,0)))</f>
        <v/>
      </c>
      <c r="GS100" s="68">
        <f>IF(OR($U100=0,$F100&lt;&gt;2),0,IF(GR100&gt;0,GR100,IF(ROUND(CT100*$J100,6)&lt;ROUND($M100,6),CT100,0)))</f>
        <v/>
      </c>
      <c r="GT100" s="68">
        <f>IF(OR($U100=0,$F100&lt;&gt;2),0,IF(GS100&gt;0,GS100,IF(ROUND(CU100*$J100,6)&lt;ROUND($M100,6),CU100,0)))</f>
        <v/>
      </c>
      <c r="GU100" s="68">
        <f>IF(OR($U100=0,$F100&lt;&gt;2),0,IF(GT100&gt;0,GT100,IF(ROUND(CV100*$J100,6)&lt;ROUND($M100,6),CV100,0)))</f>
        <v/>
      </c>
      <c r="GV100" s="68">
        <f>IF(OR($U100=0,$F100&lt;&gt;2),0,IF(GU100&gt;0,GU100,IF(ROUND(CW100*$J100,6)&lt;ROUND($M100,6),CW100,0)))</f>
        <v/>
      </c>
      <c r="GW100" s="68">
        <f>IF(OR($U100=0,$F100&lt;&gt;2),0,IF(GV100&gt;0,GV100,IF(ROUND(CX100*$J100,6)&lt;ROUND($M100,6),CX100,0)))</f>
        <v/>
      </c>
      <c r="GX100" s="68">
        <f>IF(OR($U100=0,$F100&lt;&gt;2),0,IF(GW100&gt;0,GW100,IF(ROUND(CY100*$J100,6)&lt;ROUND($M100,6),CY100,0)))</f>
        <v/>
      </c>
      <c r="GY100" s="68">
        <f>IF(OR($U100=0,$F100&lt;&gt;2),0,IF(GX100&gt;0,GX100,IF(ROUND(CZ100*$J100,6)&lt;ROUND($M100,6),CZ100,0)))</f>
        <v/>
      </c>
      <c r="GZ100" s="68">
        <f>IF(OR($U100=0,$F100&lt;&gt;2),0,IF(GY100&gt;0,GY100,IF(ROUND(DA100*$J100,6)&lt;ROUND($M100,6),DA100,0)))</f>
        <v/>
      </c>
      <c r="HA100" s="68">
        <f>IF(OR($U100=0,$F100&lt;&gt;2),0,IF(GZ100&gt;0,GZ100,IF(ROUND(DB100*$J100,6)&lt;ROUND($M100,6),DB100,0)))</f>
        <v/>
      </c>
      <c r="HB100" s="68">
        <f>IF(OR($U100=0,$F100&lt;&gt;2),0,IF(HA100&gt;0,HA100,IF(ROUND(DC100*$J100,6)&lt;ROUND($M100,6),DC100,0)))</f>
        <v/>
      </c>
      <c r="HC100" s="68">
        <f>IF(OR($U100=0,$F100&lt;&gt;2),0,IF(HB100&gt;0,HB100,IF(ROUND(DD100*$J100,6)&lt;ROUND($M100,6),DD100,0)))</f>
        <v/>
      </c>
      <c r="HD100" s="68">
        <f>IF(OR($U100=0,$F100&lt;&gt;2),0,IF(HC100&gt;0,HC100,IF(ROUND(DE100*$J100,6)&lt;ROUND($M100,6),DE100,0)))</f>
        <v/>
      </c>
      <c r="HE100" s="68">
        <f>IF(OR($U100=0,$F100&lt;&gt;2),0,IF(HD100&gt;0,HD100,IF(ROUND(DF100*$J100,6)&lt;ROUND($M100,6),DF100,0)))</f>
        <v/>
      </c>
      <c r="HF100" s="68">
        <f>IF(OR($U100=0,$F100&lt;&gt;2),0,IF(HE100&gt;0,HE100,IF(ROUND(DG100*$J100,6)&lt;ROUND($M100,6),DG100,0)))</f>
        <v/>
      </c>
      <c r="HG100" s="68">
        <f>IF(OR($U100=0,$F100&lt;&gt;2),0,IF(HF100&gt;0,HF100,IF(ROUND(DH100*$J100,6)&lt;ROUND($M100,6),DH100,0)))</f>
        <v/>
      </c>
      <c r="HH100" s="68">
        <f>IF(OR($U100=0,$F100&lt;&gt;2),0,IF(HG100&gt;0,HG100,IF(ROUND(DI100*$J100,6)&lt;ROUND($M100,6),DI100,0)))</f>
        <v/>
      </c>
      <c r="HI100" s="68">
        <f>IF(OR($U100=0,$F100&lt;&gt;2),0,IF(HH100&gt;0,HH100,IF(ROUND(DJ100*$J100,6)&lt;ROUND($M100,6),DJ100,0)))</f>
        <v/>
      </c>
      <c r="HJ100" s="68">
        <f>IF(OR($U100=0,$F100&lt;&gt;2),0,IF(HI100&gt;0,HI100,IF(ROUND(DK100*$J100,6)&lt;ROUND($M100,6),DK100,0)))</f>
        <v/>
      </c>
      <c r="HK100" s="68">
        <f>IF(OR($U100=0,$F100&lt;&gt;2),0,IF(HJ100&gt;0,HJ100,IF(ROUND(DL100*$J100,6)&lt;ROUND($M100,6),DL100,0)))</f>
        <v/>
      </c>
      <c r="HL100" s="68">
        <f>IF(OR($U100=0,$F100&lt;&gt;2),0,IF(HK100&gt;0,HK100,IF(ROUND(DM100*$J100,6)&lt;ROUND($M100,6),DM100,0)))</f>
        <v/>
      </c>
      <c r="HM100" s="68">
        <f>IF(OR($U100=0,$F100&lt;&gt;2),0,IF(HL100&gt;0,HL100,IF(ROUND(DN100*$J100,6)&lt;ROUND($M100,6),DN100,0)))</f>
        <v/>
      </c>
      <c r="HN100" s="68">
        <f>IF(OR($U100=0,$F100&lt;&gt;2),0,IF(HM100&gt;0,HM100,IF(ROUND(DO100*$J100,6)&lt;ROUND($M100,6),DO100,0)))</f>
        <v/>
      </c>
      <c r="HO100" s="68">
        <f>IF(OR($U100=0,$F100&lt;&gt;2),0,IF(HN100&gt;0,HN100,IF(ROUND(DP100*$J100,6)&lt;ROUND($M100,6),DP100,0)))</f>
        <v/>
      </c>
      <c r="HP100" s="68">
        <f>IF(OR($U100=0,$F100&lt;&gt;2),0,IF(HO100&gt;0,HO100,IF(ROUND(DQ100*$J100,6)&lt;ROUND($M100,6),DQ100,0)))</f>
        <v/>
      </c>
      <c r="HQ100" s="68">
        <f>IF(OR($U100=0,$F100&lt;&gt;2),0,IF(HP100&gt;0,HP100,IF(ROUND(DR100*$J100,6)&lt;ROUND($M100,6),DR100,0)))</f>
        <v/>
      </c>
      <c r="HR100" s="68">
        <f>IF(OR($U100=0,$F100&lt;&gt;2),0,IF(HQ100&gt;0,HQ100,IF(ROUND(DS100*$J100,6)&lt;ROUND($M100,6),DS100,0)))</f>
        <v/>
      </c>
      <c r="HS100" s="68">
        <f>IF(OR($U100=0,$F100&lt;&gt;2),0,IF(HR100&gt;0,HR100,IF(ROUND(DT100*$J100,6)&lt;ROUND($M100,6),DT100,0)))</f>
        <v/>
      </c>
      <c r="HT100" s="68">
        <f>IF(OR($U100=0,$F100&lt;&gt;2),0,IF(HS100&gt;0,HS100,IF(ROUND(DU100*$J100,6)&lt;ROUND($M100,6),DU100,0)))</f>
        <v/>
      </c>
      <c r="HU100" s="68">
        <f>IF(OR($U100=0,$F100&lt;&gt;2),0,IF(HT100&gt;0,HT100,IF(ROUND(DV100*$J100,6)&lt;ROUND($M100,6),DV100,0)))</f>
        <v/>
      </c>
      <c r="HV100" s="68">
        <f>IF(OR($U100=0,$F100&lt;&gt;2),0,IF(HU100&gt;0,HU100,IF(ROUND(DW100*$J100,6)&lt;ROUND($M100,6),DW100,0)))</f>
        <v/>
      </c>
      <c r="HW100" s="68">
        <f>IF(OR($U100=0,$F100&lt;&gt;2),0,IF(HV100&gt;0,HV100,IF(ROUND(DX100*$J100,6)&lt;ROUND($M100,6),DX100,0)))</f>
        <v/>
      </c>
      <c r="HX100" s="68">
        <f>IF(OR($U100=0,$F100&lt;&gt;2),0,IF(HW100&gt;0,HW100,IF(ROUND(DY100*$J100,6)&lt;ROUND($M100,6),DY100,0)))</f>
        <v/>
      </c>
      <c r="HY100" s="68">
        <f>IF(OR($U100=0,$F100&lt;&gt;2),0,IF(HX100&gt;0,HX100,IF(ROUND(DZ100*$J100,6)&lt;ROUND($M100,6),DZ100,0)))</f>
        <v/>
      </c>
      <c r="HZ100" s="68">
        <f>IF(OR($U100=0,$F100&lt;&gt;2),0,IF(HY100&gt;0,HY100,IF(ROUND(EA100*$J100,6)&lt;ROUND($M100,6),EA100,0)))</f>
        <v/>
      </c>
      <c r="IA100" s="68">
        <f>IF(OR($U100=0,$F100&lt;&gt;2),0,IF(HZ100&gt;0,HZ100,IF(ROUND(EB100*$J100,6)&lt;ROUND($M100,6),EB100,0)))</f>
        <v/>
      </c>
      <c r="IB100" s="68">
        <f>IF(OR($U100=0,$F100&lt;&gt;2),0,IF(IA100&gt;0,IA100,IF(ROUND(EC100*$J100,6)&lt;ROUND($M100,6),EC100,0)))</f>
        <v/>
      </c>
      <c r="IC100" s="68">
        <f>IF(OR($U100=0,$F100&lt;&gt;2),0,IF(IB100&gt;0,IB100,IF(ROUND(ED100*$J100,6)&lt;ROUND($M100,6),ED100,0)))</f>
        <v/>
      </c>
      <c r="ID100" s="68">
        <f>IF(OR($U100=0,$F100&lt;&gt;2),0,IF(IC100&gt;0,IC100,IF(ROUND(EE100*$J100,6)&lt;ROUND($M100,6),EE100,0)))</f>
        <v/>
      </c>
      <c r="IE100" s="68">
        <f>IF(OR($U100=0,$F100&lt;&gt;2),0,IF(ID100&gt;0,ID100,IF(ROUND(EF100*$J100,6)&lt;ROUND($M100,6),EF100,0)))</f>
        <v/>
      </c>
      <c r="IF100" s="68">
        <f>IF(OR($U100=0,$F100&lt;&gt;2),0,IF(IE100&gt;0,IE100,IF(ROUND(EG100*$J100,6)&lt;ROUND($M100,6),EG100,0)))</f>
        <v/>
      </c>
      <c r="IG100" s="68">
        <f>IF(OR($U100=0,$F100&lt;&gt;2),0,IF(IF100&gt;0,IF100,IF(ROUND(EH100*$J100,6)&lt;ROUND($M100,6),EH100,0)))</f>
        <v/>
      </c>
      <c r="IH100" s="68">
        <f>IF(OR($U100=0,$F100&lt;&gt;2),0,IF(IG100&gt;0,IG100,IF(ROUND(EI100*$J100,6)&lt;ROUND($M100,6),EI100,0)))</f>
        <v/>
      </c>
      <c r="II100" s="68">
        <f>IF(OR($U100=0,$F100&lt;&gt;2),0,IF(IH100&gt;0,IH100,IF(ROUND(EJ100*$J100,6)&lt;ROUND($M100,6),EJ100,0)))</f>
        <v/>
      </c>
      <c r="IJ100" s="68">
        <f>IF(OR($U100=0,$F100&lt;&gt;2),0,IF(II100&gt;0,II100,IF(ROUND(EK100*$J100,6)&lt;ROUND($M100,6),EK100,0)))</f>
        <v/>
      </c>
      <c r="IK100" s="68">
        <f>IF(OR($U100=0,$F100&lt;&gt;2),0,IF(IJ100&gt;0,IJ100,IF(ROUND(EL100*$J100,6)&lt;ROUND($M100,6),EL100,0)))</f>
        <v/>
      </c>
      <c r="IL100" s="68">
        <f>IF(OR($U100=0,$F100&lt;&gt;2),0,IF(IK100&gt;0,IK100,IF(ROUND(EM100*$J100,6)&lt;ROUND($M100,6),EM100,0)))</f>
        <v/>
      </c>
      <c r="IM100" s="68">
        <f>IF(OR($U100=0,$F100&lt;&gt;2),0,IF(IL100&gt;0,IL100,IF(ROUND(EN100*$J100,6)&lt;ROUND($M100,6),EN100,0)))</f>
        <v/>
      </c>
      <c r="IN100" s="68">
        <f>IF(OR($U100=0,$F100&lt;&gt;2),0,IF(IM100&gt;0,IM100,IF(ROUND(EO100*$J100,6)&lt;ROUND($M100,6),EO100,0)))</f>
        <v/>
      </c>
    </row>
    <row r="101">
      <c r="A101" s="68" t="n">
        <v>96</v>
      </c>
      <c r="B101" s="68">
        <f>IF(OR(TRIM('固定資産台帳'!$B101)&lt;&gt;"",'固定資産台帳'!$E101&lt;&gt;"",'固定資産台帳'!$G101&lt;&gt;"",'固定資産台帳'!$H101&lt;&gt;""),1,0)</f>
        <v/>
      </c>
      <c r="C101" s="68">
        <f>IF(ISNUMBER('固定資産台帳'!$G101),MAX(ROUND('固定資産台帳'!$G101,0),0),0)</f>
        <v/>
      </c>
      <c r="D101" s="84">
        <f>IF(ISNUMBER('固定資産台帳'!$E101),INT('固定資産台帳'!$E101),0)</f>
        <v/>
      </c>
      <c r="E101" s="84">
        <f>IF(ISNUMBER('固定資産台帳'!$F101),INT('固定資産台帳'!$F101),$D101)</f>
        <v/>
      </c>
      <c r="F101" s="68">
        <f>IF('固定資産台帳'!$H101="定額法",1,IF(OR('固定資産台帳'!$H101="定率法",'固定資産台帳'!$H101="定率法（200%）",'固定資産台帳'!$H101="定率法（250%）"),2,IF('固定資産台帳'!$H101="一括償却（3年）",3,IF('固定資産台帳'!$H101="少額特例",4,0))))</f>
        <v/>
      </c>
      <c r="G101" s="68">
        <f>IF('固定資産台帳'!$H101="定率法（250%）",250,IF('固定資産台帳'!$H101="定率法（200%）",200,IF($D101&gt;=DATE(2012,4,1),200,250)))</f>
        <v/>
      </c>
      <c r="H101" s="68">
        <f>IF(ISNUMBER('固定資産台帳'!$I101),IF(AND('固定資産台帳'!$I101&gt;=2,'固定資産台帳'!$I101&lt;=100,'固定資産台帳'!$I101=INT('固定資産台帳'!$I101)),'固定資産台帳'!$I101,0),0)</f>
        <v/>
      </c>
      <c r="I101" s="68">
        <f>IF('固定資産台帳'!$C101="無形固定資産",0,1)</f>
        <v/>
      </c>
      <c r="J101" s="68">
        <f>IF(OR($H101=0,$F101=0,$F101&gt;2),0,IF($F101=1,INDEX('償却率表'!$B$6:$B$104,$H101-1),IF($G101=200,INDEX('償却率表'!$C$6:$C$104,$H101-1),INDEX('償却率表'!$F$6:$F$104,$H101-1))))</f>
        <v/>
      </c>
      <c r="K101" s="68">
        <f>IF(AND($F101=2,$H101&gt;0),IF($G101=200,INDEX('償却率表'!$D$6:$D$104,$H101-1),INDEX('償却率表'!$G$6:$G$104,$H101-1)),0)</f>
        <v/>
      </c>
      <c r="L101" s="68">
        <f>IF(AND($F101=2,$H101&gt;0),IF($G101=200,INDEX('償却率表'!$E$6:$E$104,$H101-1),INDEX('償却率表'!$H$6:$H$104,$H101-1)),0)</f>
        <v/>
      </c>
      <c r="M101" s="68">
        <f>$C101*$L101</f>
        <v/>
      </c>
      <c r="N101" s="68">
        <f>IF($B$1=1,1,IF('固定資産台帳'!$J101="",1,IF(ISNUMBER('固定資産台帳'!$J101),IF(AND('固定資産台帳'!$J101&gt;0,'固定資産台帳'!$J101&lt;=1),'固定資産台帳'!$J101,0),0)))</f>
        <v/>
      </c>
      <c r="O101" s="68">
        <f>IF($E101=0,0,YEAR($E101)-IF(MONTH($E101)&lt;$B$2,1,0))</f>
        <v/>
      </c>
      <c r="P101" s="68">
        <f>IF($E101=0,0,12-MOD(MONTH($E101)-$B$2,12))</f>
        <v/>
      </c>
      <c r="Q101" s="84">
        <f>IF(ISNUMBER('固定資産台帳'!$K101),INT('固定資産台帳'!$K101),0)</f>
        <v/>
      </c>
      <c r="R101" s="68">
        <f>IF(OR($Q101=0,$E101=0),999,YEAR($Q101)-IF(MONTH($Q101)&lt;$B$2,1,0)-$O101)</f>
        <v/>
      </c>
      <c r="S101" s="68">
        <f>IF($R101=999,0,MOD(MONTH($Q101)-$B$2,12)+1-IF($R101=0,12-$P101,0))</f>
        <v/>
      </c>
      <c r="T101" s="68">
        <f>IF($B101=0,0,IF($C101&lt;=0,1,IF($D101=0,2,IF($F101=0,3,IF(AND($F101&lt;=2,$H101=0),4,IF(AND($F101&lt;=2,$D101&lt;DATE(2007,4,1)),5,IF($E101&lt;$D101,6,IF(AND($Q101&gt;0,$Q101&lt;$E101),7,IF($N101=0,8,IF($B$3=0,9,0))))))))))</f>
        <v/>
      </c>
      <c r="U101" s="68">
        <f>IF(AND($B101=1,$T101=0),1,0)</f>
        <v/>
      </c>
      <c r="V101" s="68">
        <f>$B$3-$O101</f>
        <v/>
      </c>
      <c r="W101" s="68">
        <f>IF(AND($U101=1,$V101&gt;=0),1,0)</f>
        <v/>
      </c>
      <c r="X101" s="68">
        <f>IF($W101=0,0,IF($V101=0,$C101,INDEX($AS101:$EP101,MIN($V101,102))))</f>
        <v/>
      </c>
      <c r="Y101" s="68">
        <f>IF($W101=0,0,INDEX($AS101:$EP101,MIN($V101,101)+1))</f>
        <v/>
      </c>
      <c r="Z101" s="68">
        <f>$X101-$Y101</f>
        <v/>
      </c>
      <c r="AA101" s="68">
        <f>IF(AND($W101=1,$F101=2,$V101&gt;=1),INDEX($ER101:$IN101,MIN($V101,101)),0)</f>
        <v/>
      </c>
      <c r="AB101" s="68">
        <f>IF(OR($W101=0,$F101&gt;2,$Z101=0),0,IF($V101=0,IF($R101=0,$S101,$P101),IF($V101=$R101,$S101,12)))</f>
        <v/>
      </c>
      <c r="AC101" s="68">
        <f>IF($W101=0,0,INT(ROUND($Z101*$N101,6)+$B$4))</f>
        <v/>
      </c>
      <c r="AD101" s="68">
        <f>IF(AND($W101=1,$F101&lt;=2,$V101=$R101),1,0)</f>
        <v/>
      </c>
      <c r="AE101" s="68">
        <f>IF(AND($W101=1,$F101&lt;=2,$V101&gt;$R101),1,0)</f>
        <v/>
      </c>
      <c r="AF101" s="68">
        <f>IF(AND($W101=1,$AE101=0,OR($Z101&gt;0,$AD101=1)),1,0)</f>
        <v/>
      </c>
      <c r="AG101" s="68">
        <f>IF($AF101=1,SUM($AF$6:$AF101),0)</f>
        <v/>
      </c>
      <c r="AH101" s="68">
        <f>IF($T101=0,"",CHOOSE($T101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01" s="68">
        <f>IF(AND($F101=2,OR('固定資産台帳'!$C101="建物",'固定資産台帳'!$C101="無形固定資産",AND(OR('固定資産台帳'!$C101="建物附属設備",'固定資産台帳'!$C101="構築物"),$D101&gt;=DATE(2016,4,1)))),"この資産は定額法だけです（定率法は使えません）。","")&amp;IF(AND($F101=3,$C101&gt;=200000),"一括償却は20万円未満の資産だけです。","")&amp;IF(AND($F101=3,$B$1=0,$C101&lt;100000),"10万円未満は一括償却にせず、全額をその年の経費にします。","")&amp;IF(AND($F101=4,$C101&lt;100000),"10万円未満は少額特例ではなく、全額をその年の経費にします。","")&amp;IF(AND($F101=4,$D101&lt;DATE(2026,4,1),$C101&gt;=300000),"2026年3月31日までの取得で少額特例が使えるのは30万円未満です。","")&amp;IF(AND($F101=4,$D101&gt;=DATE(2026,4,1),$C101&gt;=400000),"少額特例は40万円未満の資産だけです。","")&amp;IF(AND($F101=4,OR($D101&lt;DATE(2006,4,1),$D101&gt;DATE(2029,3,31))),"少額特例は2006年4月1日〜2029年3月31日に取得した資産だけです。","")&amp;IF(AND($F101=2,$G101=250,$D101&gt;DATE(2012,12,31)),"250%定率法は2012年12月31日までの取得だけです。","")</f>
        <v/>
      </c>
      <c r="AJ101" s="68">
        <f>IF(AND($F101=2,'固定資産台帳'!$H101="定率法（200%）",$D101&lt;DATE(2012,4,1)),"2012年3月31日までの取得に200%を使うのは、経過措置の届出をした場合です。","")&amp;IF(AND($F101=2,'固定資産台帳'!$H101="定率法（250%）",$D101&gt;=DATE(2012,4,1),$D101&lt;=DATE(2012,12,31)),"2012年4〜12月の取得に250%を使うのは、経過措置を選んだ場合です。","")</f>
        <v/>
      </c>
      <c r="AK101" s="68">
        <f>IF($U101=0,"",IF($V101&lt;0,"表示している年より後に使い始める資産です。",IF($AE101=1,"売却・除却済みです。",IF($AD101=1,"この年に売却・除却。期末の帳簿価額 "&amp;TEXT($Y101,"#,##0")&amp;"円を帳簿から外します。",IF($F101=4,IF($V101=0,"少額特例：この年に全額を経費にします。","少額特例で経費にした資産です。"),IF($F101=3,IF($V101&gt;2,"一括償却は終わっています。","一括償却 "&amp;($V101+1)&amp;"年目（3年のうち）。"),IF($Z101=0,"償却済み（帳簿価額 "&amp;TEXT($Y101,"#,##0")&amp;"円）。",IF($AA101&gt;0,"改定償却率で計算（改定取得価額 "&amp;TEXT($AA101,"#,##0")&amp;"円）。",IF($V101=0,"この年に使い始め（"&amp;$AB101&amp;"か月分）。","")))))))))</f>
        <v/>
      </c>
      <c r="AL101" s="68">
        <f>IF(AND($U101=1,$F101=4,$V101=0),$C101,0)</f>
        <v/>
      </c>
      <c r="AM101" s="68">
        <f>IF($F101=2,INT(ROUND($M101,6)+$B$4),0)</f>
        <v/>
      </c>
      <c r="AN101" s="68">
        <f>IF($W101=0,0,IF($F101=2,IF($AA101&gt;0,$AA101,$X101),$C101))</f>
        <v/>
      </c>
      <c r="AO101" s="68">
        <f>IF($W101=0,"",IF($F101=3,"1/3",IF($F101=4,"―",IF($AA101&gt;0,$K101,$J101))))</f>
        <v/>
      </c>
      <c r="AP101" s="68" t="n"/>
      <c r="AQ101" s="68" t="n"/>
      <c r="AR101" s="68" t="n"/>
      <c r="AS101" s="68">
        <f>IF($U101=0,0,IF($F101=4,0,IF($F101=3,MAX($C101-INT(ROUND($C101/3,6)+$B$4),0),$C101-MIN(INT(ROUND($C101*$J101*IF($R101=0,$S101,$P101)/12,6)+$B$4),MAX($C101-$I101,0)))))</f>
        <v/>
      </c>
      <c r="AT101" s="68">
        <f>IF($U101=0,0,IF($F101=4,0,IF($F101=3,AS101-MIN(INT(ROUND($C101/3,6)+$B$4),AS101),IF(OR(1&gt;$R101,AS101&lt;=$I101),AS101,AS101-MIN(INT(ROUND(IF($F101=1,$C101*$J101,IF(ER101&gt;0,ER101*$K101,AS101*$J101))*IF(1=$R101,$S101,12)/12,6)+$B$4),AS101-$I101)))))</f>
        <v/>
      </c>
      <c r="AU101" s="68">
        <f>IF($U101=0,0,IF($F101=4,0,IF($F101=3,0,IF(OR(2&gt;$R101,AT101&lt;=$I101),AT101,AT101-MIN(INT(ROUND(IF($F101=1,$C101*$J101,IF(ES101&gt;0,ES101*$K101,AT101*$J101))*IF(2=$R101,$S101,12)/12,6)+$B$4),AT101-$I101)))))</f>
        <v/>
      </c>
      <c r="AV101" s="68">
        <f>IF($U101=0,0,IF($F101=4,0,IF($F101=3,0,IF(OR(3&gt;$R101,AU101&lt;=$I101),AU101,AU101-MIN(INT(ROUND(IF($F101=1,$C101*$J101,IF(ET101&gt;0,ET101*$K101,AU101*$J101))*IF(3=$R101,$S101,12)/12,6)+$B$4),AU101-$I101)))))</f>
        <v/>
      </c>
      <c r="AW101" s="68">
        <f>IF($U101=0,0,IF($F101=4,0,IF($F101=3,0,IF(OR(4&gt;$R101,AV101&lt;=$I101),AV101,AV101-MIN(INT(ROUND(IF($F101=1,$C101*$J101,IF(EU101&gt;0,EU101*$K101,AV101*$J101))*IF(4=$R101,$S101,12)/12,6)+$B$4),AV101-$I101)))))</f>
        <v/>
      </c>
      <c r="AX101" s="68">
        <f>IF($U101=0,0,IF($F101=4,0,IF($F101=3,0,IF(OR(5&gt;$R101,AW101&lt;=$I101),AW101,AW101-MIN(INT(ROUND(IF($F101=1,$C101*$J101,IF(EV101&gt;0,EV101*$K101,AW101*$J101))*IF(5=$R101,$S101,12)/12,6)+$B$4),AW101-$I101)))))</f>
        <v/>
      </c>
      <c r="AY101" s="68">
        <f>IF($U101=0,0,IF($F101=4,0,IF($F101=3,0,IF(OR(6&gt;$R101,AX101&lt;=$I101),AX101,AX101-MIN(INT(ROUND(IF($F101=1,$C101*$J101,IF(EW101&gt;0,EW101*$K101,AX101*$J101))*IF(6=$R101,$S101,12)/12,6)+$B$4),AX101-$I101)))))</f>
        <v/>
      </c>
      <c r="AZ101" s="68">
        <f>IF($U101=0,0,IF($F101=4,0,IF($F101=3,0,IF(OR(7&gt;$R101,AY101&lt;=$I101),AY101,AY101-MIN(INT(ROUND(IF($F101=1,$C101*$J101,IF(EX101&gt;0,EX101*$K101,AY101*$J101))*IF(7=$R101,$S101,12)/12,6)+$B$4),AY101-$I101)))))</f>
        <v/>
      </c>
      <c r="BA101" s="68">
        <f>IF($U101=0,0,IF($F101=4,0,IF($F101=3,0,IF(OR(8&gt;$R101,AZ101&lt;=$I101),AZ101,AZ101-MIN(INT(ROUND(IF($F101=1,$C101*$J101,IF(EY101&gt;0,EY101*$K101,AZ101*$J101))*IF(8=$R101,$S101,12)/12,6)+$B$4),AZ101-$I101)))))</f>
        <v/>
      </c>
      <c r="BB101" s="68">
        <f>IF($U101=0,0,IF($F101=4,0,IF($F101=3,0,IF(OR(9&gt;$R101,BA101&lt;=$I101),BA101,BA101-MIN(INT(ROUND(IF($F101=1,$C101*$J101,IF(EZ101&gt;0,EZ101*$K101,BA101*$J101))*IF(9=$R101,$S101,12)/12,6)+$B$4),BA101-$I101)))))</f>
        <v/>
      </c>
      <c r="BC101" s="68">
        <f>IF($U101=0,0,IF($F101=4,0,IF($F101=3,0,IF(OR(10&gt;$R101,BB101&lt;=$I101),BB101,BB101-MIN(INT(ROUND(IF($F101=1,$C101*$J101,IF(FA101&gt;0,FA101*$K101,BB101*$J101))*IF(10=$R101,$S101,12)/12,6)+$B$4),BB101-$I101)))))</f>
        <v/>
      </c>
      <c r="BD101" s="68">
        <f>IF($U101=0,0,IF($F101=4,0,IF($F101=3,0,IF(OR(11&gt;$R101,BC101&lt;=$I101),BC101,BC101-MIN(INT(ROUND(IF($F101=1,$C101*$J101,IF(FB101&gt;0,FB101*$K101,BC101*$J101))*IF(11=$R101,$S101,12)/12,6)+$B$4),BC101-$I101)))))</f>
        <v/>
      </c>
      <c r="BE101" s="68">
        <f>IF($U101=0,0,IF($F101=4,0,IF($F101=3,0,IF(OR(12&gt;$R101,BD101&lt;=$I101),BD101,BD101-MIN(INT(ROUND(IF($F101=1,$C101*$J101,IF(FC101&gt;0,FC101*$K101,BD101*$J101))*IF(12=$R101,$S101,12)/12,6)+$B$4),BD101-$I101)))))</f>
        <v/>
      </c>
      <c r="BF101" s="68">
        <f>IF($U101=0,0,IF($F101=4,0,IF($F101=3,0,IF(OR(13&gt;$R101,BE101&lt;=$I101),BE101,BE101-MIN(INT(ROUND(IF($F101=1,$C101*$J101,IF(FD101&gt;0,FD101*$K101,BE101*$J101))*IF(13=$R101,$S101,12)/12,6)+$B$4),BE101-$I101)))))</f>
        <v/>
      </c>
      <c r="BG101" s="68">
        <f>IF($U101=0,0,IF($F101=4,0,IF($F101=3,0,IF(OR(14&gt;$R101,BF101&lt;=$I101),BF101,BF101-MIN(INT(ROUND(IF($F101=1,$C101*$J101,IF(FE101&gt;0,FE101*$K101,BF101*$J101))*IF(14=$R101,$S101,12)/12,6)+$B$4),BF101-$I101)))))</f>
        <v/>
      </c>
      <c r="BH101" s="68">
        <f>IF($U101=0,0,IF($F101=4,0,IF($F101=3,0,IF(OR(15&gt;$R101,BG101&lt;=$I101),BG101,BG101-MIN(INT(ROUND(IF($F101=1,$C101*$J101,IF(FF101&gt;0,FF101*$K101,BG101*$J101))*IF(15=$R101,$S101,12)/12,6)+$B$4),BG101-$I101)))))</f>
        <v/>
      </c>
      <c r="BI101" s="68">
        <f>IF($U101=0,0,IF($F101=4,0,IF($F101=3,0,IF(OR(16&gt;$R101,BH101&lt;=$I101),BH101,BH101-MIN(INT(ROUND(IF($F101=1,$C101*$J101,IF(FG101&gt;0,FG101*$K101,BH101*$J101))*IF(16=$R101,$S101,12)/12,6)+$B$4),BH101-$I101)))))</f>
        <v/>
      </c>
      <c r="BJ101" s="68">
        <f>IF($U101=0,0,IF($F101=4,0,IF($F101=3,0,IF(OR(17&gt;$R101,BI101&lt;=$I101),BI101,BI101-MIN(INT(ROUND(IF($F101=1,$C101*$J101,IF(FH101&gt;0,FH101*$K101,BI101*$J101))*IF(17=$R101,$S101,12)/12,6)+$B$4),BI101-$I101)))))</f>
        <v/>
      </c>
      <c r="BK101" s="68">
        <f>IF($U101=0,0,IF($F101=4,0,IF($F101=3,0,IF(OR(18&gt;$R101,BJ101&lt;=$I101),BJ101,BJ101-MIN(INT(ROUND(IF($F101=1,$C101*$J101,IF(FI101&gt;0,FI101*$K101,BJ101*$J101))*IF(18=$R101,$S101,12)/12,6)+$B$4),BJ101-$I101)))))</f>
        <v/>
      </c>
      <c r="BL101" s="68">
        <f>IF($U101=0,0,IF($F101=4,0,IF($F101=3,0,IF(OR(19&gt;$R101,BK101&lt;=$I101),BK101,BK101-MIN(INT(ROUND(IF($F101=1,$C101*$J101,IF(FJ101&gt;0,FJ101*$K101,BK101*$J101))*IF(19=$R101,$S101,12)/12,6)+$B$4),BK101-$I101)))))</f>
        <v/>
      </c>
      <c r="BM101" s="68">
        <f>IF($U101=0,0,IF($F101=4,0,IF($F101=3,0,IF(OR(20&gt;$R101,BL101&lt;=$I101),BL101,BL101-MIN(INT(ROUND(IF($F101=1,$C101*$J101,IF(FK101&gt;0,FK101*$K101,BL101*$J101))*IF(20=$R101,$S101,12)/12,6)+$B$4),BL101-$I101)))))</f>
        <v/>
      </c>
      <c r="BN101" s="68">
        <f>IF($U101=0,0,IF($F101=4,0,IF($F101=3,0,IF(OR(21&gt;$R101,BM101&lt;=$I101),BM101,BM101-MIN(INT(ROUND(IF($F101=1,$C101*$J101,IF(FL101&gt;0,FL101*$K101,BM101*$J101))*IF(21=$R101,$S101,12)/12,6)+$B$4),BM101-$I101)))))</f>
        <v/>
      </c>
      <c r="BO101" s="68">
        <f>IF($U101=0,0,IF($F101=4,0,IF($F101=3,0,IF(OR(22&gt;$R101,BN101&lt;=$I101),BN101,BN101-MIN(INT(ROUND(IF($F101=1,$C101*$J101,IF(FM101&gt;0,FM101*$K101,BN101*$J101))*IF(22=$R101,$S101,12)/12,6)+$B$4),BN101-$I101)))))</f>
        <v/>
      </c>
      <c r="BP101" s="68">
        <f>IF($U101=0,0,IF($F101=4,0,IF($F101=3,0,IF(OR(23&gt;$R101,BO101&lt;=$I101),BO101,BO101-MIN(INT(ROUND(IF($F101=1,$C101*$J101,IF(FN101&gt;0,FN101*$K101,BO101*$J101))*IF(23=$R101,$S101,12)/12,6)+$B$4),BO101-$I101)))))</f>
        <v/>
      </c>
      <c r="BQ101" s="68">
        <f>IF($U101=0,0,IF($F101=4,0,IF($F101=3,0,IF(OR(24&gt;$R101,BP101&lt;=$I101),BP101,BP101-MIN(INT(ROUND(IF($F101=1,$C101*$J101,IF(FO101&gt;0,FO101*$K101,BP101*$J101))*IF(24=$R101,$S101,12)/12,6)+$B$4),BP101-$I101)))))</f>
        <v/>
      </c>
      <c r="BR101" s="68">
        <f>IF($U101=0,0,IF($F101=4,0,IF($F101=3,0,IF(OR(25&gt;$R101,BQ101&lt;=$I101),BQ101,BQ101-MIN(INT(ROUND(IF($F101=1,$C101*$J101,IF(FP101&gt;0,FP101*$K101,BQ101*$J101))*IF(25=$R101,$S101,12)/12,6)+$B$4),BQ101-$I101)))))</f>
        <v/>
      </c>
      <c r="BS101" s="68">
        <f>IF($U101=0,0,IF($F101=4,0,IF($F101=3,0,IF(OR(26&gt;$R101,BR101&lt;=$I101),BR101,BR101-MIN(INT(ROUND(IF($F101=1,$C101*$J101,IF(FQ101&gt;0,FQ101*$K101,BR101*$J101))*IF(26=$R101,$S101,12)/12,6)+$B$4),BR101-$I101)))))</f>
        <v/>
      </c>
      <c r="BT101" s="68">
        <f>IF($U101=0,0,IF($F101=4,0,IF($F101=3,0,IF(OR(27&gt;$R101,BS101&lt;=$I101),BS101,BS101-MIN(INT(ROUND(IF($F101=1,$C101*$J101,IF(FR101&gt;0,FR101*$K101,BS101*$J101))*IF(27=$R101,$S101,12)/12,6)+$B$4),BS101-$I101)))))</f>
        <v/>
      </c>
      <c r="BU101" s="68">
        <f>IF($U101=0,0,IF($F101=4,0,IF($F101=3,0,IF(OR(28&gt;$R101,BT101&lt;=$I101),BT101,BT101-MIN(INT(ROUND(IF($F101=1,$C101*$J101,IF(FS101&gt;0,FS101*$K101,BT101*$J101))*IF(28=$R101,$S101,12)/12,6)+$B$4),BT101-$I101)))))</f>
        <v/>
      </c>
      <c r="BV101" s="68">
        <f>IF($U101=0,0,IF($F101=4,0,IF($F101=3,0,IF(OR(29&gt;$R101,BU101&lt;=$I101),BU101,BU101-MIN(INT(ROUND(IF($F101=1,$C101*$J101,IF(FT101&gt;0,FT101*$K101,BU101*$J101))*IF(29=$R101,$S101,12)/12,6)+$B$4),BU101-$I101)))))</f>
        <v/>
      </c>
      <c r="BW101" s="68">
        <f>IF($U101=0,0,IF($F101=4,0,IF($F101=3,0,IF(OR(30&gt;$R101,BV101&lt;=$I101),BV101,BV101-MIN(INT(ROUND(IF($F101=1,$C101*$J101,IF(FU101&gt;0,FU101*$K101,BV101*$J101))*IF(30=$R101,$S101,12)/12,6)+$B$4),BV101-$I101)))))</f>
        <v/>
      </c>
      <c r="BX101" s="68">
        <f>IF($U101=0,0,IF($F101=4,0,IF($F101=3,0,IF(OR(31&gt;$R101,BW101&lt;=$I101),BW101,BW101-MIN(INT(ROUND(IF($F101=1,$C101*$J101,IF(FV101&gt;0,FV101*$K101,BW101*$J101))*IF(31=$R101,$S101,12)/12,6)+$B$4),BW101-$I101)))))</f>
        <v/>
      </c>
      <c r="BY101" s="68">
        <f>IF($U101=0,0,IF($F101=4,0,IF($F101=3,0,IF(OR(32&gt;$R101,BX101&lt;=$I101),BX101,BX101-MIN(INT(ROUND(IF($F101=1,$C101*$J101,IF(FW101&gt;0,FW101*$K101,BX101*$J101))*IF(32=$R101,$S101,12)/12,6)+$B$4),BX101-$I101)))))</f>
        <v/>
      </c>
      <c r="BZ101" s="68">
        <f>IF($U101=0,0,IF($F101=4,0,IF($F101=3,0,IF(OR(33&gt;$R101,BY101&lt;=$I101),BY101,BY101-MIN(INT(ROUND(IF($F101=1,$C101*$J101,IF(FX101&gt;0,FX101*$K101,BY101*$J101))*IF(33=$R101,$S101,12)/12,6)+$B$4),BY101-$I101)))))</f>
        <v/>
      </c>
      <c r="CA101" s="68">
        <f>IF($U101=0,0,IF($F101=4,0,IF($F101=3,0,IF(OR(34&gt;$R101,BZ101&lt;=$I101),BZ101,BZ101-MIN(INT(ROUND(IF($F101=1,$C101*$J101,IF(FY101&gt;0,FY101*$K101,BZ101*$J101))*IF(34=$R101,$S101,12)/12,6)+$B$4),BZ101-$I101)))))</f>
        <v/>
      </c>
      <c r="CB101" s="68">
        <f>IF($U101=0,0,IF($F101=4,0,IF($F101=3,0,IF(OR(35&gt;$R101,CA101&lt;=$I101),CA101,CA101-MIN(INT(ROUND(IF($F101=1,$C101*$J101,IF(FZ101&gt;0,FZ101*$K101,CA101*$J101))*IF(35=$R101,$S101,12)/12,6)+$B$4),CA101-$I101)))))</f>
        <v/>
      </c>
      <c r="CC101" s="68">
        <f>IF($U101=0,0,IF($F101=4,0,IF($F101=3,0,IF(OR(36&gt;$R101,CB101&lt;=$I101),CB101,CB101-MIN(INT(ROUND(IF($F101=1,$C101*$J101,IF(GA101&gt;0,GA101*$K101,CB101*$J101))*IF(36=$R101,$S101,12)/12,6)+$B$4),CB101-$I101)))))</f>
        <v/>
      </c>
      <c r="CD101" s="68">
        <f>IF($U101=0,0,IF($F101=4,0,IF($F101=3,0,IF(OR(37&gt;$R101,CC101&lt;=$I101),CC101,CC101-MIN(INT(ROUND(IF($F101=1,$C101*$J101,IF(GB101&gt;0,GB101*$K101,CC101*$J101))*IF(37=$R101,$S101,12)/12,6)+$B$4),CC101-$I101)))))</f>
        <v/>
      </c>
      <c r="CE101" s="68">
        <f>IF($U101=0,0,IF($F101=4,0,IF($F101=3,0,IF(OR(38&gt;$R101,CD101&lt;=$I101),CD101,CD101-MIN(INT(ROUND(IF($F101=1,$C101*$J101,IF(GC101&gt;0,GC101*$K101,CD101*$J101))*IF(38=$R101,$S101,12)/12,6)+$B$4),CD101-$I101)))))</f>
        <v/>
      </c>
      <c r="CF101" s="68">
        <f>IF($U101=0,0,IF($F101=4,0,IF($F101=3,0,IF(OR(39&gt;$R101,CE101&lt;=$I101),CE101,CE101-MIN(INT(ROUND(IF($F101=1,$C101*$J101,IF(GD101&gt;0,GD101*$K101,CE101*$J101))*IF(39=$R101,$S101,12)/12,6)+$B$4),CE101-$I101)))))</f>
        <v/>
      </c>
      <c r="CG101" s="68">
        <f>IF($U101=0,0,IF($F101=4,0,IF($F101=3,0,IF(OR(40&gt;$R101,CF101&lt;=$I101),CF101,CF101-MIN(INT(ROUND(IF($F101=1,$C101*$J101,IF(GE101&gt;0,GE101*$K101,CF101*$J101))*IF(40=$R101,$S101,12)/12,6)+$B$4),CF101-$I101)))))</f>
        <v/>
      </c>
      <c r="CH101" s="68">
        <f>IF($U101=0,0,IF($F101=4,0,IF($F101=3,0,IF(OR(41&gt;$R101,CG101&lt;=$I101),CG101,CG101-MIN(INT(ROUND(IF($F101=1,$C101*$J101,IF(GF101&gt;0,GF101*$K101,CG101*$J101))*IF(41=$R101,$S101,12)/12,6)+$B$4),CG101-$I101)))))</f>
        <v/>
      </c>
      <c r="CI101" s="68">
        <f>IF($U101=0,0,IF($F101=4,0,IF($F101=3,0,IF(OR(42&gt;$R101,CH101&lt;=$I101),CH101,CH101-MIN(INT(ROUND(IF($F101=1,$C101*$J101,IF(GG101&gt;0,GG101*$K101,CH101*$J101))*IF(42=$R101,$S101,12)/12,6)+$B$4),CH101-$I101)))))</f>
        <v/>
      </c>
      <c r="CJ101" s="68">
        <f>IF($U101=0,0,IF($F101=4,0,IF($F101=3,0,IF(OR(43&gt;$R101,CI101&lt;=$I101),CI101,CI101-MIN(INT(ROUND(IF($F101=1,$C101*$J101,IF(GH101&gt;0,GH101*$K101,CI101*$J101))*IF(43=$R101,$S101,12)/12,6)+$B$4),CI101-$I101)))))</f>
        <v/>
      </c>
      <c r="CK101" s="68">
        <f>IF($U101=0,0,IF($F101=4,0,IF($F101=3,0,IF(OR(44&gt;$R101,CJ101&lt;=$I101),CJ101,CJ101-MIN(INT(ROUND(IF($F101=1,$C101*$J101,IF(GI101&gt;0,GI101*$K101,CJ101*$J101))*IF(44=$R101,$S101,12)/12,6)+$B$4),CJ101-$I101)))))</f>
        <v/>
      </c>
      <c r="CL101" s="68">
        <f>IF($U101=0,0,IF($F101=4,0,IF($F101=3,0,IF(OR(45&gt;$R101,CK101&lt;=$I101),CK101,CK101-MIN(INT(ROUND(IF($F101=1,$C101*$J101,IF(GJ101&gt;0,GJ101*$K101,CK101*$J101))*IF(45=$R101,$S101,12)/12,6)+$B$4),CK101-$I101)))))</f>
        <v/>
      </c>
      <c r="CM101" s="68">
        <f>IF($U101=0,0,IF($F101=4,0,IF($F101=3,0,IF(OR(46&gt;$R101,CL101&lt;=$I101),CL101,CL101-MIN(INT(ROUND(IF($F101=1,$C101*$J101,IF(GK101&gt;0,GK101*$K101,CL101*$J101))*IF(46=$R101,$S101,12)/12,6)+$B$4),CL101-$I101)))))</f>
        <v/>
      </c>
      <c r="CN101" s="68">
        <f>IF($U101=0,0,IF($F101=4,0,IF($F101=3,0,IF(OR(47&gt;$R101,CM101&lt;=$I101),CM101,CM101-MIN(INT(ROUND(IF($F101=1,$C101*$J101,IF(GL101&gt;0,GL101*$K101,CM101*$J101))*IF(47=$R101,$S101,12)/12,6)+$B$4),CM101-$I101)))))</f>
        <v/>
      </c>
      <c r="CO101" s="68">
        <f>IF($U101=0,0,IF($F101=4,0,IF($F101=3,0,IF(OR(48&gt;$R101,CN101&lt;=$I101),CN101,CN101-MIN(INT(ROUND(IF($F101=1,$C101*$J101,IF(GM101&gt;0,GM101*$K101,CN101*$J101))*IF(48=$R101,$S101,12)/12,6)+$B$4),CN101-$I101)))))</f>
        <v/>
      </c>
      <c r="CP101" s="68">
        <f>IF($U101=0,0,IF($F101=4,0,IF($F101=3,0,IF(OR(49&gt;$R101,CO101&lt;=$I101),CO101,CO101-MIN(INT(ROUND(IF($F101=1,$C101*$J101,IF(GN101&gt;0,GN101*$K101,CO101*$J101))*IF(49=$R101,$S101,12)/12,6)+$B$4),CO101-$I101)))))</f>
        <v/>
      </c>
      <c r="CQ101" s="68">
        <f>IF($U101=0,0,IF($F101=4,0,IF($F101=3,0,IF(OR(50&gt;$R101,CP101&lt;=$I101),CP101,CP101-MIN(INT(ROUND(IF($F101=1,$C101*$J101,IF(GO101&gt;0,GO101*$K101,CP101*$J101))*IF(50=$R101,$S101,12)/12,6)+$B$4),CP101-$I101)))))</f>
        <v/>
      </c>
      <c r="CR101" s="68">
        <f>IF($U101=0,0,IF($F101=4,0,IF($F101=3,0,IF(OR(51&gt;$R101,CQ101&lt;=$I101),CQ101,CQ101-MIN(INT(ROUND(IF($F101=1,$C101*$J101,IF(GP101&gt;0,GP101*$K101,CQ101*$J101))*IF(51=$R101,$S101,12)/12,6)+$B$4),CQ101-$I101)))))</f>
        <v/>
      </c>
      <c r="CS101" s="68">
        <f>IF($U101=0,0,IF($F101=4,0,IF($F101=3,0,IF(OR(52&gt;$R101,CR101&lt;=$I101),CR101,CR101-MIN(INT(ROUND(IF($F101=1,$C101*$J101,IF(GQ101&gt;0,GQ101*$K101,CR101*$J101))*IF(52=$R101,$S101,12)/12,6)+$B$4),CR101-$I101)))))</f>
        <v/>
      </c>
      <c r="CT101" s="68">
        <f>IF($U101=0,0,IF($F101=4,0,IF($F101=3,0,IF(OR(53&gt;$R101,CS101&lt;=$I101),CS101,CS101-MIN(INT(ROUND(IF($F101=1,$C101*$J101,IF(GR101&gt;0,GR101*$K101,CS101*$J101))*IF(53=$R101,$S101,12)/12,6)+$B$4),CS101-$I101)))))</f>
        <v/>
      </c>
      <c r="CU101" s="68">
        <f>IF($U101=0,0,IF($F101=4,0,IF($F101=3,0,IF(OR(54&gt;$R101,CT101&lt;=$I101),CT101,CT101-MIN(INT(ROUND(IF($F101=1,$C101*$J101,IF(GS101&gt;0,GS101*$K101,CT101*$J101))*IF(54=$R101,$S101,12)/12,6)+$B$4),CT101-$I101)))))</f>
        <v/>
      </c>
      <c r="CV101" s="68">
        <f>IF($U101=0,0,IF($F101=4,0,IF($F101=3,0,IF(OR(55&gt;$R101,CU101&lt;=$I101),CU101,CU101-MIN(INT(ROUND(IF($F101=1,$C101*$J101,IF(GT101&gt;0,GT101*$K101,CU101*$J101))*IF(55=$R101,$S101,12)/12,6)+$B$4),CU101-$I101)))))</f>
        <v/>
      </c>
      <c r="CW101" s="68">
        <f>IF($U101=0,0,IF($F101=4,0,IF($F101=3,0,IF(OR(56&gt;$R101,CV101&lt;=$I101),CV101,CV101-MIN(INT(ROUND(IF($F101=1,$C101*$J101,IF(GU101&gt;0,GU101*$K101,CV101*$J101))*IF(56=$R101,$S101,12)/12,6)+$B$4),CV101-$I101)))))</f>
        <v/>
      </c>
      <c r="CX101" s="68">
        <f>IF($U101=0,0,IF($F101=4,0,IF($F101=3,0,IF(OR(57&gt;$R101,CW101&lt;=$I101),CW101,CW101-MIN(INT(ROUND(IF($F101=1,$C101*$J101,IF(GV101&gt;0,GV101*$K101,CW101*$J101))*IF(57=$R101,$S101,12)/12,6)+$B$4),CW101-$I101)))))</f>
        <v/>
      </c>
      <c r="CY101" s="68">
        <f>IF($U101=0,0,IF($F101=4,0,IF($F101=3,0,IF(OR(58&gt;$R101,CX101&lt;=$I101),CX101,CX101-MIN(INT(ROUND(IF($F101=1,$C101*$J101,IF(GW101&gt;0,GW101*$K101,CX101*$J101))*IF(58=$R101,$S101,12)/12,6)+$B$4),CX101-$I101)))))</f>
        <v/>
      </c>
      <c r="CZ101" s="68">
        <f>IF($U101=0,0,IF($F101=4,0,IF($F101=3,0,IF(OR(59&gt;$R101,CY101&lt;=$I101),CY101,CY101-MIN(INT(ROUND(IF($F101=1,$C101*$J101,IF(GX101&gt;0,GX101*$K101,CY101*$J101))*IF(59=$R101,$S101,12)/12,6)+$B$4),CY101-$I101)))))</f>
        <v/>
      </c>
      <c r="DA101" s="68">
        <f>IF($U101=0,0,IF($F101=4,0,IF($F101=3,0,IF(OR(60&gt;$R101,CZ101&lt;=$I101),CZ101,CZ101-MIN(INT(ROUND(IF($F101=1,$C101*$J101,IF(GY101&gt;0,GY101*$K101,CZ101*$J101))*IF(60=$R101,$S101,12)/12,6)+$B$4),CZ101-$I101)))))</f>
        <v/>
      </c>
      <c r="DB101" s="68">
        <f>IF($U101=0,0,IF($F101=4,0,IF($F101=3,0,IF(OR(61&gt;$R101,DA101&lt;=$I101),DA101,DA101-MIN(INT(ROUND(IF($F101=1,$C101*$J101,IF(GZ101&gt;0,GZ101*$K101,DA101*$J101))*IF(61=$R101,$S101,12)/12,6)+$B$4),DA101-$I101)))))</f>
        <v/>
      </c>
      <c r="DC101" s="68">
        <f>IF($U101=0,0,IF($F101=4,0,IF($F101=3,0,IF(OR(62&gt;$R101,DB101&lt;=$I101),DB101,DB101-MIN(INT(ROUND(IF($F101=1,$C101*$J101,IF(HA101&gt;0,HA101*$K101,DB101*$J101))*IF(62=$R101,$S101,12)/12,6)+$B$4),DB101-$I101)))))</f>
        <v/>
      </c>
      <c r="DD101" s="68">
        <f>IF($U101=0,0,IF($F101=4,0,IF($F101=3,0,IF(OR(63&gt;$R101,DC101&lt;=$I101),DC101,DC101-MIN(INT(ROUND(IF($F101=1,$C101*$J101,IF(HB101&gt;0,HB101*$K101,DC101*$J101))*IF(63=$R101,$S101,12)/12,6)+$B$4),DC101-$I101)))))</f>
        <v/>
      </c>
      <c r="DE101" s="68">
        <f>IF($U101=0,0,IF($F101=4,0,IF($F101=3,0,IF(OR(64&gt;$R101,DD101&lt;=$I101),DD101,DD101-MIN(INT(ROUND(IF($F101=1,$C101*$J101,IF(HC101&gt;0,HC101*$K101,DD101*$J101))*IF(64=$R101,$S101,12)/12,6)+$B$4),DD101-$I101)))))</f>
        <v/>
      </c>
      <c r="DF101" s="68">
        <f>IF($U101=0,0,IF($F101=4,0,IF($F101=3,0,IF(OR(65&gt;$R101,DE101&lt;=$I101),DE101,DE101-MIN(INT(ROUND(IF($F101=1,$C101*$J101,IF(HD101&gt;0,HD101*$K101,DE101*$J101))*IF(65=$R101,$S101,12)/12,6)+$B$4),DE101-$I101)))))</f>
        <v/>
      </c>
      <c r="DG101" s="68">
        <f>IF($U101=0,0,IF($F101=4,0,IF($F101=3,0,IF(OR(66&gt;$R101,DF101&lt;=$I101),DF101,DF101-MIN(INT(ROUND(IF($F101=1,$C101*$J101,IF(HE101&gt;0,HE101*$K101,DF101*$J101))*IF(66=$R101,$S101,12)/12,6)+$B$4),DF101-$I101)))))</f>
        <v/>
      </c>
      <c r="DH101" s="68">
        <f>IF($U101=0,0,IF($F101=4,0,IF($F101=3,0,IF(OR(67&gt;$R101,DG101&lt;=$I101),DG101,DG101-MIN(INT(ROUND(IF($F101=1,$C101*$J101,IF(HF101&gt;0,HF101*$K101,DG101*$J101))*IF(67=$R101,$S101,12)/12,6)+$B$4),DG101-$I101)))))</f>
        <v/>
      </c>
      <c r="DI101" s="68">
        <f>IF($U101=0,0,IF($F101=4,0,IF($F101=3,0,IF(OR(68&gt;$R101,DH101&lt;=$I101),DH101,DH101-MIN(INT(ROUND(IF($F101=1,$C101*$J101,IF(HG101&gt;0,HG101*$K101,DH101*$J101))*IF(68=$R101,$S101,12)/12,6)+$B$4),DH101-$I101)))))</f>
        <v/>
      </c>
      <c r="DJ101" s="68">
        <f>IF($U101=0,0,IF($F101=4,0,IF($F101=3,0,IF(OR(69&gt;$R101,DI101&lt;=$I101),DI101,DI101-MIN(INT(ROUND(IF($F101=1,$C101*$J101,IF(HH101&gt;0,HH101*$K101,DI101*$J101))*IF(69=$R101,$S101,12)/12,6)+$B$4),DI101-$I101)))))</f>
        <v/>
      </c>
      <c r="DK101" s="68">
        <f>IF($U101=0,0,IF($F101=4,0,IF($F101=3,0,IF(OR(70&gt;$R101,DJ101&lt;=$I101),DJ101,DJ101-MIN(INT(ROUND(IF($F101=1,$C101*$J101,IF(HI101&gt;0,HI101*$K101,DJ101*$J101))*IF(70=$R101,$S101,12)/12,6)+$B$4),DJ101-$I101)))))</f>
        <v/>
      </c>
      <c r="DL101" s="68">
        <f>IF($U101=0,0,IF($F101=4,0,IF($F101=3,0,IF(OR(71&gt;$R101,DK101&lt;=$I101),DK101,DK101-MIN(INT(ROUND(IF($F101=1,$C101*$J101,IF(HJ101&gt;0,HJ101*$K101,DK101*$J101))*IF(71=$R101,$S101,12)/12,6)+$B$4),DK101-$I101)))))</f>
        <v/>
      </c>
      <c r="DM101" s="68">
        <f>IF($U101=0,0,IF($F101=4,0,IF($F101=3,0,IF(OR(72&gt;$R101,DL101&lt;=$I101),DL101,DL101-MIN(INT(ROUND(IF($F101=1,$C101*$J101,IF(HK101&gt;0,HK101*$K101,DL101*$J101))*IF(72=$R101,$S101,12)/12,6)+$B$4),DL101-$I101)))))</f>
        <v/>
      </c>
      <c r="DN101" s="68">
        <f>IF($U101=0,0,IF($F101=4,0,IF($F101=3,0,IF(OR(73&gt;$R101,DM101&lt;=$I101),DM101,DM101-MIN(INT(ROUND(IF($F101=1,$C101*$J101,IF(HL101&gt;0,HL101*$K101,DM101*$J101))*IF(73=$R101,$S101,12)/12,6)+$B$4),DM101-$I101)))))</f>
        <v/>
      </c>
      <c r="DO101" s="68">
        <f>IF($U101=0,0,IF($F101=4,0,IF($F101=3,0,IF(OR(74&gt;$R101,DN101&lt;=$I101),DN101,DN101-MIN(INT(ROUND(IF($F101=1,$C101*$J101,IF(HM101&gt;0,HM101*$K101,DN101*$J101))*IF(74=$R101,$S101,12)/12,6)+$B$4),DN101-$I101)))))</f>
        <v/>
      </c>
      <c r="DP101" s="68">
        <f>IF($U101=0,0,IF($F101=4,0,IF($F101=3,0,IF(OR(75&gt;$R101,DO101&lt;=$I101),DO101,DO101-MIN(INT(ROUND(IF($F101=1,$C101*$J101,IF(HN101&gt;0,HN101*$K101,DO101*$J101))*IF(75=$R101,$S101,12)/12,6)+$B$4),DO101-$I101)))))</f>
        <v/>
      </c>
      <c r="DQ101" s="68">
        <f>IF($U101=0,0,IF($F101=4,0,IF($F101=3,0,IF(OR(76&gt;$R101,DP101&lt;=$I101),DP101,DP101-MIN(INT(ROUND(IF($F101=1,$C101*$J101,IF(HO101&gt;0,HO101*$K101,DP101*$J101))*IF(76=$R101,$S101,12)/12,6)+$B$4),DP101-$I101)))))</f>
        <v/>
      </c>
      <c r="DR101" s="68">
        <f>IF($U101=0,0,IF($F101=4,0,IF($F101=3,0,IF(OR(77&gt;$R101,DQ101&lt;=$I101),DQ101,DQ101-MIN(INT(ROUND(IF($F101=1,$C101*$J101,IF(HP101&gt;0,HP101*$K101,DQ101*$J101))*IF(77=$R101,$S101,12)/12,6)+$B$4),DQ101-$I101)))))</f>
        <v/>
      </c>
      <c r="DS101" s="68">
        <f>IF($U101=0,0,IF($F101=4,0,IF($F101=3,0,IF(OR(78&gt;$R101,DR101&lt;=$I101),DR101,DR101-MIN(INT(ROUND(IF($F101=1,$C101*$J101,IF(HQ101&gt;0,HQ101*$K101,DR101*$J101))*IF(78=$R101,$S101,12)/12,6)+$B$4),DR101-$I101)))))</f>
        <v/>
      </c>
      <c r="DT101" s="68">
        <f>IF($U101=0,0,IF($F101=4,0,IF($F101=3,0,IF(OR(79&gt;$R101,DS101&lt;=$I101),DS101,DS101-MIN(INT(ROUND(IF($F101=1,$C101*$J101,IF(HR101&gt;0,HR101*$K101,DS101*$J101))*IF(79=$R101,$S101,12)/12,6)+$B$4),DS101-$I101)))))</f>
        <v/>
      </c>
      <c r="DU101" s="68">
        <f>IF($U101=0,0,IF($F101=4,0,IF($F101=3,0,IF(OR(80&gt;$R101,DT101&lt;=$I101),DT101,DT101-MIN(INT(ROUND(IF($F101=1,$C101*$J101,IF(HS101&gt;0,HS101*$K101,DT101*$J101))*IF(80=$R101,$S101,12)/12,6)+$B$4),DT101-$I101)))))</f>
        <v/>
      </c>
      <c r="DV101" s="68">
        <f>IF($U101=0,0,IF($F101=4,0,IF($F101=3,0,IF(OR(81&gt;$R101,DU101&lt;=$I101),DU101,DU101-MIN(INT(ROUND(IF($F101=1,$C101*$J101,IF(HT101&gt;0,HT101*$K101,DU101*$J101))*IF(81=$R101,$S101,12)/12,6)+$B$4),DU101-$I101)))))</f>
        <v/>
      </c>
      <c r="DW101" s="68">
        <f>IF($U101=0,0,IF($F101=4,0,IF($F101=3,0,IF(OR(82&gt;$R101,DV101&lt;=$I101),DV101,DV101-MIN(INT(ROUND(IF($F101=1,$C101*$J101,IF(HU101&gt;0,HU101*$K101,DV101*$J101))*IF(82=$R101,$S101,12)/12,6)+$B$4),DV101-$I101)))))</f>
        <v/>
      </c>
      <c r="DX101" s="68">
        <f>IF($U101=0,0,IF($F101=4,0,IF($F101=3,0,IF(OR(83&gt;$R101,DW101&lt;=$I101),DW101,DW101-MIN(INT(ROUND(IF($F101=1,$C101*$J101,IF(HV101&gt;0,HV101*$K101,DW101*$J101))*IF(83=$R101,$S101,12)/12,6)+$B$4),DW101-$I101)))))</f>
        <v/>
      </c>
      <c r="DY101" s="68">
        <f>IF($U101=0,0,IF($F101=4,0,IF($F101=3,0,IF(OR(84&gt;$R101,DX101&lt;=$I101),DX101,DX101-MIN(INT(ROUND(IF($F101=1,$C101*$J101,IF(HW101&gt;0,HW101*$K101,DX101*$J101))*IF(84=$R101,$S101,12)/12,6)+$B$4),DX101-$I101)))))</f>
        <v/>
      </c>
      <c r="DZ101" s="68">
        <f>IF($U101=0,0,IF($F101=4,0,IF($F101=3,0,IF(OR(85&gt;$R101,DY101&lt;=$I101),DY101,DY101-MIN(INT(ROUND(IF($F101=1,$C101*$J101,IF(HX101&gt;0,HX101*$K101,DY101*$J101))*IF(85=$R101,$S101,12)/12,6)+$B$4),DY101-$I101)))))</f>
        <v/>
      </c>
      <c r="EA101" s="68">
        <f>IF($U101=0,0,IF($F101=4,0,IF($F101=3,0,IF(OR(86&gt;$R101,DZ101&lt;=$I101),DZ101,DZ101-MIN(INT(ROUND(IF($F101=1,$C101*$J101,IF(HY101&gt;0,HY101*$K101,DZ101*$J101))*IF(86=$R101,$S101,12)/12,6)+$B$4),DZ101-$I101)))))</f>
        <v/>
      </c>
      <c r="EB101" s="68">
        <f>IF($U101=0,0,IF($F101=4,0,IF($F101=3,0,IF(OR(87&gt;$R101,EA101&lt;=$I101),EA101,EA101-MIN(INT(ROUND(IF($F101=1,$C101*$J101,IF(HZ101&gt;0,HZ101*$K101,EA101*$J101))*IF(87=$R101,$S101,12)/12,6)+$B$4),EA101-$I101)))))</f>
        <v/>
      </c>
      <c r="EC101" s="68">
        <f>IF($U101=0,0,IF($F101=4,0,IF($F101=3,0,IF(OR(88&gt;$R101,EB101&lt;=$I101),EB101,EB101-MIN(INT(ROUND(IF($F101=1,$C101*$J101,IF(IA101&gt;0,IA101*$K101,EB101*$J101))*IF(88=$R101,$S101,12)/12,6)+$B$4),EB101-$I101)))))</f>
        <v/>
      </c>
      <c r="ED101" s="68">
        <f>IF($U101=0,0,IF($F101=4,0,IF($F101=3,0,IF(OR(89&gt;$R101,EC101&lt;=$I101),EC101,EC101-MIN(INT(ROUND(IF($F101=1,$C101*$J101,IF(IB101&gt;0,IB101*$K101,EC101*$J101))*IF(89=$R101,$S101,12)/12,6)+$B$4),EC101-$I101)))))</f>
        <v/>
      </c>
      <c r="EE101" s="68">
        <f>IF($U101=0,0,IF($F101=4,0,IF($F101=3,0,IF(OR(90&gt;$R101,ED101&lt;=$I101),ED101,ED101-MIN(INT(ROUND(IF($F101=1,$C101*$J101,IF(IC101&gt;0,IC101*$K101,ED101*$J101))*IF(90=$R101,$S101,12)/12,6)+$B$4),ED101-$I101)))))</f>
        <v/>
      </c>
      <c r="EF101" s="68">
        <f>IF($U101=0,0,IF($F101=4,0,IF($F101=3,0,IF(OR(91&gt;$R101,EE101&lt;=$I101),EE101,EE101-MIN(INT(ROUND(IF($F101=1,$C101*$J101,IF(ID101&gt;0,ID101*$K101,EE101*$J101))*IF(91=$R101,$S101,12)/12,6)+$B$4),EE101-$I101)))))</f>
        <v/>
      </c>
      <c r="EG101" s="68">
        <f>IF($U101=0,0,IF($F101=4,0,IF($F101=3,0,IF(OR(92&gt;$R101,EF101&lt;=$I101),EF101,EF101-MIN(INT(ROUND(IF($F101=1,$C101*$J101,IF(IE101&gt;0,IE101*$K101,EF101*$J101))*IF(92=$R101,$S101,12)/12,6)+$B$4),EF101-$I101)))))</f>
        <v/>
      </c>
      <c r="EH101" s="68">
        <f>IF($U101=0,0,IF($F101=4,0,IF($F101=3,0,IF(OR(93&gt;$R101,EG101&lt;=$I101),EG101,EG101-MIN(INT(ROUND(IF($F101=1,$C101*$J101,IF(IF101&gt;0,IF101*$K101,EG101*$J101))*IF(93=$R101,$S101,12)/12,6)+$B$4),EG101-$I101)))))</f>
        <v/>
      </c>
      <c r="EI101" s="68">
        <f>IF($U101=0,0,IF($F101=4,0,IF($F101=3,0,IF(OR(94&gt;$R101,EH101&lt;=$I101),EH101,EH101-MIN(INT(ROUND(IF($F101=1,$C101*$J101,IF(IG101&gt;0,IG101*$K101,EH101*$J101))*IF(94=$R101,$S101,12)/12,6)+$B$4),EH101-$I101)))))</f>
        <v/>
      </c>
      <c r="EJ101" s="68">
        <f>IF($U101=0,0,IF($F101=4,0,IF($F101=3,0,IF(OR(95&gt;$R101,EI101&lt;=$I101),EI101,EI101-MIN(INT(ROUND(IF($F101=1,$C101*$J101,IF(IH101&gt;0,IH101*$K101,EI101*$J101))*IF(95=$R101,$S101,12)/12,6)+$B$4),EI101-$I101)))))</f>
        <v/>
      </c>
      <c r="EK101" s="68">
        <f>IF($U101=0,0,IF($F101=4,0,IF($F101=3,0,IF(OR(96&gt;$R101,EJ101&lt;=$I101),EJ101,EJ101-MIN(INT(ROUND(IF($F101=1,$C101*$J101,IF(II101&gt;0,II101*$K101,EJ101*$J101))*IF(96=$R101,$S101,12)/12,6)+$B$4),EJ101-$I101)))))</f>
        <v/>
      </c>
      <c r="EL101" s="68">
        <f>IF($U101=0,0,IF($F101=4,0,IF($F101=3,0,IF(OR(97&gt;$R101,EK101&lt;=$I101),EK101,EK101-MIN(INT(ROUND(IF($F101=1,$C101*$J101,IF(IJ101&gt;0,IJ101*$K101,EK101*$J101))*IF(97=$R101,$S101,12)/12,6)+$B$4),EK101-$I101)))))</f>
        <v/>
      </c>
      <c r="EM101" s="68">
        <f>IF($U101=0,0,IF($F101=4,0,IF($F101=3,0,IF(OR(98&gt;$R101,EL101&lt;=$I101),EL101,EL101-MIN(INT(ROUND(IF($F101=1,$C101*$J101,IF(IK101&gt;0,IK101*$K101,EL101*$J101))*IF(98=$R101,$S101,12)/12,6)+$B$4),EL101-$I101)))))</f>
        <v/>
      </c>
      <c r="EN101" s="68">
        <f>IF($U101=0,0,IF($F101=4,0,IF($F101=3,0,IF(OR(99&gt;$R101,EM101&lt;=$I101),EM101,EM101-MIN(INT(ROUND(IF($F101=1,$C101*$J101,IF(IL101&gt;0,IL101*$K101,EM101*$J101))*IF(99=$R101,$S101,12)/12,6)+$B$4),EM101-$I101)))))</f>
        <v/>
      </c>
      <c r="EO101" s="68">
        <f>IF($U101=0,0,IF($F101=4,0,IF($F101=3,0,IF(OR(100&gt;$R101,EN101&lt;=$I101),EN101,EN101-MIN(INT(ROUND(IF($F101=1,$C101*$J101,IF(IM101&gt;0,IM101*$K101,EN101*$J101))*IF(100=$R101,$S101,12)/12,6)+$B$4),EN101-$I101)))))</f>
        <v/>
      </c>
      <c r="EP101" s="68">
        <f>IF($U101=0,0,IF($F101=4,0,IF($F101=3,0,IF(OR(101&gt;$R101,EO101&lt;=$I101),EO101,EO101-MIN(INT(ROUND(IF($F101=1,$C101*$J101,IF(IN101&gt;0,IN101*$K101,EO101*$J101))*IF(101=$R101,$S101,12)/12,6)+$B$4),EO101-$I101)))))</f>
        <v/>
      </c>
      <c r="EQ101" s="68" t="n"/>
      <c r="ER101" s="68">
        <f>IF(OR($U101=0,$F101&lt;&gt;2),0,IF(ROUND(AS101*$J101,6)&lt;ROUND($M101,6),AS101,0))</f>
        <v/>
      </c>
      <c r="ES101" s="68">
        <f>IF(OR($U101=0,$F101&lt;&gt;2),0,IF(ER101&gt;0,ER101,IF(ROUND(AT101*$J101,6)&lt;ROUND($M101,6),AT101,0)))</f>
        <v/>
      </c>
      <c r="ET101" s="68">
        <f>IF(OR($U101=0,$F101&lt;&gt;2),0,IF(ES101&gt;0,ES101,IF(ROUND(AU101*$J101,6)&lt;ROUND($M101,6),AU101,0)))</f>
        <v/>
      </c>
      <c r="EU101" s="68">
        <f>IF(OR($U101=0,$F101&lt;&gt;2),0,IF(ET101&gt;0,ET101,IF(ROUND(AV101*$J101,6)&lt;ROUND($M101,6),AV101,0)))</f>
        <v/>
      </c>
      <c r="EV101" s="68">
        <f>IF(OR($U101=0,$F101&lt;&gt;2),0,IF(EU101&gt;0,EU101,IF(ROUND(AW101*$J101,6)&lt;ROUND($M101,6),AW101,0)))</f>
        <v/>
      </c>
      <c r="EW101" s="68">
        <f>IF(OR($U101=0,$F101&lt;&gt;2),0,IF(EV101&gt;0,EV101,IF(ROUND(AX101*$J101,6)&lt;ROUND($M101,6),AX101,0)))</f>
        <v/>
      </c>
      <c r="EX101" s="68">
        <f>IF(OR($U101=0,$F101&lt;&gt;2),0,IF(EW101&gt;0,EW101,IF(ROUND(AY101*$J101,6)&lt;ROUND($M101,6),AY101,0)))</f>
        <v/>
      </c>
      <c r="EY101" s="68">
        <f>IF(OR($U101=0,$F101&lt;&gt;2),0,IF(EX101&gt;0,EX101,IF(ROUND(AZ101*$J101,6)&lt;ROUND($M101,6),AZ101,0)))</f>
        <v/>
      </c>
      <c r="EZ101" s="68">
        <f>IF(OR($U101=0,$F101&lt;&gt;2),0,IF(EY101&gt;0,EY101,IF(ROUND(BA101*$J101,6)&lt;ROUND($M101,6),BA101,0)))</f>
        <v/>
      </c>
      <c r="FA101" s="68">
        <f>IF(OR($U101=0,$F101&lt;&gt;2),0,IF(EZ101&gt;0,EZ101,IF(ROUND(BB101*$J101,6)&lt;ROUND($M101,6),BB101,0)))</f>
        <v/>
      </c>
      <c r="FB101" s="68">
        <f>IF(OR($U101=0,$F101&lt;&gt;2),0,IF(FA101&gt;0,FA101,IF(ROUND(BC101*$J101,6)&lt;ROUND($M101,6),BC101,0)))</f>
        <v/>
      </c>
      <c r="FC101" s="68">
        <f>IF(OR($U101=0,$F101&lt;&gt;2),0,IF(FB101&gt;0,FB101,IF(ROUND(BD101*$J101,6)&lt;ROUND($M101,6),BD101,0)))</f>
        <v/>
      </c>
      <c r="FD101" s="68">
        <f>IF(OR($U101=0,$F101&lt;&gt;2),0,IF(FC101&gt;0,FC101,IF(ROUND(BE101*$J101,6)&lt;ROUND($M101,6),BE101,0)))</f>
        <v/>
      </c>
      <c r="FE101" s="68">
        <f>IF(OR($U101=0,$F101&lt;&gt;2),0,IF(FD101&gt;0,FD101,IF(ROUND(BF101*$J101,6)&lt;ROUND($M101,6),BF101,0)))</f>
        <v/>
      </c>
      <c r="FF101" s="68">
        <f>IF(OR($U101=0,$F101&lt;&gt;2),0,IF(FE101&gt;0,FE101,IF(ROUND(BG101*$J101,6)&lt;ROUND($M101,6),BG101,0)))</f>
        <v/>
      </c>
      <c r="FG101" s="68">
        <f>IF(OR($U101=0,$F101&lt;&gt;2),0,IF(FF101&gt;0,FF101,IF(ROUND(BH101*$J101,6)&lt;ROUND($M101,6),BH101,0)))</f>
        <v/>
      </c>
      <c r="FH101" s="68">
        <f>IF(OR($U101=0,$F101&lt;&gt;2),0,IF(FG101&gt;0,FG101,IF(ROUND(BI101*$J101,6)&lt;ROUND($M101,6),BI101,0)))</f>
        <v/>
      </c>
      <c r="FI101" s="68">
        <f>IF(OR($U101=0,$F101&lt;&gt;2),0,IF(FH101&gt;0,FH101,IF(ROUND(BJ101*$J101,6)&lt;ROUND($M101,6),BJ101,0)))</f>
        <v/>
      </c>
      <c r="FJ101" s="68">
        <f>IF(OR($U101=0,$F101&lt;&gt;2),0,IF(FI101&gt;0,FI101,IF(ROUND(BK101*$J101,6)&lt;ROUND($M101,6),BK101,0)))</f>
        <v/>
      </c>
      <c r="FK101" s="68">
        <f>IF(OR($U101=0,$F101&lt;&gt;2),0,IF(FJ101&gt;0,FJ101,IF(ROUND(BL101*$J101,6)&lt;ROUND($M101,6),BL101,0)))</f>
        <v/>
      </c>
      <c r="FL101" s="68">
        <f>IF(OR($U101=0,$F101&lt;&gt;2),0,IF(FK101&gt;0,FK101,IF(ROUND(BM101*$J101,6)&lt;ROUND($M101,6),BM101,0)))</f>
        <v/>
      </c>
      <c r="FM101" s="68">
        <f>IF(OR($U101=0,$F101&lt;&gt;2),0,IF(FL101&gt;0,FL101,IF(ROUND(BN101*$J101,6)&lt;ROUND($M101,6),BN101,0)))</f>
        <v/>
      </c>
      <c r="FN101" s="68">
        <f>IF(OR($U101=0,$F101&lt;&gt;2),0,IF(FM101&gt;0,FM101,IF(ROUND(BO101*$J101,6)&lt;ROUND($M101,6),BO101,0)))</f>
        <v/>
      </c>
      <c r="FO101" s="68">
        <f>IF(OR($U101=0,$F101&lt;&gt;2),0,IF(FN101&gt;0,FN101,IF(ROUND(BP101*$J101,6)&lt;ROUND($M101,6),BP101,0)))</f>
        <v/>
      </c>
      <c r="FP101" s="68">
        <f>IF(OR($U101=0,$F101&lt;&gt;2),0,IF(FO101&gt;0,FO101,IF(ROUND(BQ101*$J101,6)&lt;ROUND($M101,6),BQ101,0)))</f>
        <v/>
      </c>
      <c r="FQ101" s="68">
        <f>IF(OR($U101=0,$F101&lt;&gt;2),0,IF(FP101&gt;0,FP101,IF(ROUND(BR101*$J101,6)&lt;ROUND($M101,6),BR101,0)))</f>
        <v/>
      </c>
      <c r="FR101" s="68">
        <f>IF(OR($U101=0,$F101&lt;&gt;2),0,IF(FQ101&gt;0,FQ101,IF(ROUND(BS101*$J101,6)&lt;ROUND($M101,6),BS101,0)))</f>
        <v/>
      </c>
      <c r="FS101" s="68">
        <f>IF(OR($U101=0,$F101&lt;&gt;2),0,IF(FR101&gt;0,FR101,IF(ROUND(BT101*$J101,6)&lt;ROUND($M101,6),BT101,0)))</f>
        <v/>
      </c>
      <c r="FT101" s="68">
        <f>IF(OR($U101=0,$F101&lt;&gt;2),0,IF(FS101&gt;0,FS101,IF(ROUND(BU101*$J101,6)&lt;ROUND($M101,6),BU101,0)))</f>
        <v/>
      </c>
      <c r="FU101" s="68">
        <f>IF(OR($U101=0,$F101&lt;&gt;2),0,IF(FT101&gt;0,FT101,IF(ROUND(BV101*$J101,6)&lt;ROUND($M101,6),BV101,0)))</f>
        <v/>
      </c>
      <c r="FV101" s="68">
        <f>IF(OR($U101=0,$F101&lt;&gt;2),0,IF(FU101&gt;0,FU101,IF(ROUND(BW101*$J101,6)&lt;ROUND($M101,6),BW101,0)))</f>
        <v/>
      </c>
      <c r="FW101" s="68">
        <f>IF(OR($U101=0,$F101&lt;&gt;2),0,IF(FV101&gt;0,FV101,IF(ROUND(BX101*$J101,6)&lt;ROUND($M101,6),BX101,0)))</f>
        <v/>
      </c>
      <c r="FX101" s="68">
        <f>IF(OR($U101=0,$F101&lt;&gt;2),0,IF(FW101&gt;0,FW101,IF(ROUND(BY101*$J101,6)&lt;ROUND($M101,6),BY101,0)))</f>
        <v/>
      </c>
      <c r="FY101" s="68">
        <f>IF(OR($U101=0,$F101&lt;&gt;2),0,IF(FX101&gt;0,FX101,IF(ROUND(BZ101*$J101,6)&lt;ROUND($M101,6),BZ101,0)))</f>
        <v/>
      </c>
      <c r="FZ101" s="68">
        <f>IF(OR($U101=0,$F101&lt;&gt;2),0,IF(FY101&gt;0,FY101,IF(ROUND(CA101*$J101,6)&lt;ROUND($M101,6),CA101,0)))</f>
        <v/>
      </c>
      <c r="GA101" s="68">
        <f>IF(OR($U101=0,$F101&lt;&gt;2),0,IF(FZ101&gt;0,FZ101,IF(ROUND(CB101*$J101,6)&lt;ROUND($M101,6),CB101,0)))</f>
        <v/>
      </c>
      <c r="GB101" s="68">
        <f>IF(OR($U101=0,$F101&lt;&gt;2),0,IF(GA101&gt;0,GA101,IF(ROUND(CC101*$J101,6)&lt;ROUND($M101,6),CC101,0)))</f>
        <v/>
      </c>
      <c r="GC101" s="68">
        <f>IF(OR($U101=0,$F101&lt;&gt;2),0,IF(GB101&gt;0,GB101,IF(ROUND(CD101*$J101,6)&lt;ROUND($M101,6),CD101,0)))</f>
        <v/>
      </c>
      <c r="GD101" s="68">
        <f>IF(OR($U101=0,$F101&lt;&gt;2),0,IF(GC101&gt;0,GC101,IF(ROUND(CE101*$J101,6)&lt;ROUND($M101,6),CE101,0)))</f>
        <v/>
      </c>
      <c r="GE101" s="68">
        <f>IF(OR($U101=0,$F101&lt;&gt;2),0,IF(GD101&gt;0,GD101,IF(ROUND(CF101*$J101,6)&lt;ROUND($M101,6),CF101,0)))</f>
        <v/>
      </c>
      <c r="GF101" s="68">
        <f>IF(OR($U101=0,$F101&lt;&gt;2),0,IF(GE101&gt;0,GE101,IF(ROUND(CG101*$J101,6)&lt;ROUND($M101,6),CG101,0)))</f>
        <v/>
      </c>
      <c r="GG101" s="68">
        <f>IF(OR($U101=0,$F101&lt;&gt;2),0,IF(GF101&gt;0,GF101,IF(ROUND(CH101*$J101,6)&lt;ROUND($M101,6),CH101,0)))</f>
        <v/>
      </c>
      <c r="GH101" s="68">
        <f>IF(OR($U101=0,$F101&lt;&gt;2),0,IF(GG101&gt;0,GG101,IF(ROUND(CI101*$J101,6)&lt;ROUND($M101,6),CI101,0)))</f>
        <v/>
      </c>
      <c r="GI101" s="68">
        <f>IF(OR($U101=0,$F101&lt;&gt;2),0,IF(GH101&gt;0,GH101,IF(ROUND(CJ101*$J101,6)&lt;ROUND($M101,6),CJ101,0)))</f>
        <v/>
      </c>
      <c r="GJ101" s="68">
        <f>IF(OR($U101=0,$F101&lt;&gt;2),0,IF(GI101&gt;0,GI101,IF(ROUND(CK101*$J101,6)&lt;ROUND($M101,6),CK101,0)))</f>
        <v/>
      </c>
      <c r="GK101" s="68">
        <f>IF(OR($U101=0,$F101&lt;&gt;2),0,IF(GJ101&gt;0,GJ101,IF(ROUND(CL101*$J101,6)&lt;ROUND($M101,6),CL101,0)))</f>
        <v/>
      </c>
      <c r="GL101" s="68">
        <f>IF(OR($U101=0,$F101&lt;&gt;2),0,IF(GK101&gt;0,GK101,IF(ROUND(CM101*$J101,6)&lt;ROUND($M101,6),CM101,0)))</f>
        <v/>
      </c>
      <c r="GM101" s="68">
        <f>IF(OR($U101=0,$F101&lt;&gt;2),0,IF(GL101&gt;0,GL101,IF(ROUND(CN101*$J101,6)&lt;ROUND($M101,6),CN101,0)))</f>
        <v/>
      </c>
      <c r="GN101" s="68">
        <f>IF(OR($U101=0,$F101&lt;&gt;2),0,IF(GM101&gt;0,GM101,IF(ROUND(CO101*$J101,6)&lt;ROUND($M101,6),CO101,0)))</f>
        <v/>
      </c>
      <c r="GO101" s="68">
        <f>IF(OR($U101=0,$F101&lt;&gt;2),0,IF(GN101&gt;0,GN101,IF(ROUND(CP101*$J101,6)&lt;ROUND($M101,6),CP101,0)))</f>
        <v/>
      </c>
      <c r="GP101" s="68">
        <f>IF(OR($U101=0,$F101&lt;&gt;2),0,IF(GO101&gt;0,GO101,IF(ROUND(CQ101*$J101,6)&lt;ROUND($M101,6),CQ101,0)))</f>
        <v/>
      </c>
      <c r="GQ101" s="68">
        <f>IF(OR($U101=0,$F101&lt;&gt;2),0,IF(GP101&gt;0,GP101,IF(ROUND(CR101*$J101,6)&lt;ROUND($M101,6),CR101,0)))</f>
        <v/>
      </c>
      <c r="GR101" s="68">
        <f>IF(OR($U101=0,$F101&lt;&gt;2),0,IF(GQ101&gt;0,GQ101,IF(ROUND(CS101*$J101,6)&lt;ROUND($M101,6),CS101,0)))</f>
        <v/>
      </c>
      <c r="GS101" s="68">
        <f>IF(OR($U101=0,$F101&lt;&gt;2),0,IF(GR101&gt;0,GR101,IF(ROUND(CT101*$J101,6)&lt;ROUND($M101,6),CT101,0)))</f>
        <v/>
      </c>
      <c r="GT101" s="68">
        <f>IF(OR($U101=0,$F101&lt;&gt;2),0,IF(GS101&gt;0,GS101,IF(ROUND(CU101*$J101,6)&lt;ROUND($M101,6),CU101,0)))</f>
        <v/>
      </c>
      <c r="GU101" s="68">
        <f>IF(OR($U101=0,$F101&lt;&gt;2),0,IF(GT101&gt;0,GT101,IF(ROUND(CV101*$J101,6)&lt;ROUND($M101,6),CV101,0)))</f>
        <v/>
      </c>
      <c r="GV101" s="68">
        <f>IF(OR($U101=0,$F101&lt;&gt;2),0,IF(GU101&gt;0,GU101,IF(ROUND(CW101*$J101,6)&lt;ROUND($M101,6),CW101,0)))</f>
        <v/>
      </c>
      <c r="GW101" s="68">
        <f>IF(OR($U101=0,$F101&lt;&gt;2),0,IF(GV101&gt;0,GV101,IF(ROUND(CX101*$J101,6)&lt;ROUND($M101,6),CX101,0)))</f>
        <v/>
      </c>
      <c r="GX101" s="68">
        <f>IF(OR($U101=0,$F101&lt;&gt;2),0,IF(GW101&gt;0,GW101,IF(ROUND(CY101*$J101,6)&lt;ROUND($M101,6),CY101,0)))</f>
        <v/>
      </c>
      <c r="GY101" s="68">
        <f>IF(OR($U101=0,$F101&lt;&gt;2),0,IF(GX101&gt;0,GX101,IF(ROUND(CZ101*$J101,6)&lt;ROUND($M101,6),CZ101,0)))</f>
        <v/>
      </c>
      <c r="GZ101" s="68">
        <f>IF(OR($U101=0,$F101&lt;&gt;2),0,IF(GY101&gt;0,GY101,IF(ROUND(DA101*$J101,6)&lt;ROUND($M101,6),DA101,0)))</f>
        <v/>
      </c>
      <c r="HA101" s="68">
        <f>IF(OR($U101=0,$F101&lt;&gt;2),0,IF(GZ101&gt;0,GZ101,IF(ROUND(DB101*$J101,6)&lt;ROUND($M101,6),DB101,0)))</f>
        <v/>
      </c>
      <c r="HB101" s="68">
        <f>IF(OR($U101=0,$F101&lt;&gt;2),0,IF(HA101&gt;0,HA101,IF(ROUND(DC101*$J101,6)&lt;ROUND($M101,6),DC101,0)))</f>
        <v/>
      </c>
      <c r="HC101" s="68">
        <f>IF(OR($U101=0,$F101&lt;&gt;2),0,IF(HB101&gt;0,HB101,IF(ROUND(DD101*$J101,6)&lt;ROUND($M101,6),DD101,0)))</f>
        <v/>
      </c>
      <c r="HD101" s="68">
        <f>IF(OR($U101=0,$F101&lt;&gt;2),0,IF(HC101&gt;0,HC101,IF(ROUND(DE101*$J101,6)&lt;ROUND($M101,6),DE101,0)))</f>
        <v/>
      </c>
      <c r="HE101" s="68">
        <f>IF(OR($U101=0,$F101&lt;&gt;2),0,IF(HD101&gt;0,HD101,IF(ROUND(DF101*$J101,6)&lt;ROUND($M101,6),DF101,0)))</f>
        <v/>
      </c>
      <c r="HF101" s="68">
        <f>IF(OR($U101=0,$F101&lt;&gt;2),0,IF(HE101&gt;0,HE101,IF(ROUND(DG101*$J101,6)&lt;ROUND($M101,6),DG101,0)))</f>
        <v/>
      </c>
      <c r="HG101" s="68">
        <f>IF(OR($U101=0,$F101&lt;&gt;2),0,IF(HF101&gt;0,HF101,IF(ROUND(DH101*$J101,6)&lt;ROUND($M101,6),DH101,0)))</f>
        <v/>
      </c>
      <c r="HH101" s="68">
        <f>IF(OR($U101=0,$F101&lt;&gt;2),0,IF(HG101&gt;0,HG101,IF(ROUND(DI101*$J101,6)&lt;ROUND($M101,6),DI101,0)))</f>
        <v/>
      </c>
      <c r="HI101" s="68">
        <f>IF(OR($U101=0,$F101&lt;&gt;2),0,IF(HH101&gt;0,HH101,IF(ROUND(DJ101*$J101,6)&lt;ROUND($M101,6),DJ101,0)))</f>
        <v/>
      </c>
      <c r="HJ101" s="68">
        <f>IF(OR($U101=0,$F101&lt;&gt;2),0,IF(HI101&gt;0,HI101,IF(ROUND(DK101*$J101,6)&lt;ROUND($M101,6),DK101,0)))</f>
        <v/>
      </c>
      <c r="HK101" s="68">
        <f>IF(OR($U101=0,$F101&lt;&gt;2),0,IF(HJ101&gt;0,HJ101,IF(ROUND(DL101*$J101,6)&lt;ROUND($M101,6),DL101,0)))</f>
        <v/>
      </c>
      <c r="HL101" s="68">
        <f>IF(OR($U101=0,$F101&lt;&gt;2),0,IF(HK101&gt;0,HK101,IF(ROUND(DM101*$J101,6)&lt;ROUND($M101,6),DM101,0)))</f>
        <v/>
      </c>
      <c r="HM101" s="68">
        <f>IF(OR($U101=0,$F101&lt;&gt;2),0,IF(HL101&gt;0,HL101,IF(ROUND(DN101*$J101,6)&lt;ROUND($M101,6),DN101,0)))</f>
        <v/>
      </c>
      <c r="HN101" s="68">
        <f>IF(OR($U101=0,$F101&lt;&gt;2),0,IF(HM101&gt;0,HM101,IF(ROUND(DO101*$J101,6)&lt;ROUND($M101,6),DO101,0)))</f>
        <v/>
      </c>
      <c r="HO101" s="68">
        <f>IF(OR($U101=0,$F101&lt;&gt;2),0,IF(HN101&gt;0,HN101,IF(ROUND(DP101*$J101,6)&lt;ROUND($M101,6),DP101,0)))</f>
        <v/>
      </c>
      <c r="HP101" s="68">
        <f>IF(OR($U101=0,$F101&lt;&gt;2),0,IF(HO101&gt;0,HO101,IF(ROUND(DQ101*$J101,6)&lt;ROUND($M101,6),DQ101,0)))</f>
        <v/>
      </c>
      <c r="HQ101" s="68">
        <f>IF(OR($U101=0,$F101&lt;&gt;2),0,IF(HP101&gt;0,HP101,IF(ROUND(DR101*$J101,6)&lt;ROUND($M101,6),DR101,0)))</f>
        <v/>
      </c>
      <c r="HR101" s="68">
        <f>IF(OR($U101=0,$F101&lt;&gt;2),0,IF(HQ101&gt;0,HQ101,IF(ROUND(DS101*$J101,6)&lt;ROUND($M101,6),DS101,0)))</f>
        <v/>
      </c>
      <c r="HS101" s="68">
        <f>IF(OR($U101=0,$F101&lt;&gt;2),0,IF(HR101&gt;0,HR101,IF(ROUND(DT101*$J101,6)&lt;ROUND($M101,6),DT101,0)))</f>
        <v/>
      </c>
      <c r="HT101" s="68">
        <f>IF(OR($U101=0,$F101&lt;&gt;2),0,IF(HS101&gt;0,HS101,IF(ROUND(DU101*$J101,6)&lt;ROUND($M101,6),DU101,0)))</f>
        <v/>
      </c>
      <c r="HU101" s="68">
        <f>IF(OR($U101=0,$F101&lt;&gt;2),0,IF(HT101&gt;0,HT101,IF(ROUND(DV101*$J101,6)&lt;ROUND($M101,6),DV101,0)))</f>
        <v/>
      </c>
      <c r="HV101" s="68">
        <f>IF(OR($U101=0,$F101&lt;&gt;2),0,IF(HU101&gt;0,HU101,IF(ROUND(DW101*$J101,6)&lt;ROUND($M101,6),DW101,0)))</f>
        <v/>
      </c>
      <c r="HW101" s="68">
        <f>IF(OR($U101=0,$F101&lt;&gt;2),0,IF(HV101&gt;0,HV101,IF(ROUND(DX101*$J101,6)&lt;ROUND($M101,6),DX101,0)))</f>
        <v/>
      </c>
      <c r="HX101" s="68">
        <f>IF(OR($U101=0,$F101&lt;&gt;2),0,IF(HW101&gt;0,HW101,IF(ROUND(DY101*$J101,6)&lt;ROUND($M101,6),DY101,0)))</f>
        <v/>
      </c>
      <c r="HY101" s="68">
        <f>IF(OR($U101=0,$F101&lt;&gt;2),0,IF(HX101&gt;0,HX101,IF(ROUND(DZ101*$J101,6)&lt;ROUND($M101,6),DZ101,0)))</f>
        <v/>
      </c>
      <c r="HZ101" s="68">
        <f>IF(OR($U101=0,$F101&lt;&gt;2),0,IF(HY101&gt;0,HY101,IF(ROUND(EA101*$J101,6)&lt;ROUND($M101,6),EA101,0)))</f>
        <v/>
      </c>
      <c r="IA101" s="68">
        <f>IF(OR($U101=0,$F101&lt;&gt;2),0,IF(HZ101&gt;0,HZ101,IF(ROUND(EB101*$J101,6)&lt;ROUND($M101,6),EB101,0)))</f>
        <v/>
      </c>
      <c r="IB101" s="68">
        <f>IF(OR($U101=0,$F101&lt;&gt;2),0,IF(IA101&gt;0,IA101,IF(ROUND(EC101*$J101,6)&lt;ROUND($M101,6),EC101,0)))</f>
        <v/>
      </c>
      <c r="IC101" s="68">
        <f>IF(OR($U101=0,$F101&lt;&gt;2),0,IF(IB101&gt;0,IB101,IF(ROUND(ED101*$J101,6)&lt;ROUND($M101,6),ED101,0)))</f>
        <v/>
      </c>
      <c r="ID101" s="68">
        <f>IF(OR($U101=0,$F101&lt;&gt;2),0,IF(IC101&gt;0,IC101,IF(ROUND(EE101*$J101,6)&lt;ROUND($M101,6),EE101,0)))</f>
        <v/>
      </c>
      <c r="IE101" s="68">
        <f>IF(OR($U101=0,$F101&lt;&gt;2),0,IF(ID101&gt;0,ID101,IF(ROUND(EF101*$J101,6)&lt;ROUND($M101,6),EF101,0)))</f>
        <v/>
      </c>
      <c r="IF101" s="68">
        <f>IF(OR($U101=0,$F101&lt;&gt;2),0,IF(IE101&gt;0,IE101,IF(ROUND(EG101*$J101,6)&lt;ROUND($M101,6),EG101,0)))</f>
        <v/>
      </c>
      <c r="IG101" s="68">
        <f>IF(OR($U101=0,$F101&lt;&gt;2),0,IF(IF101&gt;0,IF101,IF(ROUND(EH101*$J101,6)&lt;ROUND($M101,6),EH101,0)))</f>
        <v/>
      </c>
      <c r="IH101" s="68">
        <f>IF(OR($U101=0,$F101&lt;&gt;2),0,IF(IG101&gt;0,IG101,IF(ROUND(EI101*$J101,6)&lt;ROUND($M101,6),EI101,0)))</f>
        <v/>
      </c>
      <c r="II101" s="68">
        <f>IF(OR($U101=0,$F101&lt;&gt;2),0,IF(IH101&gt;0,IH101,IF(ROUND(EJ101*$J101,6)&lt;ROUND($M101,6),EJ101,0)))</f>
        <v/>
      </c>
      <c r="IJ101" s="68">
        <f>IF(OR($U101=0,$F101&lt;&gt;2),0,IF(II101&gt;0,II101,IF(ROUND(EK101*$J101,6)&lt;ROUND($M101,6),EK101,0)))</f>
        <v/>
      </c>
      <c r="IK101" s="68">
        <f>IF(OR($U101=0,$F101&lt;&gt;2),0,IF(IJ101&gt;0,IJ101,IF(ROUND(EL101*$J101,6)&lt;ROUND($M101,6),EL101,0)))</f>
        <v/>
      </c>
      <c r="IL101" s="68">
        <f>IF(OR($U101=0,$F101&lt;&gt;2),0,IF(IK101&gt;0,IK101,IF(ROUND(EM101*$J101,6)&lt;ROUND($M101,6),EM101,0)))</f>
        <v/>
      </c>
      <c r="IM101" s="68">
        <f>IF(OR($U101=0,$F101&lt;&gt;2),0,IF(IL101&gt;0,IL101,IF(ROUND(EN101*$J101,6)&lt;ROUND($M101,6),EN101,0)))</f>
        <v/>
      </c>
      <c r="IN101" s="68">
        <f>IF(OR($U101=0,$F101&lt;&gt;2),0,IF(IM101&gt;0,IM101,IF(ROUND(EO101*$J101,6)&lt;ROUND($M101,6),EO101,0)))</f>
        <v/>
      </c>
    </row>
    <row r="102">
      <c r="A102" s="68" t="n">
        <v>97</v>
      </c>
      <c r="B102" s="68">
        <f>IF(OR(TRIM('固定資産台帳'!$B102)&lt;&gt;"",'固定資産台帳'!$E102&lt;&gt;"",'固定資産台帳'!$G102&lt;&gt;"",'固定資産台帳'!$H102&lt;&gt;""),1,0)</f>
        <v/>
      </c>
      <c r="C102" s="68">
        <f>IF(ISNUMBER('固定資産台帳'!$G102),MAX(ROUND('固定資産台帳'!$G102,0),0),0)</f>
        <v/>
      </c>
      <c r="D102" s="84">
        <f>IF(ISNUMBER('固定資産台帳'!$E102),INT('固定資産台帳'!$E102),0)</f>
        <v/>
      </c>
      <c r="E102" s="84">
        <f>IF(ISNUMBER('固定資産台帳'!$F102),INT('固定資産台帳'!$F102),$D102)</f>
        <v/>
      </c>
      <c r="F102" s="68">
        <f>IF('固定資産台帳'!$H102="定額法",1,IF(OR('固定資産台帳'!$H102="定率法",'固定資産台帳'!$H102="定率法（200%）",'固定資産台帳'!$H102="定率法（250%）"),2,IF('固定資産台帳'!$H102="一括償却（3年）",3,IF('固定資産台帳'!$H102="少額特例",4,0))))</f>
        <v/>
      </c>
      <c r="G102" s="68">
        <f>IF('固定資産台帳'!$H102="定率法（250%）",250,IF('固定資産台帳'!$H102="定率法（200%）",200,IF($D102&gt;=DATE(2012,4,1),200,250)))</f>
        <v/>
      </c>
      <c r="H102" s="68">
        <f>IF(ISNUMBER('固定資産台帳'!$I102),IF(AND('固定資産台帳'!$I102&gt;=2,'固定資産台帳'!$I102&lt;=100,'固定資産台帳'!$I102=INT('固定資産台帳'!$I102)),'固定資産台帳'!$I102,0),0)</f>
        <v/>
      </c>
      <c r="I102" s="68">
        <f>IF('固定資産台帳'!$C102="無形固定資産",0,1)</f>
        <v/>
      </c>
      <c r="J102" s="68">
        <f>IF(OR($H102=0,$F102=0,$F102&gt;2),0,IF($F102=1,INDEX('償却率表'!$B$6:$B$104,$H102-1),IF($G102=200,INDEX('償却率表'!$C$6:$C$104,$H102-1),INDEX('償却率表'!$F$6:$F$104,$H102-1))))</f>
        <v/>
      </c>
      <c r="K102" s="68">
        <f>IF(AND($F102=2,$H102&gt;0),IF($G102=200,INDEX('償却率表'!$D$6:$D$104,$H102-1),INDEX('償却率表'!$G$6:$G$104,$H102-1)),0)</f>
        <v/>
      </c>
      <c r="L102" s="68">
        <f>IF(AND($F102=2,$H102&gt;0),IF($G102=200,INDEX('償却率表'!$E$6:$E$104,$H102-1),INDEX('償却率表'!$H$6:$H$104,$H102-1)),0)</f>
        <v/>
      </c>
      <c r="M102" s="68">
        <f>$C102*$L102</f>
        <v/>
      </c>
      <c r="N102" s="68">
        <f>IF($B$1=1,1,IF('固定資産台帳'!$J102="",1,IF(ISNUMBER('固定資産台帳'!$J102),IF(AND('固定資産台帳'!$J102&gt;0,'固定資産台帳'!$J102&lt;=1),'固定資産台帳'!$J102,0),0)))</f>
        <v/>
      </c>
      <c r="O102" s="68">
        <f>IF($E102=0,0,YEAR($E102)-IF(MONTH($E102)&lt;$B$2,1,0))</f>
        <v/>
      </c>
      <c r="P102" s="68">
        <f>IF($E102=0,0,12-MOD(MONTH($E102)-$B$2,12))</f>
        <v/>
      </c>
      <c r="Q102" s="84">
        <f>IF(ISNUMBER('固定資産台帳'!$K102),INT('固定資産台帳'!$K102),0)</f>
        <v/>
      </c>
      <c r="R102" s="68">
        <f>IF(OR($Q102=0,$E102=0),999,YEAR($Q102)-IF(MONTH($Q102)&lt;$B$2,1,0)-$O102)</f>
        <v/>
      </c>
      <c r="S102" s="68">
        <f>IF($R102=999,0,MOD(MONTH($Q102)-$B$2,12)+1-IF($R102=0,12-$P102,0))</f>
        <v/>
      </c>
      <c r="T102" s="68">
        <f>IF($B102=0,0,IF($C102&lt;=0,1,IF($D102=0,2,IF($F102=0,3,IF(AND($F102&lt;=2,$H102=0),4,IF(AND($F102&lt;=2,$D102&lt;DATE(2007,4,1)),5,IF($E102&lt;$D102,6,IF(AND($Q102&gt;0,$Q102&lt;$E102),7,IF($N102=0,8,IF($B$3=0,9,0))))))))))</f>
        <v/>
      </c>
      <c r="U102" s="68">
        <f>IF(AND($B102=1,$T102=0),1,0)</f>
        <v/>
      </c>
      <c r="V102" s="68">
        <f>$B$3-$O102</f>
        <v/>
      </c>
      <c r="W102" s="68">
        <f>IF(AND($U102=1,$V102&gt;=0),1,0)</f>
        <v/>
      </c>
      <c r="X102" s="68">
        <f>IF($W102=0,0,IF($V102=0,$C102,INDEX($AS102:$EP102,MIN($V102,102))))</f>
        <v/>
      </c>
      <c r="Y102" s="68">
        <f>IF($W102=0,0,INDEX($AS102:$EP102,MIN($V102,101)+1))</f>
        <v/>
      </c>
      <c r="Z102" s="68">
        <f>$X102-$Y102</f>
        <v/>
      </c>
      <c r="AA102" s="68">
        <f>IF(AND($W102=1,$F102=2,$V102&gt;=1),INDEX($ER102:$IN102,MIN($V102,101)),0)</f>
        <v/>
      </c>
      <c r="AB102" s="68">
        <f>IF(OR($W102=0,$F102&gt;2,$Z102=0),0,IF($V102=0,IF($R102=0,$S102,$P102),IF($V102=$R102,$S102,12)))</f>
        <v/>
      </c>
      <c r="AC102" s="68">
        <f>IF($W102=0,0,INT(ROUND($Z102*$N102,6)+$B$4))</f>
        <v/>
      </c>
      <c r="AD102" s="68">
        <f>IF(AND($W102=1,$F102&lt;=2,$V102=$R102),1,0)</f>
        <v/>
      </c>
      <c r="AE102" s="68">
        <f>IF(AND($W102=1,$F102&lt;=2,$V102&gt;$R102),1,0)</f>
        <v/>
      </c>
      <c r="AF102" s="68">
        <f>IF(AND($W102=1,$AE102=0,OR($Z102&gt;0,$AD102=1)),1,0)</f>
        <v/>
      </c>
      <c r="AG102" s="68">
        <f>IF($AF102=1,SUM($AF$6:$AF102),0)</f>
        <v/>
      </c>
      <c r="AH102" s="68">
        <f>IF($T102=0,"",CHOOSE($T102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02" s="68">
        <f>IF(AND($F102=2,OR('固定資産台帳'!$C102="建物",'固定資産台帳'!$C102="無形固定資産",AND(OR('固定資産台帳'!$C102="建物附属設備",'固定資産台帳'!$C102="構築物"),$D102&gt;=DATE(2016,4,1)))),"この資産は定額法だけです（定率法は使えません）。","")&amp;IF(AND($F102=3,$C102&gt;=200000),"一括償却は20万円未満の資産だけです。","")&amp;IF(AND($F102=3,$B$1=0,$C102&lt;100000),"10万円未満は一括償却にせず、全額をその年の経費にします。","")&amp;IF(AND($F102=4,$C102&lt;100000),"10万円未満は少額特例ではなく、全額をその年の経費にします。","")&amp;IF(AND($F102=4,$D102&lt;DATE(2026,4,1),$C102&gt;=300000),"2026年3月31日までの取得で少額特例が使えるのは30万円未満です。","")&amp;IF(AND($F102=4,$D102&gt;=DATE(2026,4,1),$C102&gt;=400000),"少額特例は40万円未満の資産だけです。","")&amp;IF(AND($F102=4,OR($D102&lt;DATE(2006,4,1),$D102&gt;DATE(2029,3,31))),"少額特例は2006年4月1日〜2029年3月31日に取得した資産だけです。","")&amp;IF(AND($F102=2,$G102=250,$D102&gt;DATE(2012,12,31)),"250%定率法は2012年12月31日までの取得だけです。","")</f>
        <v/>
      </c>
      <c r="AJ102" s="68">
        <f>IF(AND($F102=2,'固定資産台帳'!$H102="定率法（200%）",$D102&lt;DATE(2012,4,1)),"2012年3月31日までの取得に200%を使うのは、経過措置の届出をした場合です。","")&amp;IF(AND($F102=2,'固定資産台帳'!$H102="定率法（250%）",$D102&gt;=DATE(2012,4,1),$D102&lt;=DATE(2012,12,31)),"2012年4〜12月の取得に250%を使うのは、経過措置を選んだ場合です。","")</f>
        <v/>
      </c>
      <c r="AK102" s="68">
        <f>IF($U102=0,"",IF($V102&lt;0,"表示している年より後に使い始める資産です。",IF($AE102=1,"売却・除却済みです。",IF($AD102=1,"この年に売却・除却。期末の帳簿価額 "&amp;TEXT($Y102,"#,##0")&amp;"円を帳簿から外します。",IF($F102=4,IF($V102=0,"少額特例：この年に全額を経費にします。","少額特例で経費にした資産です。"),IF($F102=3,IF($V102&gt;2,"一括償却は終わっています。","一括償却 "&amp;($V102+1)&amp;"年目（3年のうち）。"),IF($Z102=0,"償却済み（帳簿価額 "&amp;TEXT($Y102,"#,##0")&amp;"円）。",IF($AA102&gt;0,"改定償却率で計算（改定取得価額 "&amp;TEXT($AA102,"#,##0")&amp;"円）。",IF($V102=0,"この年に使い始め（"&amp;$AB102&amp;"か月分）。","")))))))))</f>
        <v/>
      </c>
      <c r="AL102" s="68">
        <f>IF(AND($U102=1,$F102=4,$V102=0),$C102,0)</f>
        <v/>
      </c>
      <c r="AM102" s="68">
        <f>IF($F102=2,INT(ROUND($M102,6)+$B$4),0)</f>
        <v/>
      </c>
      <c r="AN102" s="68">
        <f>IF($W102=0,0,IF($F102=2,IF($AA102&gt;0,$AA102,$X102),$C102))</f>
        <v/>
      </c>
      <c r="AO102" s="68">
        <f>IF($W102=0,"",IF($F102=3,"1/3",IF($F102=4,"―",IF($AA102&gt;0,$K102,$J102))))</f>
        <v/>
      </c>
      <c r="AP102" s="68" t="n"/>
      <c r="AQ102" s="68" t="n"/>
      <c r="AR102" s="68" t="n"/>
      <c r="AS102" s="68">
        <f>IF($U102=0,0,IF($F102=4,0,IF($F102=3,MAX($C102-INT(ROUND($C102/3,6)+$B$4),0),$C102-MIN(INT(ROUND($C102*$J102*IF($R102=0,$S102,$P102)/12,6)+$B$4),MAX($C102-$I102,0)))))</f>
        <v/>
      </c>
      <c r="AT102" s="68">
        <f>IF($U102=0,0,IF($F102=4,0,IF($F102=3,AS102-MIN(INT(ROUND($C102/3,6)+$B$4),AS102),IF(OR(1&gt;$R102,AS102&lt;=$I102),AS102,AS102-MIN(INT(ROUND(IF($F102=1,$C102*$J102,IF(ER102&gt;0,ER102*$K102,AS102*$J102))*IF(1=$R102,$S102,12)/12,6)+$B$4),AS102-$I102)))))</f>
        <v/>
      </c>
      <c r="AU102" s="68">
        <f>IF($U102=0,0,IF($F102=4,0,IF($F102=3,0,IF(OR(2&gt;$R102,AT102&lt;=$I102),AT102,AT102-MIN(INT(ROUND(IF($F102=1,$C102*$J102,IF(ES102&gt;0,ES102*$K102,AT102*$J102))*IF(2=$R102,$S102,12)/12,6)+$B$4),AT102-$I102)))))</f>
        <v/>
      </c>
      <c r="AV102" s="68">
        <f>IF($U102=0,0,IF($F102=4,0,IF($F102=3,0,IF(OR(3&gt;$R102,AU102&lt;=$I102),AU102,AU102-MIN(INT(ROUND(IF($F102=1,$C102*$J102,IF(ET102&gt;0,ET102*$K102,AU102*$J102))*IF(3=$R102,$S102,12)/12,6)+$B$4),AU102-$I102)))))</f>
        <v/>
      </c>
      <c r="AW102" s="68">
        <f>IF($U102=0,0,IF($F102=4,0,IF($F102=3,0,IF(OR(4&gt;$R102,AV102&lt;=$I102),AV102,AV102-MIN(INT(ROUND(IF($F102=1,$C102*$J102,IF(EU102&gt;0,EU102*$K102,AV102*$J102))*IF(4=$R102,$S102,12)/12,6)+$B$4),AV102-$I102)))))</f>
        <v/>
      </c>
      <c r="AX102" s="68">
        <f>IF($U102=0,0,IF($F102=4,0,IF($F102=3,0,IF(OR(5&gt;$R102,AW102&lt;=$I102),AW102,AW102-MIN(INT(ROUND(IF($F102=1,$C102*$J102,IF(EV102&gt;0,EV102*$K102,AW102*$J102))*IF(5=$R102,$S102,12)/12,6)+$B$4),AW102-$I102)))))</f>
        <v/>
      </c>
      <c r="AY102" s="68">
        <f>IF($U102=0,0,IF($F102=4,0,IF($F102=3,0,IF(OR(6&gt;$R102,AX102&lt;=$I102),AX102,AX102-MIN(INT(ROUND(IF($F102=1,$C102*$J102,IF(EW102&gt;0,EW102*$K102,AX102*$J102))*IF(6=$R102,$S102,12)/12,6)+$B$4),AX102-$I102)))))</f>
        <v/>
      </c>
      <c r="AZ102" s="68">
        <f>IF($U102=0,0,IF($F102=4,0,IF($F102=3,0,IF(OR(7&gt;$R102,AY102&lt;=$I102),AY102,AY102-MIN(INT(ROUND(IF($F102=1,$C102*$J102,IF(EX102&gt;0,EX102*$K102,AY102*$J102))*IF(7=$R102,$S102,12)/12,6)+$B$4),AY102-$I102)))))</f>
        <v/>
      </c>
      <c r="BA102" s="68">
        <f>IF($U102=0,0,IF($F102=4,0,IF($F102=3,0,IF(OR(8&gt;$R102,AZ102&lt;=$I102),AZ102,AZ102-MIN(INT(ROUND(IF($F102=1,$C102*$J102,IF(EY102&gt;0,EY102*$K102,AZ102*$J102))*IF(8=$R102,$S102,12)/12,6)+$B$4),AZ102-$I102)))))</f>
        <v/>
      </c>
      <c r="BB102" s="68">
        <f>IF($U102=0,0,IF($F102=4,0,IF($F102=3,0,IF(OR(9&gt;$R102,BA102&lt;=$I102),BA102,BA102-MIN(INT(ROUND(IF($F102=1,$C102*$J102,IF(EZ102&gt;0,EZ102*$K102,BA102*$J102))*IF(9=$R102,$S102,12)/12,6)+$B$4),BA102-$I102)))))</f>
        <v/>
      </c>
      <c r="BC102" s="68">
        <f>IF($U102=0,0,IF($F102=4,0,IF($F102=3,0,IF(OR(10&gt;$R102,BB102&lt;=$I102),BB102,BB102-MIN(INT(ROUND(IF($F102=1,$C102*$J102,IF(FA102&gt;0,FA102*$K102,BB102*$J102))*IF(10=$R102,$S102,12)/12,6)+$B$4),BB102-$I102)))))</f>
        <v/>
      </c>
      <c r="BD102" s="68">
        <f>IF($U102=0,0,IF($F102=4,0,IF($F102=3,0,IF(OR(11&gt;$R102,BC102&lt;=$I102),BC102,BC102-MIN(INT(ROUND(IF($F102=1,$C102*$J102,IF(FB102&gt;0,FB102*$K102,BC102*$J102))*IF(11=$R102,$S102,12)/12,6)+$B$4),BC102-$I102)))))</f>
        <v/>
      </c>
      <c r="BE102" s="68">
        <f>IF($U102=0,0,IF($F102=4,0,IF($F102=3,0,IF(OR(12&gt;$R102,BD102&lt;=$I102),BD102,BD102-MIN(INT(ROUND(IF($F102=1,$C102*$J102,IF(FC102&gt;0,FC102*$K102,BD102*$J102))*IF(12=$R102,$S102,12)/12,6)+$B$4),BD102-$I102)))))</f>
        <v/>
      </c>
      <c r="BF102" s="68">
        <f>IF($U102=0,0,IF($F102=4,0,IF($F102=3,0,IF(OR(13&gt;$R102,BE102&lt;=$I102),BE102,BE102-MIN(INT(ROUND(IF($F102=1,$C102*$J102,IF(FD102&gt;0,FD102*$K102,BE102*$J102))*IF(13=$R102,$S102,12)/12,6)+$B$4),BE102-$I102)))))</f>
        <v/>
      </c>
      <c r="BG102" s="68">
        <f>IF($U102=0,0,IF($F102=4,0,IF($F102=3,0,IF(OR(14&gt;$R102,BF102&lt;=$I102),BF102,BF102-MIN(INT(ROUND(IF($F102=1,$C102*$J102,IF(FE102&gt;0,FE102*$K102,BF102*$J102))*IF(14=$R102,$S102,12)/12,6)+$B$4),BF102-$I102)))))</f>
        <v/>
      </c>
      <c r="BH102" s="68">
        <f>IF($U102=0,0,IF($F102=4,0,IF($F102=3,0,IF(OR(15&gt;$R102,BG102&lt;=$I102),BG102,BG102-MIN(INT(ROUND(IF($F102=1,$C102*$J102,IF(FF102&gt;0,FF102*$K102,BG102*$J102))*IF(15=$R102,$S102,12)/12,6)+$B$4),BG102-$I102)))))</f>
        <v/>
      </c>
      <c r="BI102" s="68">
        <f>IF($U102=0,0,IF($F102=4,0,IF($F102=3,0,IF(OR(16&gt;$R102,BH102&lt;=$I102),BH102,BH102-MIN(INT(ROUND(IF($F102=1,$C102*$J102,IF(FG102&gt;0,FG102*$K102,BH102*$J102))*IF(16=$R102,$S102,12)/12,6)+$B$4),BH102-$I102)))))</f>
        <v/>
      </c>
      <c r="BJ102" s="68">
        <f>IF($U102=0,0,IF($F102=4,0,IF($F102=3,0,IF(OR(17&gt;$R102,BI102&lt;=$I102),BI102,BI102-MIN(INT(ROUND(IF($F102=1,$C102*$J102,IF(FH102&gt;0,FH102*$K102,BI102*$J102))*IF(17=$R102,$S102,12)/12,6)+$B$4),BI102-$I102)))))</f>
        <v/>
      </c>
      <c r="BK102" s="68">
        <f>IF($U102=0,0,IF($F102=4,0,IF($F102=3,0,IF(OR(18&gt;$R102,BJ102&lt;=$I102),BJ102,BJ102-MIN(INT(ROUND(IF($F102=1,$C102*$J102,IF(FI102&gt;0,FI102*$K102,BJ102*$J102))*IF(18=$R102,$S102,12)/12,6)+$B$4),BJ102-$I102)))))</f>
        <v/>
      </c>
      <c r="BL102" s="68">
        <f>IF($U102=0,0,IF($F102=4,0,IF($F102=3,0,IF(OR(19&gt;$R102,BK102&lt;=$I102),BK102,BK102-MIN(INT(ROUND(IF($F102=1,$C102*$J102,IF(FJ102&gt;0,FJ102*$K102,BK102*$J102))*IF(19=$R102,$S102,12)/12,6)+$B$4),BK102-$I102)))))</f>
        <v/>
      </c>
      <c r="BM102" s="68">
        <f>IF($U102=0,0,IF($F102=4,0,IF($F102=3,0,IF(OR(20&gt;$R102,BL102&lt;=$I102),BL102,BL102-MIN(INT(ROUND(IF($F102=1,$C102*$J102,IF(FK102&gt;0,FK102*$K102,BL102*$J102))*IF(20=$R102,$S102,12)/12,6)+$B$4),BL102-$I102)))))</f>
        <v/>
      </c>
      <c r="BN102" s="68">
        <f>IF($U102=0,0,IF($F102=4,0,IF($F102=3,0,IF(OR(21&gt;$R102,BM102&lt;=$I102),BM102,BM102-MIN(INT(ROUND(IF($F102=1,$C102*$J102,IF(FL102&gt;0,FL102*$K102,BM102*$J102))*IF(21=$R102,$S102,12)/12,6)+$B$4),BM102-$I102)))))</f>
        <v/>
      </c>
      <c r="BO102" s="68">
        <f>IF($U102=0,0,IF($F102=4,0,IF($F102=3,0,IF(OR(22&gt;$R102,BN102&lt;=$I102),BN102,BN102-MIN(INT(ROUND(IF($F102=1,$C102*$J102,IF(FM102&gt;0,FM102*$K102,BN102*$J102))*IF(22=$R102,$S102,12)/12,6)+$B$4),BN102-$I102)))))</f>
        <v/>
      </c>
      <c r="BP102" s="68">
        <f>IF($U102=0,0,IF($F102=4,0,IF($F102=3,0,IF(OR(23&gt;$R102,BO102&lt;=$I102),BO102,BO102-MIN(INT(ROUND(IF($F102=1,$C102*$J102,IF(FN102&gt;0,FN102*$K102,BO102*$J102))*IF(23=$R102,$S102,12)/12,6)+$B$4),BO102-$I102)))))</f>
        <v/>
      </c>
      <c r="BQ102" s="68">
        <f>IF($U102=0,0,IF($F102=4,0,IF($F102=3,0,IF(OR(24&gt;$R102,BP102&lt;=$I102),BP102,BP102-MIN(INT(ROUND(IF($F102=1,$C102*$J102,IF(FO102&gt;0,FO102*$K102,BP102*$J102))*IF(24=$R102,$S102,12)/12,6)+$B$4),BP102-$I102)))))</f>
        <v/>
      </c>
      <c r="BR102" s="68">
        <f>IF($U102=0,0,IF($F102=4,0,IF($F102=3,0,IF(OR(25&gt;$R102,BQ102&lt;=$I102),BQ102,BQ102-MIN(INT(ROUND(IF($F102=1,$C102*$J102,IF(FP102&gt;0,FP102*$K102,BQ102*$J102))*IF(25=$R102,$S102,12)/12,6)+$B$4),BQ102-$I102)))))</f>
        <v/>
      </c>
      <c r="BS102" s="68">
        <f>IF($U102=0,0,IF($F102=4,0,IF($F102=3,0,IF(OR(26&gt;$R102,BR102&lt;=$I102),BR102,BR102-MIN(INT(ROUND(IF($F102=1,$C102*$J102,IF(FQ102&gt;0,FQ102*$K102,BR102*$J102))*IF(26=$R102,$S102,12)/12,6)+$B$4),BR102-$I102)))))</f>
        <v/>
      </c>
      <c r="BT102" s="68">
        <f>IF($U102=0,0,IF($F102=4,0,IF($F102=3,0,IF(OR(27&gt;$R102,BS102&lt;=$I102),BS102,BS102-MIN(INT(ROUND(IF($F102=1,$C102*$J102,IF(FR102&gt;0,FR102*$K102,BS102*$J102))*IF(27=$R102,$S102,12)/12,6)+$B$4),BS102-$I102)))))</f>
        <v/>
      </c>
      <c r="BU102" s="68">
        <f>IF($U102=0,0,IF($F102=4,0,IF($F102=3,0,IF(OR(28&gt;$R102,BT102&lt;=$I102),BT102,BT102-MIN(INT(ROUND(IF($F102=1,$C102*$J102,IF(FS102&gt;0,FS102*$K102,BT102*$J102))*IF(28=$R102,$S102,12)/12,6)+$B$4),BT102-$I102)))))</f>
        <v/>
      </c>
      <c r="BV102" s="68">
        <f>IF($U102=0,0,IF($F102=4,0,IF($F102=3,0,IF(OR(29&gt;$R102,BU102&lt;=$I102),BU102,BU102-MIN(INT(ROUND(IF($F102=1,$C102*$J102,IF(FT102&gt;0,FT102*$K102,BU102*$J102))*IF(29=$R102,$S102,12)/12,6)+$B$4),BU102-$I102)))))</f>
        <v/>
      </c>
      <c r="BW102" s="68">
        <f>IF($U102=0,0,IF($F102=4,0,IF($F102=3,0,IF(OR(30&gt;$R102,BV102&lt;=$I102),BV102,BV102-MIN(INT(ROUND(IF($F102=1,$C102*$J102,IF(FU102&gt;0,FU102*$K102,BV102*$J102))*IF(30=$R102,$S102,12)/12,6)+$B$4),BV102-$I102)))))</f>
        <v/>
      </c>
      <c r="BX102" s="68">
        <f>IF($U102=0,0,IF($F102=4,0,IF($F102=3,0,IF(OR(31&gt;$R102,BW102&lt;=$I102),BW102,BW102-MIN(INT(ROUND(IF($F102=1,$C102*$J102,IF(FV102&gt;0,FV102*$K102,BW102*$J102))*IF(31=$R102,$S102,12)/12,6)+$B$4),BW102-$I102)))))</f>
        <v/>
      </c>
      <c r="BY102" s="68">
        <f>IF($U102=0,0,IF($F102=4,0,IF($F102=3,0,IF(OR(32&gt;$R102,BX102&lt;=$I102),BX102,BX102-MIN(INT(ROUND(IF($F102=1,$C102*$J102,IF(FW102&gt;0,FW102*$K102,BX102*$J102))*IF(32=$R102,$S102,12)/12,6)+$B$4),BX102-$I102)))))</f>
        <v/>
      </c>
      <c r="BZ102" s="68">
        <f>IF($U102=0,0,IF($F102=4,0,IF($F102=3,0,IF(OR(33&gt;$R102,BY102&lt;=$I102),BY102,BY102-MIN(INT(ROUND(IF($F102=1,$C102*$J102,IF(FX102&gt;0,FX102*$K102,BY102*$J102))*IF(33=$R102,$S102,12)/12,6)+$B$4),BY102-$I102)))))</f>
        <v/>
      </c>
      <c r="CA102" s="68">
        <f>IF($U102=0,0,IF($F102=4,0,IF($F102=3,0,IF(OR(34&gt;$R102,BZ102&lt;=$I102),BZ102,BZ102-MIN(INT(ROUND(IF($F102=1,$C102*$J102,IF(FY102&gt;0,FY102*$K102,BZ102*$J102))*IF(34=$R102,$S102,12)/12,6)+$B$4),BZ102-$I102)))))</f>
        <v/>
      </c>
      <c r="CB102" s="68">
        <f>IF($U102=0,0,IF($F102=4,0,IF($F102=3,0,IF(OR(35&gt;$R102,CA102&lt;=$I102),CA102,CA102-MIN(INT(ROUND(IF($F102=1,$C102*$J102,IF(FZ102&gt;0,FZ102*$K102,CA102*$J102))*IF(35=$R102,$S102,12)/12,6)+$B$4),CA102-$I102)))))</f>
        <v/>
      </c>
      <c r="CC102" s="68">
        <f>IF($U102=0,0,IF($F102=4,0,IF($F102=3,0,IF(OR(36&gt;$R102,CB102&lt;=$I102),CB102,CB102-MIN(INT(ROUND(IF($F102=1,$C102*$J102,IF(GA102&gt;0,GA102*$K102,CB102*$J102))*IF(36=$R102,$S102,12)/12,6)+$B$4),CB102-$I102)))))</f>
        <v/>
      </c>
      <c r="CD102" s="68">
        <f>IF($U102=0,0,IF($F102=4,0,IF($F102=3,0,IF(OR(37&gt;$R102,CC102&lt;=$I102),CC102,CC102-MIN(INT(ROUND(IF($F102=1,$C102*$J102,IF(GB102&gt;0,GB102*$K102,CC102*$J102))*IF(37=$R102,$S102,12)/12,6)+$B$4),CC102-$I102)))))</f>
        <v/>
      </c>
      <c r="CE102" s="68">
        <f>IF($U102=0,0,IF($F102=4,0,IF($F102=3,0,IF(OR(38&gt;$R102,CD102&lt;=$I102),CD102,CD102-MIN(INT(ROUND(IF($F102=1,$C102*$J102,IF(GC102&gt;0,GC102*$K102,CD102*$J102))*IF(38=$R102,$S102,12)/12,6)+$B$4),CD102-$I102)))))</f>
        <v/>
      </c>
      <c r="CF102" s="68">
        <f>IF($U102=0,0,IF($F102=4,0,IF($F102=3,0,IF(OR(39&gt;$R102,CE102&lt;=$I102),CE102,CE102-MIN(INT(ROUND(IF($F102=1,$C102*$J102,IF(GD102&gt;0,GD102*$K102,CE102*$J102))*IF(39=$R102,$S102,12)/12,6)+$B$4),CE102-$I102)))))</f>
        <v/>
      </c>
      <c r="CG102" s="68">
        <f>IF($U102=0,0,IF($F102=4,0,IF($F102=3,0,IF(OR(40&gt;$R102,CF102&lt;=$I102),CF102,CF102-MIN(INT(ROUND(IF($F102=1,$C102*$J102,IF(GE102&gt;0,GE102*$K102,CF102*$J102))*IF(40=$R102,$S102,12)/12,6)+$B$4),CF102-$I102)))))</f>
        <v/>
      </c>
      <c r="CH102" s="68">
        <f>IF($U102=0,0,IF($F102=4,0,IF($F102=3,0,IF(OR(41&gt;$R102,CG102&lt;=$I102),CG102,CG102-MIN(INT(ROUND(IF($F102=1,$C102*$J102,IF(GF102&gt;0,GF102*$K102,CG102*$J102))*IF(41=$R102,$S102,12)/12,6)+$B$4),CG102-$I102)))))</f>
        <v/>
      </c>
      <c r="CI102" s="68">
        <f>IF($U102=0,0,IF($F102=4,0,IF($F102=3,0,IF(OR(42&gt;$R102,CH102&lt;=$I102),CH102,CH102-MIN(INT(ROUND(IF($F102=1,$C102*$J102,IF(GG102&gt;0,GG102*$K102,CH102*$J102))*IF(42=$R102,$S102,12)/12,6)+$B$4),CH102-$I102)))))</f>
        <v/>
      </c>
      <c r="CJ102" s="68">
        <f>IF($U102=0,0,IF($F102=4,0,IF($F102=3,0,IF(OR(43&gt;$R102,CI102&lt;=$I102),CI102,CI102-MIN(INT(ROUND(IF($F102=1,$C102*$J102,IF(GH102&gt;0,GH102*$K102,CI102*$J102))*IF(43=$R102,$S102,12)/12,6)+$B$4),CI102-$I102)))))</f>
        <v/>
      </c>
      <c r="CK102" s="68">
        <f>IF($U102=0,0,IF($F102=4,0,IF($F102=3,0,IF(OR(44&gt;$R102,CJ102&lt;=$I102),CJ102,CJ102-MIN(INT(ROUND(IF($F102=1,$C102*$J102,IF(GI102&gt;0,GI102*$K102,CJ102*$J102))*IF(44=$R102,$S102,12)/12,6)+$B$4),CJ102-$I102)))))</f>
        <v/>
      </c>
      <c r="CL102" s="68">
        <f>IF($U102=0,0,IF($F102=4,0,IF($F102=3,0,IF(OR(45&gt;$R102,CK102&lt;=$I102),CK102,CK102-MIN(INT(ROUND(IF($F102=1,$C102*$J102,IF(GJ102&gt;0,GJ102*$K102,CK102*$J102))*IF(45=$R102,$S102,12)/12,6)+$B$4),CK102-$I102)))))</f>
        <v/>
      </c>
      <c r="CM102" s="68">
        <f>IF($U102=0,0,IF($F102=4,0,IF($F102=3,0,IF(OR(46&gt;$R102,CL102&lt;=$I102),CL102,CL102-MIN(INT(ROUND(IF($F102=1,$C102*$J102,IF(GK102&gt;0,GK102*$K102,CL102*$J102))*IF(46=$R102,$S102,12)/12,6)+$B$4),CL102-$I102)))))</f>
        <v/>
      </c>
      <c r="CN102" s="68">
        <f>IF($U102=0,0,IF($F102=4,0,IF($F102=3,0,IF(OR(47&gt;$R102,CM102&lt;=$I102),CM102,CM102-MIN(INT(ROUND(IF($F102=1,$C102*$J102,IF(GL102&gt;0,GL102*$K102,CM102*$J102))*IF(47=$R102,$S102,12)/12,6)+$B$4),CM102-$I102)))))</f>
        <v/>
      </c>
      <c r="CO102" s="68">
        <f>IF($U102=0,0,IF($F102=4,0,IF($F102=3,0,IF(OR(48&gt;$R102,CN102&lt;=$I102),CN102,CN102-MIN(INT(ROUND(IF($F102=1,$C102*$J102,IF(GM102&gt;0,GM102*$K102,CN102*$J102))*IF(48=$R102,$S102,12)/12,6)+$B$4),CN102-$I102)))))</f>
        <v/>
      </c>
      <c r="CP102" s="68">
        <f>IF($U102=0,0,IF($F102=4,0,IF($F102=3,0,IF(OR(49&gt;$R102,CO102&lt;=$I102),CO102,CO102-MIN(INT(ROUND(IF($F102=1,$C102*$J102,IF(GN102&gt;0,GN102*$K102,CO102*$J102))*IF(49=$R102,$S102,12)/12,6)+$B$4),CO102-$I102)))))</f>
        <v/>
      </c>
      <c r="CQ102" s="68">
        <f>IF($U102=0,0,IF($F102=4,0,IF($F102=3,0,IF(OR(50&gt;$R102,CP102&lt;=$I102),CP102,CP102-MIN(INT(ROUND(IF($F102=1,$C102*$J102,IF(GO102&gt;0,GO102*$K102,CP102*$J102))*IF(50=$R102,$S102,12)/12,6)+$B$4),CP102-$I102)))))</f>
        <v/>
      </c>
      <c r="CR102" s="68">
        <f>IF($U102=0,0,IF($F102=4,0,IF($F102=3,0,IF(OR(51&gt;$R102,CQ102&lt;=$I102),CQ102,CQ102-MIN(INT(ROUND(IF($F102=1,$C102*$J102,IF(GP102&gt;0,GP102*$K102,CQ102*$J102))*IF(51=$R102,$S102,12)/12,6)+$B$4),CQ102-$I102)))))</f>
        <v/>
      </c>
      <c r="CS102" s="68">
        <f>IF($U102=0,0,IF($F102=4,0,IF($F102=3,0,IF(OR(52&gt;$R102,CR102&lt;=$I102),CR102,CR102-MIN(INT(ROUND(IF($F102=1,$C102*$J102,IF(GQ102&gt;0,GQ102*$K102,CR102*$J102))*IF(52=$R102,$S102,12)/12,6)+$B$4),CR102-$I102)))))</f>
        <v/>
      </c>
      <c r="CT102" s="68">
        <f>IF($U102=0,0,IF($F102=4,0,IF($F102=3,0,IF(OR(53&gt;$R102,CS102&lt;=$I102),CS102,CS102-MIN(INT(ROUND(IF($F102=1,$C102*$J102,IF(GR102&gt;0,GR102*$K102,CS102*$J102))*IF(53=$R102,$S102,12)/12,6)+$B$4),CS102-$I102)))))</f>
        <v/>
      </c>
      <c r="CU102" s="68">
        <f>IF($U102=0,0,IF($F102=4,0,IF($F102=3,0,IF(OR(54&gt;$R102,CT102&lt;=$I102),CT102,CT102-MIN(INT(ROUND(IF($F102=1,$C102*$J102,IF(GS102&gt;0,GS102*$K102,CT102*$J102))*IF(54=$R102,$S102,12)/12,6)+$B$4),CT102-$I102)))))</f>
        <v/>
      </c>
      <c r="CV102" s="68">
        <f>IF($U102=0,0,IF($F102=4,0,IF($F102=3,0,IF(OR(55&gt;$R102,CU102&lt;=$I102),CU102,CU102-MIN(INT(ROUND(IF($F102=1,$C102*$J102,IF(GT102&gt;0,GT102*$K102,CU102*$J102))*IF(55=$R102,$S102,12)/12,6)+$B$4),CU102-$I102)))))</f>
        <v/>
      </c>
      <c r="CW102" s="68">
        <f>IF($U102=0,0,IF($F102=4,0,IF($F102=3,0,IF(OR(56&gt;$R102,CV102&lt;=$I102),CV102,CV102-MIN(INT(ROUND(IF($F102=1,$C102*$J102,IF(GU102&gt;0,GU102*$K102,CV102*$J102))*IF(56=$R102,$S102,12)/12,6)+$B$4),CV102-$I102)))))</f>
        <v/>
      </c>
      <c r="CX102" s="68">
        <f>IF($U102=0,0,IF($F102=4,0,IF($F102=3,0,IF(OR(57&gt;$R102,CW102&lt;=$I102),CW102,CW102-MIN(INT(ROUND(IF($F102=1,$C102*$J102,IF(GV102&gt;0,GV102*$K102,CW102*$J102))*IF(57=$R102,$S102,12)/12,6)+$B$4),CW102-$I102)))))</f>
        <v/>
      </c>
      <c r="CY102" s="68">
        <f>IF($U102=0,0,IF($F102=4,0,IF($F102=3,0,IF(OR(58&gt;$R102,CX102&lt;=$I102),CX102,CX102-MIN(INT(ROUND(IF($F102=1,$C102*$J102,IF(GW102&gt;0,GW102*$K102,CX102*$J102))*IF(58=$R102,$S102,12)/12,6)+$B$4),CX102-$I102)))))</f>
        <v/>
      </c>
      <c r="CZ102" s="68">
        <f>IF($U102=0,0,IF($F102=4,0,IF($F102=3,0,IF(OR(59&gt;$R102,CY102&lt;=$I102),CY102,CY102-MIN(INT(ROUND(IF($F102=1,$C102*$J102,IF(GX102&gt;0,GX102*$K102,CY102*$J102))*IF(59=$R102,$S102,12)/12,6)+$B$4),CY102-$I102)))))</f>
        <v/>
      </c>
      <c r="DA102" s="68">
        <f>IF($U102=0,0,IF($F102=4,0,IF($F102=3,0,IF(OR(60&gt;$R102,CZ102&lt;=$I102),CZ102,CZ102-MIN(INT(ROUND(IF($F102=1,$C102*$J102,IF(GY102&gt;0,GY102*$K102,CZ102*$J102))*IF(60=$R102,$S102,12)/12,6)+$B$4),CZ102-$I102)))))</f>
        <v/>
      </c>
      <c r="DB102" s="68">
        <f>IF($U102=0,0,IF($F102=4,0,IF($F102=3,0,IF(OR(61&gt;$R102,DA102&lt;=$I102),DA102,DA102-MIN(INT(ROUND(IF($F102=1,$C102*$J102,IF(GZ102&gt;0,GZ102*$K102,DA102*$J102))*IF(61=$R102,$S102,12)/12,6)+$B$4),DA102-$I102)))))</f>
        <v/>
      </c>
      <c r="DC102" s="68">
        <f>IF($U102=0,0,IF($F102=4,0,IF($F102=3,0,IF(OR(62&gt;$R102,DB102&lt;=$I102),DB102,DB102-MIN(INT(ROUND(IF($F102=1,$C102*$J102,IF(HA102&gt;0,HA102*$K102,DB102*$J102))*IF(62=$R102,$S102,12)/12,6)+$B$4),DB102-$I102)))))</f>
        <v/>
      </c>
      <c r="DD102" s="68">
        <f>IF($U102=0,0,IF($F102=4,0,IF($F102=3,0,IF(OR(63&gt;$R102,DC102&lt;=$I102),DC102,DC102-MIN(INT(ROUND(IF($F102=1,$C102*$J102,IF(HB102&gt;0,HB102*$K102,DC102*$J102))*IF(63=$R102,$S102,12)/12,6)+$B$4),DC102-$I102)))))</f>
        <v/>
      </c>
      <c r="DE102" s="68">
        <f>IF($U102=0,0,IF($F102=4,0,IF($F102=3,0,IF(OR(64&gt;$R102,DD102&lt;=$I102),DD102,DD102-MIN(INT(ROUND(IF($F102=1,$C102*$J102,IF(HC102&gt;0,HC102*$K102,DD102*$J102))*IF(64=$R102,$S102,12)/12,6)+$B$4),DD102-$I102)))))</f>
        <v/>
      </c>
      <c r="DF102" s="68">
        <f>IF($U102=0,0,IF($F102=4,0,IF($F102=3,0,IF(OR(65&gt;$R102,DE102&lt;=$I102),DE102,DE102-MIN(INT(ROUND(IF($F102=1,$C102*$J102,IF(HD102&gt;0,HD102*$K102,DE102*$J102))*IF(65=$R102,$S102,12)/12,6)+$B$4),DE102-$I102)))))</f>
        <v/>
      </c>
      <c r="DG102" s="68">
        <f>IF($U102=0,0,IF($F102=4,0,IF($F102=3,0,IF(OR(66&gt;$R102,DF102&lt;=$I102),DF102,DF102-MIN(INT(ROUND(IF($F102=1,$C102*$J102,IF(HE102&gt;0,HE102*$K102,DF102*$J102))*IF(66=$R102,$S102,12)/12,6)+$B$4),DF102-$I102)))))</f>
        <v/>
      </c>
      <c r="DH102" s="68">
        <f>IF($U102=0,0,IF($F102=4,0,IF($F102=3,0,IF(OR(67&gt;$R102,DG102&lt;=$I102),DG102,DG102-MIN(INT(ROUND(IF($F102=1,$C102*$J102,IF(HF102&gt;0,HF102*$K102,DG102*$J102))*IF(67=$R102,$S102,12)/12,6)+$B$4),DG102-$I102)))))</f>
        <v/>
      </c>
      <c r="DI102" s="68">
        <f>IF($U102=0,0,IF($F102=4,0,IF($F102=3,0,IF(OR(68&gt;$R102,DH102&lt;=$I102),DH102,DH102-MIN(INT(ROUND(IF($F102=1,$C102*$J102,IF(HG102&gt;0,HG102*$K102,DH102*$J102))*IF(68=$R102,$S102,12)/12,6)+$B$4),DH102-$I102)))))</f>
        <v/>
      </c>
      <c r="DJ102" s="68">
        <f>IF($U102=0,0,IF($F102=4,0,IF($F102=3,0,IF(OR(69&gt;$R102,DI102&lt;=$I102),DI102,DI102-MIN(INT(ROUND(IF($F102=1,$C102*$J102,IF(HH102&gt;0,HH102*$K102,DI102*$J102))*IF(69=$R102,$S102,12)/12,6)+$B$4),DI102-$I102)))))</f>
        <v/>
      </c>
      <c r="DK102" s="68">
        <f>IF($U102=0,0,IF($F102=4,0,IF($F102=3,0,IF(OR(70&gt;$R102,DJ102&lt;=$I102),DJ102,DJ102-MIN(INT(ROUND(IF($F102=1,$C102*$J102,IF(HI102&gt;0,HI102*$K102,DJ102*$J102))*IF(70=$R102,$S102,12)/12,6)+$B$4),DJ102-$I102)))))</f>
        <v/>
      </c>
      <c r="DL102" s="68">
        <f>IF($U102=0,0,IF($F102=4,0,IF($F102=3,0,IF(OR(71&gt;$R102,DK102&lt;=$I102),DK102,DK102-MIN(INT(ROUND(IF($F102=1,$C102*$J102,IF(HJ102&gt;0,HJ102*$K102,DK102*$J102))*IF(71=$R102,$S102,12)/12,6)+$B$4),DK102-$I102)))))</f>
        <v/>
      </c>
      <c r="DM102" s="68">
        <f>IF($U102=0,0,IF($F102=4,0,IF($F102=3,0,IF(OR(72&gt;$R102,DL102&lt;=$I102),DL102,DL102-MIN(INT(ROUND(IF($F102=1,$C102*$J102,IF(HK102&gt;0,HK102*$K102,DL102*$J102))*IF(72=$R102,$S102,12)/12,6)+$B$4),DL102-$I102)))))</f>
        <v/>
      </c>
      <c r="DN102" s="68">
        <f>IF($U102=0,0,IF($F102=4,0,IF($F102=3,0,IF(OR(73&gt;$R102,DM102&lt;=$I102),DM102,DM102-MIN(INT(ROUND(IF($F102=1,$C102*$J102,IF(HL102&gt;0,HL102*$K102,DM102*$J102))*IF(73=$R102,$S102,12)/12,6)+$B$4),DM102-$I102)))))</f>
        <v/>
      </c>
      <c r="DO102" s="68">
        <f>IF($U102=0,0,IF($F102=4,0,IF($F102=3,0,IF(OR(74&gt;$R102,DN102&lt;=$I102),DN102,DN102-MIN(INT(ROUND(IF($F102=1,$C102*$J102,IF(HM102&gt;0,HM102*$K102,DN102*$J102))*IF(74=$R102,$S102,12)/12,6)+$B$4),DN102-$I102)))))</f>
        <v/>
      </c>
      <c r="DP102" s="68">
        <f>IF($U102=0,0,IF($F102=4,0,IF($F102=3,0,IF(OR(75&gt;$R102,DO102&lt;=$I102),DO102,DO102-MIN(INT(ROUND(IF($F102=1,$C102*$J102,IF(HN102&gt;0,HN102*$K102,DO102*$J102))*IF(75=$R102,$S102,12)/12,6)+$B$4),DO102-$I102)))))</f>
        <v/>
      </c>
      <c r="DQ102" s="68">
        <f>IF($U102=0,0,IF($F102=4,0,IF($F102=3,0,IF(OR(76&gt;$R102,DP102&lt;=$I102),DP102,DP102-MIN(INT(ROUND(IF($F102=1,$C102*$J102,IF(HO102&gt;0,HO102*$K102,DP102*$J102))*IF(76=$R102,$S102,12)/12,6)+$B$4),DP102-$I102)))))</f>
        <v/>
      </c>
      <c r="DR102" s="68">
        <f>IF($U102=0,0,IF($F102=4,0,IF($F102=3,0,IF(OR(77&gt;$R102,DQ102&lt;=$I102),DQ102,DQ102-MIN(INT(ROUND(IF($F102=1,$C102*$J102,IF(HP102&gt;0,HP102*$K102,DQ102*$J102))*IF(77=$R102,$S102,12)/12,6)+$B$4),DQ102-$I102)))))</f>
        <v/>
      </c>
      <c r="DS102" s="68">
        <f>IF($U102=0,0,IF($F102=4,0,IF($F102=3,0,IF(OR(78&gt;$R102,DR102&lt;=$I102),DR102,DR102-MIN(INT(ROUND(IF($F102=1,$C102*$J102,IF(HQ102&gt;0,HQ102*$K102,DR102*$J102))*IF(78=$R102,$S102,12)/12,6)+$B$4),DR102-$I102)))))</f>
        <v/>
      </c>
      <c r="DT102" s="68">
        <f>IF($U102=0,0,IF($F102=4,0,IF($F102=3,0,IF(OR(79&gt;$R102,DS102&lt;=$I102),DS102,DS102-MIN(INT(ROUND(IF($F102=1,$C102*$J102,IF(HR102&gt;0,HR102*$K102,DS102*$J102))*IF(79=$R102,$S102,12)/12,6)+$B$4),DS102-$I102)))))</f>
        <v/>
      </c>
      <c r="DU102" s="68">
        <f>IF($U102=0,0,IF($F102=4,0,IF($F102=3,0,IF(OR(80&gt;$R102,DT102&lt;=$I102),DT102,DT102-MIN(INT(ROUND(IF($F102=1,$C102*$J102,IF(HS102&gt;0,HS102*$K102,DT102*$J102))*IF(80=$R102,$S102,12)/12,6)+$B$4),DT102-$I102)))))</f>
        <v/>
      </c>
      <c r="DV102" s="68">
        <f>IF($U102=0,0,IF($F102=4,0,IF($F102=3,0,IF(OR(81&gt;$R102,DU102&lt;=$I102),DU102,DU102-MIN(INT(ROUND(IF($F102=1,$C102*$J102,IF(HT102&gt;0,HT102*$K102,DU102*$J102))*IF(81=$R102,$S102,12)/12,6)+$B$4),DU102-$I102)))))</f>
        <v/>
      </c>
      <c r="DW102" s="68">
        <f>IF($U102=0,0,IF($F102=4,0,IF($F102=3,0,IF(OR(82&gt;$R102,DV102&lt;=$I102),DV102,DV102-MIN(INT(ROUND(IF($F102=1,$C102*$J102,IF(HU102&gt;0,HU102*$K102,DV102*$J102))*IF(82=$R102,$S102,12)/12,6)+$B$4),DV102-$I102)))))</f>
        <v/>
      </c>
      <c r="DX102" s="68">
        <f>IF($U102=0,0,IF($F102=4,0,IF($F102=3,0,IF(OR(83&gt;$R102,DW102&lt;=$I102),DW102,DW102-MIN(INT(ROUND(IF($F102=1,$C102*$J102,IF(HV102&gt;0,HV102*$K102,DW102*$J102))*IF(83=$R102,$S102,12)/12,6)+$B$4),DW102-$I102)))))</f>
        <v/>
      </c>
      <c r="DY102" s="68">
        <f>IF($U102=0,0,IF($F102=4,0,IF($F102=3,0,IF(OR(84&gt;$R102,DX102&lt;=$I102),DX102,DX102-MIN(INT(ROUND(IF($F102=1,$C102*$J102,IF(HW102&gt;0,HW102*$K102,DX102*$J102))*IF(84=$R102,$S102,12)/12,6)+$B$4),DX102-$I102)))))</f>
        <v/>
      </c>
      <c r="DZ102" s="68">
        <f>IF($U102=0,0,IF($F102=4,0,IF($F102=3,0,IF(OR(85&gt;$R102,DY102&lt;=$I102),DY102,DY102-MIN(INT(ROUND(IF($F102=1,$C102*$J102,IF(HX102&gt;0,HX102*$K102,DY102*$J102))*IF(85=$R102,$S102,12)/12,6)+$B$4),DY102-$I102)))))</f>
        <v/>
      </c>
      <c r="EA102" s="68">
        <f>IF($U102=0,0,IF($F102=4,0,IF($F102=3,0,IF(OR(86&gt;$R102,DZ102&lt;=$I102),DZ102,DZ102-MIN(INT(ROUND(IF($F102=1,$C102*$J102,IF(HY102&gt;0,HY102*$K102,DZ102*$J102))*IF(86=$R102,$S102,12)/12,6)+$B$4),DZ102-$I102)))))</f>
        <v/>
      </c>
      <c r="EB102" s="68">
        <f>IF($U102=0,0,IF($F102=4,0,IF($F102=3,0,IF(OR(87&gt;$R102,EA102&lt;=$I102),EA102,EA102-MIN(INT(ROUND(IF($F102=1,$C102*$J102,IF(HZ102&gt;0,HZ102*$K102,EA102*$J102))*IF(87=$R102,$S102,12)/12,6)+$B$4),EA102-$I102)))))</f>
        <v/>
      </c>
      <c r="EC102" s="68">
        <f>IF($U102=0,0,IF($F102=4,0,IF($F102=3,0,IF(OR(88&gt;$R102,EB102&lt;=$I102),EB102,EB102-MIN(INT(ROUND(IF($F102=1,$C102*$J102,IF(IA102&gt;0,IA102*$K102,EB102*$J102))*IF(88=$R102,$S102,12)/12,6)+$B$4),EB102-$I102)))))</f>
        <v/>
      </c>
      <c r="ED102" s="68">
        <f>IF($U102=0,0,IF($F102=4,0,IF($F102=3,0,IF(OR(89&gt;$R102,EC102&lt;=$I102),EC102,EC102-MIN(INT(ROUND(IF($F102=1,$C102*$J102,IF(IB102&gt;0,IB102*$K102,EC102*$J102))*IF(89=$R102,$S102,12)/12,6)+$B$4),EC102-$I102)))))</f>
        <v/>
      </c>
      <c r="EE102" s="68">
        <f>IF($U102=0,0,IF($F102=4,0,IF($F102=3,0,IF(OR(90&gt;$R102,ED102&lt;=$I102),ED102,ED102-MIN(INT(ROUND(IF($F102=1,$C102*$J102,IF(IC102&gt;0,IC102*$K102,ED102*$J102))*IF(90=$R102,$S102,12)/12,6)+$B$4),ED102-$I102)))))</f>
        <v/>
      </c>
      <c r="EF102" s="68">
        <f>IF($U102=0,0,IF($F102=4,0,IF($F102=3,0,IF(OR(91&gt;$R102,EE102&lt;=$I102),EE102,EE102-MIN(INT(ROUND(IF($F102=1,$C102*$J102,IF(ID102&gt;0,ID102*$K102,EE102*$J102))*IF(91=$R102,$S102,12)/12,6)+$B$4),EE102-$I102)))))</f>
        <v/>
      </c>
      <c r="EG102" s="68">
        <f>IF($U102=0,0,IF($F102=4,0,IF($F102=3,0,IF(OR(92&gt;$R102,EF102&lt;=$I102),EF102,EF102-MIN(INT(ROUND(IF($F102=1,$C102*$J102,IF(IE102&gt;0,IE102*$K102,EF102*$J102))*IF(92=$R102,$S102,12)/12,6)+$B$4),EF102-$I102)))))</f>
        <v/>
      </c>
      <c r="EH102" s="68">
        <f>IF($U102=0,0,IF($F102=4,0,IF($F102=3,0,IF(OR(93&gt;$R102,EG102&lt;=$I102),EG102,EG102-MIN(INT(ROUND(IF($F102=1,$C102*$J102,IF(IF102&gt;0,IF102*$K102,EG102*$J102))*IF(93=$R102,$S102,12)/12,6)+$B$4),EG102-$I102)))))</f>
        <v/>
      </c>
      <c r="EI102" s="68">
        <f>IF($U102=0,0,IF($F102=4,0,IF($F102=3,0,IF(OR(94&gt;$R102,EH102&lt;=$I102),EH102,EH102-MIN(INT(ROUND(IF($F102=1,$C102*$J102,IF(IG102&gt;0,IG102*$K102,EH102*$J102))*IF(94=$R102,$S102,12)/12,6)+$B$4),EH102-$I102)))))</f>
        <v/>
      </c>
      <c r="EJ102" s="68">
        <f>IF($U102=0,0,IF($F102=4,0,IF($F102=3,0,IF(OR(95&gt;$R102,EI102&lt;=$I102),EI102,EI102-MIN(INT(ROUND(IF($F102=1,$C102*$J102,IF(IH102&gt;0,IH102*$K102,EI102*$J102))*IF(95=$R102,$S102,12)/12,6)+$B$4),EI102-$I102)))))</f>
        <v/>
      </c>
      <c r="EK102" s="68">
        <f>IF($U102=0,0,IF($F102=4,0,IF($F102=3,0,IF(OR(96&gt;$R102,EJ102&lt;=$I102),EJ102,EJ102-MIN(INT(ROUND(IF($F102=1,$C102*$J102,IF(II102&gt;0,II102*$K102,EJ102*$J102))*IF(96=$R102,$S102,12)/12,6)+$B$4),EJ102-$I102)))))</f>
        <v/>
      </c>
      <c r="EL102" s="68">
        <f>IF($U102=0,0,IF($F102=4,0,IF($F102=3,0,IF(OR(97&gt;$R102,EK102&lt;=$I102),EK102,EK102-MIN(INT(ROUND(IF($F102=1,$C102*$J102,IF(IJ102&gt;0,IJ102*$K102,EK102*$J102))*IF(97=$R102,$S102,12)/12,6)+$B$4),EK102-$I102)))))</f>
        <v/>
      </c>
      <c r="EM102" s="68">
        <f>IF($U102=0,0,IF($F102=4,0,IF($F102=3,0,IF(OR(98&gt;$R102,EL102&lt;=$I102),EL102,EL102-MIN(INT(ROUND(IF($F102=1,$C102*$J102,IF(IK102&gt;0,IK102*$K102,EL102*$J102))*IF(98=$R102,$S102,12)/12,6)+$B$4),EL102-$I102)))))</f>
        <v/>
      </c>
      <c r="EN102" s="68">
        <f>IF($U102=0,0,IF($F102=4,0,IF($F102=3,0,IF(OR(99&gt;$R102,EM102&lt;=$I102),EM102,EM102-MIN(INT(ROUND(IF($F102=1,$C102*$J102,IF(IL102&gt;0,IL102*$K102,EM102*$J102))*IF(99=$R102,$S102,12)/12,6)+$B$4),EM102-$I102)))))</f>
        <v/>
      </c>
      <c r="EO102" s="68">
        <f>IF($U102=0,0,IF($F102=4,0,IF($F102=3,0,IF(OR(100&gt;$R102,EN102&lt;=$I102),EN102,EN102-MIN(INT(ROUND(IF($F102=1,$C102*$J102,IF(IM102&gt;0,IM102*$K102,EN102*$J102))*IF(100=$R102,$S102,12)/12,6)+$B$4),EN102-$I102)))))</f>
        <v/>
      </c>
      <c r="EP102" s="68">
        <f>IF($U102=0,0,IF($F102=4,0,IF($F102=3,0,IF(OR(101&gt;$R102,EO102&lt;=$I102),EO102,EO102-MIN(INT(ROUND(IF($F102=1,$C102*$J102,IF(IN102&gt;0,IN102*$K102,EO102*$J102))*IF(101=$R102,$S102,12)/12,6)+$B$4),EO102-$I102)))))</f>
        <v/>
      </c>
      <c r="EQ102" s="68" t="n"/>
      <c r="ER102" s="68">
        <f>IF(OR($U102=0,$F102&lt;&gt;2),0,IF(ROUND(AS102*$J102,6)&lt;ROUND($M102,6),AS102,0))</f>
        <v/>
      </c>
      <c r="ES102" s="68">
        <f>IF(OR($U102=0,$F102&lt;&gt;2),0,IF(ER102&gt;0,ER102,IF(ROUND(AT102*$J102,6)&lt;ROUND($M102,6),AT102,0)))</f>
        <v/>
      </c>
      <c r="ET102" s="68">
        <f>IF(OR($U102=0,$F102&lt;&gt;2),0,IF(ES102&gt;0,ES102,IF(ROUND(AU102*$J102,6)&lt;ROUND($M102,6),AU102,0)))</f>
        <v/>
      </c>
      <c r="EU102" s="68">
        <f>IF(OR($U102=0,$F102&lt;&gt;2),0,IF(ET102&gt;0,ET102,IF(ROUND(AV102*$J102,6)&lt;ROUND($M102,6),AV102,0)))</f>
        <v/>
      </c>
      <c r="EV102" s="68">
        <f>IF(OR($U102=0,$F102&lt;&gt;2),0,IF(EU102&gt;0,EU102,IF(ROUND(AW102*$J102,6)&lt;ROUND($M102,6),AW102,0)))</f>
        <v/>
      </c>
      <c r="EW102" s="68">
        <f>IF(OR($U102=0,$F102&lt;&gt;2),0,IF(EV102&gt;0,EV102,IF(ROUND(AX102*$J102,6)&lt;ROUND($M102,6),AX102,0)))</f>
        <v/>
      </c>
      <c r="EX102" s="68">
        <f>IF(OR($U102=0,$F102&lt;&gt;2),0,IF(EW102&gt;0,EW102,IF(ROUND(AY102*$J102,6)&lt;ROUND($M102,6),AY102,0)))</f>
        <v/>
      </c>
      <c r="EY102" s="68">
        <f>IF(OR($U102=0,$F102&lt;&gt;2),0,IF(EX102&gt;0,EX102,IF(ROUND(AZ102*$J102,6)&lt;ROUND($M102,6),AZ102,0)))</f>
        <v/>
      </c>
      <c r="EZ102" s="68">
        <f>IF(OR($U102=0,$F102&lt;&gt;2),0,IF(EY102&gt;0,EY102,IF(ROUND(BA102*$J102,6)&lt;ROUND($M102,6),BA102,0)))</f>
        <v/>
      </c>
      <c r="FA102" s="68">
        <f>IF(OR($U102=0,$F102&lt;&gt;2),0,IF(EZ102&gt;0,EZ102,IF(ROUND(BB102*$J102,6)&lt;ROUND($M102,6),BB102,0)))</f>
        <v/>
      </c>
      <c r="FB102" s="68">
        <f>IF(OR($U102=0,$F102&lt;&gt;2),0,IF(FA102&gt;0,FA102,IF(ROUND(BC102*$J102,6)&lt;ROUND($M102,6),BC102,0)))</f>
        <v/>
      </c>
      <c r="FC102" s="68">
        <f>IF(OR($U102=0,$F102&lt;&gt;2),0,IF(FB102&gt;0,FB102,IF(ROUND(BD102*$J102,6)&lt;ROUND($M102,6),BD102,0)))</f>
        <v/>
      </c>
      <c r="FD102" s="68">
        <f>IF(OR($U102=0,$F102&lt;&gt;2),0,IF(FC102&gt;0,FC102,IF(ROUND(BE102*$J102,6)&lt;ROUND($M102,6),BE102,0)))</f>
        <v/>
      </c>
      <c r="FE102" s="68">
        <f>IF(OR($U102=0,$F102&lt;&gt;2),0,IF(FD102&gt;0,FD102,IF(ROUND(BF102*$J102,6)&lt;ROUND($M102,6),BF102,0)))</f>
        <v/>
      </c>
      <c r="FF102" s="68">
        <f>IF(OR($U102=0,$F102&lt;&gt;2),0,IF(FE102&gt;0,FE102,IF(ROUND(BG102*$J102,6)&lt;ROUND($M102,6),BG102,0)))</f>
        <v/>
      </c>
      <c r="FG102" s="68">
        <f>IF(OR($U102=0,$F102&lt;&gt;2),0,IF(FF102&gt;0,FF102,IF(ROUND(BH102*$J102,6)&lt;ROUND($M102,6),BH102,0)))</f>
        <v/>
      </c>
      <c r="FH102" s="68">
        <f>IF(OR($U102=0,$F102&lt;&gt;2),0,IF(FG102&gt;0,FG102,IF(ROUND(BI102*$J102,6)&lt;ROUND($M102,6),BI102,0)))</f>
        <v/>
      </c>
      <c r="FI102" s="68">
        <f>IF(OR($U102=0,$F102&lt;&gt;2),0,IF(FH102&gt;0,FH102,IF(ROUND(BJ102*$J102,6)&lt;ROUND($M102,6),BJ102,0)))</f>
        <v/>
      </c>
      <c r="FJ102" s="68">
        <f>IF(OR($U102=0,$F102&lt;&gt;2),0,IF(FI102&gt;0,FI102,IF(ROUND(BK102*$J102,6)&lt;ROUND($M102,6),BK102,0)))</f>
        <v/>
      </c>
      <c r="FK102" s="68">
        <f>IF(OR($U102=0,$F102&lt;&gt;2),0,IF(FJ102&gt;0,FJ102,IF(ROUND(BL102*$J102,6)&lt;ROUND($M102,6),BL102,0)))</f>
        <v/>
      </c>
      <c r="FL102" s="68">
        <f>IF(OR($U102=0,$F102&lt;&gt;2),0,IF(FK102&gt;0,FK102,IF(ROUND(BM102*$J102,6)&lt;ROUND($M102,6),BM102,0)))</f>
        <v/>
      </c>
      <c r="FM102" s="68">
        <f>IF(OR($U102=0,$F102&lt;&gt;2),0,IF(FL102&gt;0,FL102,IF(ROUND(BN102*$J102,6)&lt;ROUND($M102,6),BN102,0)))</f>
        <v/>
      </c>
      <c r="FN102" s="68">
        <f>IF(OR($U102=0,$F102&lt;&gt;2),0,IF(FM102&gt;0,FM102,IF(ROUND(BO102*$J102,6)&lt;ROUND($M102,6),BO102,0)))</f>
        <v/>
      </c>
      <c r="FO102" s="68">
        <f>IF(OR($U102=0,$F102&lt;&gt;2),0,IF(FN102&gt;0,FN102,IF(ROUND(BP102*$J102,6)&lt;ROUND($M102,6),BP102,0)))</f>
        <v/>
      </c>
      <c r="FP102" s="68">
        <f>IF(OR($U102=0,$F102&lt;&gt;2),0,IF(FO102&gt;0,FO102,IF(ROUND(BQ102*$J102,6)&lt;ROUND($M102,6),BQ102,0)))</f>
        <v/>
      </c>
      <c r="FQ102" s="68">
        <f>IF(OR($U102=0,$F102&lt;&gt;2),0,IF(FP102&gt;0,FP102,IF(ROUND(BR102*$J102,6)&lt;ROUND($M102,6),BR102,0)))</f>
        <v/>
      </c>
      <c r="FR102" s="68">
        <f>IF(OR($U102=0,$F102&lt;&gt;2),0,IF(FQ102&gt;0,FQ102,IF(ROUND(BS102*$J102,6)&lt;ROUND($M102,6),BS102,0)))</f>
        <v/>
      </c>
      <c r="FS102" s="68">
        <f>IF(OR($U102=0,$F102&lt;&gt;2),0,IF(FR102&gt;0,FR102,IF(ROUND(BT102*$J102,6)&lt;ROUND($M102,6),BT102,0)))</f>
        <v/>
      </c>
      <c r="FT102" s="68">
        <f>IF(OR($U102=0,$F102&lt;&gt;2),0,IF(FS102&gt;0,FS102,IF(ROUND(BU102*$J102,6)&lt;ROUND($M102,6),BU102,0)))</f>
        <v/>
      </c>
      <c r="FU102" s="68">
        <f>IF(OR($U102=0,$F102&lt;&gt;2),0,IF(FT102&gt;0,FT102,IF(ROUND(BV102*$J102,6)&lt;ROUND($M102,6),BV102,0)))</f>
        <v/>
      </c>
      <c r="FV102" s="68">
        <f>IF(OR($U102=0,$F102&lt;&gt;2),0,IF(FU102&gt;0,FU102,IF(ROUND(BW102*$J102,6)&lt;ROUND($M102,6),BW102,0)))</f>
        <v/>
      </c>
      <c r="FW102" s="68">
        <f>IF(OR($U102=0,$F102&lt;&gt;2),0,IF(FV102&gt;0,FV102,IF(ROUND(BX102*$J102,6)&lt;ROUND($M102,6),BX102,0)))</f>
        <v/>
      </c>
      <c r="FX102" s="68">
        <f>IF(OR($U102=0,$F102&lt;&gt;2),0,IF(FW102&gt;0,FW102,IF(ROUND(BY102*$J102,6)&lt;ROUND($M102,6),BY102,0)))</f>
        <v/>
      </c>
      <c r="FY102" s="68">
        <f>IF(OR($U102=0,$F102&lt;&gt;2),0,IF(FX102&gt;0,FX102,IF(ROUND(BZ102*$J102,6)&lt;ROUND($M102,6),BZ102,0)))</f>
        <v/>
      </c>
      <c r="FZ102" s="68">
        <f>IF(OR($U102=0,$F102&lt;&gt;2),0,IF(FY102&gt;0,FY102,IF(ROUND(CA102*$J102,6)&lt;ROUND($M102,6),CA102,0)))</f>
        <v/>
      </c>
      <c r="GA102" s="68">
        <f>IF(OR($U102=0,$F102&lt;&gt;2),0,IF(FZ102&gt;0,FZ102,IF(ROUND(CB102*$J102,6)&lt;ROUND($M102,6),CB102,0)))</f>
        <v/>
      </c>
      <c r="GB102" s="68">
        <f>IF(OR($U102=0,$F102&lt;&gt;2),0,IF(GA102&gt;0,GA102,IF(ROUND(CC102*$J102,6)&lt;ROUND($M102,6),CC102,0)))</f>
        <v/>
      </c>
      <c r="GC102" s="68">
        <f>IF(OR($U102=0,$F102&lt;&gt;2),0,IF(GB102&gt;0,GB102,IF(ROUND(CD102*$J102,6)&lt;ROUND($M102,6),CD102,0)))</f>
        <v/>
      </c>
      <c r="GD102" s="68">
        <f>IF(OR($U102=0,$F102&lt;&gt;2),0,IF(GC102&gt;0,GC102,IF(ROUND(CE102*$J102,6)&lt;ROUND($M102,6),CE102,0)))</f>
        <v/>
      </c>
      <c r="GE102" s="68">
        <f>IF(OR($U102=0,$F102&lt;&gt;2),0,IF(GD102&gt;0,GD102,IF(ROUND(CF102*$J102,6)&lt;ROUND($M102,6),CF102,0)))</f>
        <v/>
      </c>
      <c r="GF102" s="68">
        <f>IF(OR($U102=0,$F102&lt;&gt;2),0,IF(GE102&gt;0,GE102,IF(ROUND(CG102*$J102,6)&lt;ROUND($M102,6),CG102,0)))</f>
        <v/>
      </c>
      <c r="GG102" s="68">
        <f>IF(OR($U102=0,$F102&lt;&gt;2),0,IF(GF102&gt;0,GF102,IF(ROUND(CH102*$J102,6)&lt;ROUND($M102,6),CH102,0)))</f>
        <v/>
      </c>
      <c r="GH102" s="68">
        <f>IF(OR($U102=0,$F102&lt;&gt;2),0,IF(GG102&gt;0,GG102,IF(ROUND(CI102*$J102,6)&lt;ROUND($M102,6),CI102,0)))</f>
        <v/>
      </c>
      <c r="GI102" s="68">
        <f>IF(OR($U102=0,$F102&lt;&gt;2),0,IF(GH102&gt;0,GH102,IF(ROUND(CJ102*$J102,6)&lt;ROUND($M102,6),CJ102,0)))</f>
        <v/>
      </c>
      <c r="GJ102" s="68">
        <f>IF(OR($U102=0,$F102&lt;&gt;2),0,IF(GI102&gt;0,GI102,IF(ROUND(CK102*$J102,6)&lt;ROUND($M102,6),CK102,0)))</f>
        <v/>
      </c>
      <c r="GK102" s="68">
        <f>IF(OR($U102=0,$F102&lt;&gt;2),0,IF(GJ102&gt;0,GJ102,IF(ROUND(CL102*$J102,6)&lt;ROUND($M102,6),CL102,0)))</f>
        <v/>
      </c>
      <c r="GL102" s="68">
        <f>IF(OR($U102=0,$F102&lt;&gt;2),0,IF(GK102&gt;0,GK102,IF(ROUND(CM102*$J102,6)&lt;ROUND($M102,6),CM102,0)))</f>
        <v/>
      </c>
      <c r="GM102" s="68">
        <f>IF(OR($U102=0,$F102&lt;&gt;2),0,IF(GL102&gt;0,GL102,IF(ROUND(CN102*$J102,6)&lt;ROUND($M102,6),CN102,0)))</f>
        <v/>
      </c>
      <c r="GN102" s="68">
        <f>IF(OR($U102=0,$F102&lt;&gt;2),0,IF(GM102&gt;0,GM102,IF(ROUND(CO102*$J102,6)&lt;ROUND($M102,6),CO102,0)))</f>
        <v/>
      </c>
      <c r="GO102" s="68">
        <f>IF(OR($U102=0,$F102&lt;&gt;2),0,IF(GN102&gt;0,GN102,IF(ROUND(CP102*$J102,6)&lt;ROUND($M102,6),CP102,0)))</f>
        <v/>
      </c>
      <c r="GP102" s="68">
        <f>IF(OR($U102=0,$F102&lt;&gt;2),0,IF(GO102&gt;0,GO102,IF(ROUND(CQ102*$J102,6)&lt;ROUND($M102,6),CQ102,0)))</f>
        <v/>
      </c>
      <c r="GQ102" s="68">
        <f>IF(OR($U102=0,$F102&lt;&gt;2),0,IF(GP102&gt;0,GP102,IF(ROUND(CR102*$J102,6)&lt;ROUND($M102,6),CR102,0)))</f>
        <v/>
      </c>
      <c r="GR102" s="68">
        <f>IF(OR($U102=0,$F102&lt;&gt;2),0,IF(GQ102&gt;0,GQ102,IF(ROUND(CS102*$J102,6)&lt;ROUND($M102,6),CS102,0)))</f>
        <v/>
      </c>
      <c r="GS102" s="68">
        <f>IF(OR($U102=0,$F102&lt;&gt;2),0,IF(GR102&gt;0,GR102,IF(ROUND(CT102*$J102,6)&lt;ROUND($M102,6),CT102,0)))</f>
        <v/>
      </c>
      <c r="GT102" s="68">
        <f>IF(OR($U102=0,$F102&lt;&gt;2),0,IF(GS102&gt;0,GS102,IF(ROUND(CU102*$J102,6)&lt;ROUND($M102,6),CU102,0)))</f>
        <v/>
      </c>
      <c r="GU102" s="68">
        <f>IF(OR($U102=0,$F102&lt;&gt;2),0,IF(GT102&gt;0,GT102,IF(ROUND(CV102*$J102,6)&lt;ROUND($M102,6),CV102,0)))</f>
        <v/>
      </c>
      <c r="GV102" s="68">
        <f>IF(OR($U102=0,$F102&lt;&gt;2),0,IF(GU102&gt;0,GU102,IF(ROUND(CW102*$J102,6)&lt;ROUND($M102,6),CW102,0)))</f>
        <v/>
      </c>
      <c r="GW102" s="68">
        <f>IF(OR($U102=0,$F102&lt;&gt;2),0,IF(GV102&gt;0,GV102,IF(ROUND(CX102*$J102,6)&lt;ROUND($M102,6),CX102,0)))</f>
        <v/>
      </c>
      <c r="GX102" s="68">
        <f>IF(OR($U102=0,$F102&lt;&gt;2),0,IF(GW102&gt;0,GW102,IF(ROUND(CY102*$J102,6)&lt;ROUND($M102,6),CY102,0)))</f>
        <v/>
      </c>
      <c r="GY102" s="68">
        <f>IF(OR($U102=0,$F102&lt;&gt;2),0,IF(GX102&gt;0,GX102,IF(ROUND(CZ102*$J102,6)&lt;ROUND($M102,6),CZ102,0)))</f>
        <v/>
      </c>
      <c r="GZ102" s="68">
        <f>IF(OR($U102=0,$F102&lt;&gt;2),0,IF(GY102&gt;0,GY102,IF(ROUND(DA102*$J102,6)&lt;ROUND($M102,6),DA102,0)))</f>
        <v/>
      </c>
      <c r="HA102" s="68">
        <f>IF(OR($U102=0,$F102&lt;&gt;2),0,IF(GZ102&gt;0,GZ102,IF(ROUND(DB102*$J102,6)&lt;ROUND($M102,6),DB102,0)))</f>
        <v/>
      </c>
      <c r="HB102" s="68">
        <f>IF(OR($U102=0,$F102&lt;&gt;2),0,IF(HA102&gt;0,HA102,IF(ROUND(DC102*$J102,6)&lt;ROUND($M102,6),DC102,0)))</f>
        <v/>
      </c>
      <c r="HC102" s="68">
        <f>IF(OR($U102=0,$F102&lt;&gt;2),0,IF(HB102&gt;0,HB102,IF(ROUND(DD102*$J102,6)&lt;ROUND($M102,6),DD102,0)))</f>
        <v/>
      </c>
      <c r="HD102" s="68">
        <f>IF(OR($U102=0,$F102&lt;&gt;2),0,IF(HC102&gt;0,HC102,IF(ROUND(DE102*$J102,6)&lt;ROUND($M102,6),DE102,0)))</f>
        <v/>
      </c>
      <c r="HE102" s="68">
        <f>IF(OR($U102=0,$F102&lt;&gt;2),0,IF(HD102&gt;0,HD102,IF(ROUND(DF102*$J102,6)&lt;ROUND($M102,6),DF102,0)))</f>
        <v/>
      </c>
      <c r="HF102" s="68">
        <f>IF(OR($U102=0,$F102&lt;&gt;2),0,IF(HE102&gt;0,HE102,IF(ROUND(DG102*$J102,6)&lt;ROUND($M102,6),DG102,0)))</f>
        <v/>
      </c>
      <c r="HG102" s="68">
        <f>IF(OR($U102=0,$F102&lt;&gt;2),0,IF(HF102&gt;0,HF102,IF(ROUND(DH102*$J102,6)&lt;ROUND($M102,6),DH102,0)))</f>
        <v/>
      </c>
      <c r="HH102" s="68">
        <f>IF(OR($U102=0,$F102&lt;&gt;2),0,IF(HG102&gt;0,HG102,IF(ROUND(DI102*$J102,6)&lt;ROUND($M102,6),DI102,0)))</f>
        <v/>
      </c>
      <c r="HI102" s="68">
        <f>IF(OR($U102=0,$F102&lt;&gt;2),0,IF(HH102&gt;0,HH102,IF(ROUND(DJ102*$J102,6)&lt;ROUND($M102,6),DJ102,0)))</f>
        <v/>
      </c>
      <c r="HJ102" s="68">
        <f>IF(OR($U102=0,$F102&lt;&gt;2),0,IF(HI102&gt;0,HI102,IF(ROUND(DK102*$J102,6)&lt;ROUND($M102,6),DK102,0)))</f>
        <v/>
      </c>
      <c r="HK102" s="68">
        <f>IF(OR($U102=0,$F102&lt;&gt;2),0,IF(HJ102&gt;0,HJ102,IF(ROUND(DL102*$J102,6)&lt;ROUND($M102,6),DL102,0)))</f>
        <v/>
      </c>
      <c r="HL102" s="68">
        <f>IF(OR($U102=0,$F102&lt;&gt;2),0,IF(HK102&gt;0,HK102,IF(ROUND(DM102*$J102,6)&lt;ROUND($M102,6),DM102,0)))</f>
        <v/>
      </c>
      <c r="HM102" s="68">
        <f>IF(OR($U102=0,$F102&lt;&gt;2),0,IF(HL102&gt;0,HL102,IF(ROUND(DN102*$J102,6)&lt;ROUND($M102,6),DN102,0)))</f>
        <v/>
      </c>
      <c r="HN102" s="68">
        <f>IF(OR($U102=0,$F102&lt;&gt;2),0,IF(HM102&gt;0,HM102,IF(ROUND(DO102*$J102,6)&lt;ROUND($M102,6),DO102,0)))</f>
        <v/>
      </c>
      <c r="HO102" s="68">
        <f>IF(OR($U102=0,$F102&lt;&gt;2),0,IF(HN102&gt;0,HN102,IF(ROUND(DP102*$J102,6)&lt;ROUND($M102,6),DP102,0)))</f>
        <v/>
      </c>
      <c r="HP102" s="68">
        <f>IF(OR($U102=0,$F102&lt;&gt;2),0,IF(HO102&gt;0,HO102,IF(ROUND(DQ102*$J102,6)&lt;ROUND($M102,6),DQ102,0)))</f>
        <v/>
      </c>
      <c r="HQ102" s="68">
        <f>IF(OR($U102=0,$F102&lt;&gt;2),0,IF(HP102&gt;0,HP102,IF(ROUND(DR102*$J102,6)&lt;ROUND($M102,6),DR102,0)))</f>
        <v/>
      </c>
      <c r="HR102" s="68">
        <f>IF(OR($U102=0,$F102&lt;&gt;2),0,IF(HQ102&gt;0,HQ102,IF(ROUND(DS102*$J102,6)&lt;ROUND($M102,6),DS102,0)))</f>
        <v/>
      </c>
      <c r="HS102" s="68">
        <f>IF(OR($U102=0,$F102&lt;&gt;2),0,IF(HR102&gt;0,HR102,IF(ROUND(DT102*$J102,6)&lt;ROUND($M102,6),DT102,0)))</f>
        <v/>
      </c>
      <c r="HT102" s="68">
        <f>IF(OR($U102=0,$F102&lt;&gt;2),0,IF(HS102&gt;0,HS102,IF(ROUND(DU102*$J102,6)&lt;ROUND($M102,6),DU102,0)))</f>
        <v/>
      </c>
      <c r="HU102" s="68">
        <f>IF(OR($U102=0,$F102&lt;&gt;2),0,IF(HT102&gt;0,HT102,IF(ROUND(DV102*$J102,6)&lt;ROUND($M102,6),DV102,0)))</f>
        <v/>
      </c>
      <c r="HV102" s="68">
        <f>IF(OR($U102=0,$F102&lt;&gt;2),0,IF(HU102&gt;0,HU102,IF(ROUND(DW102*$J102,6)&lt;ROUND($M102,6),DW102,0)))</f>
        <v/>
      </c>
      <c r="HW102" s="68">
        <f>IF(OR($U102=0,$F102&lt;&gt;2),0,IF(HV102&gt;0,HV102,IF(ROUND(DX102*$J102,6)&lt;ROUND($M102,6),DX102,0)))</f>
        <v/>
      </c>
      <c r="HX102" s="68">
        <f>IF(OR($U102=0,$F102&lt;&gt;2),0,IF(HW102&gt;0,HW102,IF(ROUND(DY102*$J102,6)&lt;ROUND($M102,6),DY102,0)))</f>
        <v/>
      </c>
      <c r="HY102" s="68">
        <f>IF(OR($U102=0,$F102&lt;&gt;2),0,IF(HX102&gt;0,HX102,IF(ROUND(DZ102*$J102,6)&lt;ROUND($M102,6),DZ102,0)))</f>
        <v/>
      </c>
      <c r="HZ102" s="68">
        <f>IF(OR($U102=0,$F102&lt;&gt;2),0,IF(HY102&gt;0,HY102,IF(ROUND(EA102*$J102,6)&lt;ROUND($M102,6),EA102,0)))</f>
        <v/>
      </c>
      <c r="IA102" s="68">
        <f>IF(OR($U102=0,$F102&lt;&gt;2),0,IF(HZ102&gt;0,HZ102,IF(ROUND(EB102*$J102,6)&lt;ROUND($M102,6),EB102,0)))</f>
        <v/>
      </c>
      <c r="IB102" s="68">
        <f>IF(OR($U102=0,$F102&lt;&gt;2),0,IF(IA102&gt;0,IA102,IF(ROUND(EC102*$J102,6)&lt;ROUND($M102,6),EC102,0)))</f>
        <v/>
      </c>
      <c r="IC102" s="68">
        <f>IF(OR($U102=0,$F102&lt;&gt;2),0,IF(IB102&gt;0,IB102,IF(ROUND(ED102*$J102,6)&lt;ROUND($M102,6),ED102,0)))</f>
        <v/>
      </c>
      <c r="ID102" s="68">
        <f>IF(OR($U102=0,$F102&lt;&gt;2),0,IF(IC102&gt;0,IC102,IF(ROUND(EE102*$J102,6)&lt;ROUND($M102,6),EE102,0)))</f>
        <v/>
      </c>
      <c r="IE102" s="68">
        <f>IF(OR($U102=0,$F102&lt;&gt;2),0,IF(ID102&gt;0,ID102,IF(ROUND(EF102*$J102,6)&lt;ROUND($M102,6),EF102,0)))</f>
        <v/>
      </c>
      <c r="IF102" s="68">
        <f>IF(OR($U102=0,$F102&lt;&gt;2),0,IF(IE102&gt;0,IE102,IF(ROUND(EG102*$J102,6)&lt;ROUND($M102,6),EG102,0)))</f>
        <v/>
      </c>
      <c r="IG102" s="68">
        <f>IF(OR($U102=0,$F102&lt;&gt;2),0,IF(IF102&gt;0,IF102,IF(ROUND(EH102*$J102,6)&lt;ROUND($M102,6),EH102,0)))</f>
        <v/>
      </c>
      <c r="IH102" s="68">
        <f>IF(OR($U102=0,$F102&lt;&gt;2),0,IF(IG102&gt;0,IG102,IF(ROUND(EI102*$J102,6)&lt;ROUND($M102,6),EI102,0)))</f>
        <v/>
      </c>
      <c r="II102" s="68">
        <f>IF(OR($U102=0,$F102&lt;&gt;2),0,IF(IH102&gt;0,IH102,IF(ROUND(EJ102*$J102,6)&lt;ROUND($M102,6),EJ102,0)))</f>
        <v/>
      </c>
      <c r="IJ102" s="68">
        <f>IF(OR($U102=0,$F102&lt;&gt;2),0,IF(II102&gt;0,II102,IF(ROUND(EK102*$J102,6)&lt;ROUND($M102,6),EK102,0)))</f>
        <v/>
      </c>
      <c r="IK102" s="68">
        <f>IF(OR($U102=0,$F102&lt;&gt;2),0,IF(IJ102&gt;0,IJ102,IF(ROUND(EL102*$J102,6)&lt;ROUND($M102,6),EL102,0)))</f>
        <v/>
      </c>
      <c r="IL102" s="68">
        <f>IF(OR($U102=0,$F102&lt;&gt;2),0,IF(IK102&gt;0,IK102,IF(ROUND(EM102*$J102,6)&lt;ROUND($M102,6),EM102,0)))</f>
        <v/>
      </c>
      <c r="IM102" s="68">
        <f>IF(OR($U102=0,$F102&lt;&gt;2),0,IF(IL102&gt;0,IL102,IF(ROUND(EN102*$J102,6)&lt;ROUND($M102,6),EN102,0)))</f>
        <v/>
      </c>
      <c r="IN102" s="68">
        <f>IF(OR($U102=0,$F102&lt;&gt;2),0,IF(IM102&gt;0,IM102,IF(ROUND(EO102*$J102,6)&lt;ROUND($M102,6),EO102,0)))</f>
        <v/>
      </c>
    </row>
    <row r="103">
      <c r="A103" s="68" t="n">
        <v>98</v>
      </c>
      <c r="B103" s="68">
        <f>IF(OR(TRIM('固定資産台帳'!$B103)&lt;&gt;"",'固定資産台帳'!$E103&lt;&gt;"",'固定資産台帳'!$G103&lt;&gt;"",'固定資産台帳'!$H103&lt;&gt;""),1,0)</f>
        <v/>
      </c>
      <c r="C103" s="68">
        <f>IF(ISNUMBER('固定資産台帳'!$G103),MAX(ROUND('固定資産台帳'!$G103,0),0),0)</f>
        <v/>
      </c>
      <c r="D103" s="84">
        <f>IF(ISNUMBER('固定資産台帳'!$E103),INT('固定資産台帳'!$E103),0)</f>
        <v/>
      </c>
      <c r="E103" s="84">
        <f>IF(ISNUMBER('固定資産台帳'!$F103),INT('固定資産台帳'!$F103),$D103)</f>
        <v/>
      </c>
      <c r="F103" s="68">
        <f>IF('固定資産台帳'!$H103="定額法",1,IF(OR('固定資産台帳'!$H103="定率法",'固定資産台帳'!$H103="定率法（200%）",'固定資産台帳'!$H103="定率法（250%）"),2,IF('固定資産台帳'!$H103="一括償却（3年）",3,IF('固定資産台帳'!$H103="少額特例",4,0))))</f>
        <v/>
      </c>
      <c r="G103" s="68">
        <f>IF('固定資産台帳'!$H103="定率法（250%）",250,IF('固定資産台帳'!$H103="定率法（200%）",200,IF($D103&gt;=DATE(2012,4,1),200,250)))</f>
        <v/>
      </c>
      <c r="H103" s="68">
        <f>IF(ISNUMBER('固定資産台帳'!$I103),IF(AND('固定資産台帳'!$I103&gt;=2,'固定資産台帳'!$I103&lt;=100,'固定資産台帳'!$I103=INT('固定資産台帳'!$I103)),'固定資産台帳'!$I103,0),0)</f>
        <v/>
      </c>
      <c r="I103" s="68">
        <f>IF('固定資産台帳'!$C103="無形固定資産",0,1)</f>
        <v/>
      </c>
      <c r="J103" s="68">
        <f>IF(OR($H103=0,$F103=0,$F103&gt;2),0,IF($F103=1,INDEX('償却率表'!$B$6:$B$104,$H103-1),IF($G103=200,INDEX('償却率表'!$C$6:$C$104,$H103-1),INDEX('償却率表'!$F$6:$F$104,$H103-1))))</f>
        <v/>
      </c>
      <c r="K103" s="68">
        <f>IF(AND($F103=2,$H103&gt;0),IF($G103=200,INDEX('償却率表'!$D$6:$D$104,$H103-1),INDEX('償却率表'!$G$6:$G$104,$H103-1)),0)</f>
        <v/>
      </c>
      <c r="L103" s="68">
        <f>IF(AND($F103=2,$H103&gt;0),IF($G103=200,INDEX('償却率表'!$E$6:$E$104,$H103-1),INDEX('償却率表'!$H$6:$H$104,$H103-1)),0)</f>
        <v/>
      </c>
      <c r="M103" s="68">
        <f>$C103*$L103</f>
        <v/>
      </c>
      <c r="N103" s="68">
        <f>IF($B$1=1,1,IF('固定資産台帳'!$J103="",1,IF(ISNUMBER('固定資産台帳'!$J103),IF(AND('固定資産台帳'!$J103&gt;0,'固定資産台帳'!$J103&lt;=1),'固定資産台帳'!$J103,0),0)))</f>
        <v/>
      </c>
      <c r="O103" s="68">
        <f>IF($E103=0,0,YEAR($E103)-IF(MONTH($E103)&lt;$B$2,1,0))</f>
        <v/>
      </c>
      <c r="P103" s="68">
        <f>IF($E103=0,0,12-MOD(MONTH($E103)-$B$2,12))</f>
        <v/>
      </c>
      <c r="Q103" s="84">
        <f>IF(ISNUMBER('固定資産台帳'!$K103),INT('固定資産台帳'!$K103),0)</f>
        <v/>
      </c>
      <c r="R103" s="68">
        <f>IF(OR($Q103=0,$E103=0),999,YEAR($Q103)-IF(MONTH($Q103)&lt;$B$2,1,0)-$O103)</f>
        <v/>
      </c>
      <c r="S103" s="68">
        <f>IF($R103=999,0,MOD(MONTH($Q103)-$B$2,12)+1-IF($R103=0,12-$P103,0))</f>
        <v/>
      </c>
      <c r="T103" s="68">
        <f>IF($B103=0,0,IF($C103&lt;=0,1,IF($D103=0,2,IF($F103=0,3,IF(AND($F103&lt;=2,$H103=0),4,IF(AND($F103&lt;=2,$D103&lt;DATE(2007,4,1)),5,IF($E103&lt;$D103,6,IF(AND($Q103&gt;0,$Q103&lt;$E103),7,IF($N103=0,8,IF($B$3=0,9,0))))))))))</f>
        <v/>
      </c>
      <c r="U103" s="68">
        <f>IF(AND($B103=1,$T103=0),1,0)</f>
        <v/>
      </c>
      <c r="V103" s="68">
        <f>$B$3-$O103</f>
        <v/>
      </c>
      <c r="W103" s="68">
        <f>IF(AND($U103=1,$V103&gt;=0),1,0)</f>
        <v/>
      </c>
      <c r="X103" s="68">
        <f>IF($W103=0,0,IF($V103=0,$C103,INDEX($AS103:$EP103,MIN($V103,102))))</f>
        <v/>
      </c>
      <c r="Y103" s="68">
        <f>IF($W103=0,0,INDEX($AS103:$EP103,MIN($V103,101)+1))</f>
        <v/>
      </c>
      <c r="Z103" s="68">
        <f>$X103-$Y103</f>
        <v/>
      </c>
      <c r="AA103" s="68">
        <f>IF(AND($W103=1,$F103=2,$V103&gt;=1),INDEX($ER103:$IN103,MIN($V103,101)),0)</f>
        <v/>
      </c>
      <c r="AB103" s="68">
        <f>IF(OR($W103=0,$F103&gt;2,$Z103=0),0,IF($V103=0,IF($R103=0,$S103,$P103),IF($V103=$R103,$S103,12)))</f>
        <v/>
      </c>
      <c r="AC103" s="68">
        <f>IF($W103=0,0,INT(ROUND($Z103*$N103,6)+$B$4))</f>
        <v/>
      </c>
      <c r="AD103" s="68">
        <f>IF(AND($W103=1,$F103&lt;=2,$V103=$R103),1,0)</f>
        <v/>
      </c>
      <c r="AE103" s="68">
        <f>IF(AND($W103=1,$F103&lt;=2,$V103&gt;$R103),1,0)</f>
        <v/>
      </c>
      <c r="AF103" s="68">
        <f>IF(AND($W103=1,$AE103=0,OR($Z103&gt;0,$AD103=1)),1,0)</f>
        <v/>
      </c>
      <c r="AG103" s="68">
        <f>IF($AF103=1,SUM($AF$6:$AF103),0)</f>
        <v/>
      </c>
      <c r="AH103" s="68">
        <f>IF($T103=0,"",CHOOSE($T103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03" s="68">
        <f>IF(AND($F103=2,OR('固定資産台帳'!$C103="建物",'固定資産台帳'!$C103="無形固定資産",AND(OR('固定資産台帳'!$C103="建物附属設備",'固定資産台帳'!$C103="構築物"),$D103&gt;=DATE(2016,4,1)))),"この資産は定額法だけです（定率法は使えません）。","")&amp;IF(AND($F103=3,$C103&gt;=200000),"一括償却は20万円未満の資産だけです。","")&amp;IF(AND($F103=3,$B$1=0,$C103&lt;100000),"10万円未満は一括償却にせず、全額をその年の経費にします。","")&amp;IF(AND($F103=4,$C103&lt;100000),"10万円未満は少額特例ではなく、全額をその年の経費にします。","")&amp;IF(AND($F103=4,$D103&lt;DATE(2026,4,1),$C103&gt;=300000),"2026年3月31日までの取得で少額特例が使えるのは30万円未満です。","")&amp;IF(AND($F103=4,$D103&gt;=DATE(2026,4,1),$C103&gt;=400000),"少額特例は40万円未満の資産だけです。","")&amp;IF(AND($F103=4,OR($D103&lt;DATE(2006,4,1),$D103&gt;DATE(2029,3,31))),"少額特例は2006年4月1日〜2029年3月31日に取得した資産だけです。","")&amp;IF(AND($F103=2,$G103=250,$D103&gt;DATE(2012,12,31)),"250%定率法は2012年12月31日までの取得だけです。","")</f>
        <v/>
      </c>
      <c r="AJ103" s="68">
        <f>IF(AND($F103=2,'固定資産台帳'!$H103="定率法（200%）",$D103&lt;DATE(2012,4,1)),"2012年3月31日までの取得に200%を使うのは、経過措置の届出をした場合です。","")&amp;IF(AND($F103=2,'固定資産台帳'!$H103="定率法（250%）",$D103&gt;=DATE(2012,4,1),$D103&lt;=DATE(2012,12,31)),"2012年4〜12月の取得に250%を使うのは、経過措置を選んだ場合です。","")</f>
        <v/>
      </c>
      <c r="AK103" s="68">
        <f>IF($U103=0,"",IF($V103&lt;0,"表示している年より後に使い始める資産です。",IF($AE103=1,"売却・除却済みです。",IF($AD103=1,"この年に売却・除却。期末の帳簿価額 "&amp;TEXT($Y103,"#,##0")&amp;"円を帳簿から外します。",IF($F103=4,IF($V103=0,"少額特例：この年に全額を経費にします。","少額特例で経費にした資産です。"),IF($F103=3,IF($V103&gt;2,"一括償却は終わっています。","一括償却 "&amp;($V103+1)&amp;"年目（3年のうち）。"),IF($Z103=0,"償却済み（帳簿価額 "&amp;TEXT($Y103,"#,##0")&amp;"円）。",IF($AA103&gt;0,"改定償却率で計算（改定取得価額 "&amp;TEXT($AA103,"#,##0")&amp;"円）。",IF($V103=0,"この年に使い始め（"&amp;$AB103&amp;"か月分）。","")))))))))</f>
        <v/>
      </c>
      <c r="AL103" s="68">
        <f>IF(AND($U103=1,$F103=4,$V103=0),$C103,0)</f>
        <v/>
      </c>
      <c r="AM103" s="68">
        <f>IF($F103=2,INT(ROUND($M103,6)+$B$4),0)</f>
        <v/>
      </c>
      <c r="AN103" s="68">
        <f>IF($W103=0,0,IF($F103=2,IF($AA103&gt;0,$AA103,$X103),$C103))</f>
        <v/>
      </c>
      <c r="AO103" s="68">
        <f>IF($W103=0,"",IF($F103=3,"1/3",IF($F103=4,"―",IF($AA103&gt;0,$K103,$J103))))</f>
        <v/>
      </c>
      <c r="AP103" s="68" t="n"/>
      <c r="AQ103" s="68" t="n"/>
      <c r="AR103" s="68" t="n"/>
      <c r="AS103" s="68">
        <f>IF($U103=0,0,IF($F103=4,0,IF($F103=3,MAX($C103-INT(ROUND($C103/3,6)+$B$4),0),$C103-MIN(INT(ROUND($C103*$J103*IF($R103=0,$S103,$P103)/12,6)+$B$4),MAX($C103-$I103,0)))))</f>
        <v/>
      </c>
      <c r="AT103" s="68">
        <f>IF($U103=0,0,IF($F103=4,0,IF($F103=3,AS103-MIN(INT(ROUND($C103/3,6)+$B$4),AS103),IF(OR(1&gt;$R103,AS103&lt;=$I103),AS103,AS103-MIN(INT(ROUND(IF($F103=1,$C103*$J103,IF(ER103&gt;0,ER103*$K103,AS103*$J103))*IF(1=$R103,$S103,12)/12,6)+$B$4),AS103-$I103)))))</f>
        <v/>
      </c>
      <c r="AU103" s="68">
        <f>IF($U103=0,0,IF($F103=4,0,IF($F103=3,0,IF(OR(2&gt;$R103,AT103&lt;=$I103),AT103,AT103-MIN(INT(ROUND(IF($F103=1,$C103*$J103,IF(ES103&gt;0,ES103*$K103,AT103*$J103))*IF(2=$R103,$S103,12)/12,6)+$B$4),AT103-$I103)))))</f>
        <v/>
      </c>
      <c r="AV103" s="68">
        <f>IF($U103=0,0,IF($F103=4,0,IF($F103=3,0,IF(OR(3&gt;$R103,AU103&lt;=$I103),AU103,AU103-MIN(INT(ROUND(IF($F103=1,$C103*$J103,IF(ET103&gt;0,ET103*$K103,AU103*$J103))*IF(3=$R103,$S103,12)/12,6)+$B$4),AU103-$I103)))))</f>
        <v/>
      </c>
      <c r="AW103" s="68">
        <f>IF($U103=0,0,IF($F103=4,0,IF($F103=3,0,IF(OR(4&gt;$R103,AV103&lt;=$I103),AV103,AV103-MIN(INT(ROUND(IF($F103=1,$C103*$J103,IF(EU103&gt;0,EU103*$K103,AV103*$J103))*IF(4=$R103,$S103,12)/12,6)+$B$4),AV103-$I103)))))</f>
        <v/>
      </c>
      <c r="AX103" s="68">
        <f>IF($U103=0,0,IF($F103=4,0,IF($F103=3,0,IF(OR(5&gt;$R103,AW103&lt;=$I103),AW103,AW103-MIN(INT(ROUND(IF($F103=1,$C103*$J103,IF(EV103&gt;0,EV103*$K103,AW103*$J103))*IF(5=$R103,$S103,12)/12,6)+$B$4),AW103-$I103)))))</f>
        <v/>
      </c>
      <c r="AY103" s="68">
        <f>IF($U103=0,0,IF($F103=4,0,IF($F103=3,0,IF(OR(6&gt;$R103,AX103&lt;=$I103),AX103,AX103-MIN(INT(ROUND(IF($F103=1,$C103*$J103,IF(EW103&gt;0,EW103*$K103,AX103*$J103))*IF(6=$R103,$S103,12)/12,6)+$B$4),AX103-$I103)))))</f>
        <v/>
      </c>
      <c r="AZ103" s="68">
        <f>IF($U103=0,0,IF($F103=4,0,IF($F103=3,0,IF(OR(7&gt;$R103,AY103&lt;=$I103),AY103,AY103-MIN(INT(ROUND(IF($F103=1,$C103*$J103,IF(EX103&gt;0,EX103*$K103,AY103*$J103))*IF(7=$R103,$S103,12)/12,6)+$B$4),AY103-$I103)))))</f>
        <v/>
      </c>
      <c r="BA103" s="68">
        <f>IF($U103=0,0,IF($F103=4,0,IF($F103=3,0,IF(OR(8&gt;$R103,AZ103&lt;=$I103),AZ103,AZ103-MIN(INT(ROUND(IF($F103=1,$C103*$J103,IF(EY103&gt;0,EY103*$K103,AZ103*$J103))*IF(8=$R103,$S103,12)/12,6)+$B$4),AZ103-$I103)))))</f>
        <v/>
      </c>
      <c r="BB103" s="68">
        <f>IF($U103=0,0,IF($F103=4,0,IF($F103=3,0,IF(OR(9&gt;$R103,BA103&lt;=$I103),BA103,BA103-MIN(INT(ROUND(IF($F103=1,$C103*$J103,IF(EZ103&gt;0,EZ103*$K103,BA103*$J103))*IF(9=$R103,$S103,12)/12,6)+$B$4),BA103-$I103)))))</f>
        <v/>
      </c>
      <c r="BC103" s="68">
        <f>IF($U103=0,0,IF($F103=4,0,IF($F103=3,0,IF(OR(10&gt;$R103,BB103&lt;=$I103),BB103,BB103-MIN(INT(ROUND(IF($F103=1,$C103*$J103,IF(FA103&gt;0,FA103*$K103,BB103*$J103))*IF(10=$R103,$S103,12)/12,6)+$B$4),BB103-$I103)))))</f>
        <v/>
      </c>
      <c r="BD103" s="68">
        <f>IF($U103=0,0,IF($F103=4,0,IF($F103=3,0,IF(OR(11&gt;$R103,BC103&lt;=$I103),BC103,BC103-MIN(INT(ROUND(IF($F103=1,$C103*$J103,IF(FB103&gt;0,FB103*$K103,BC103*$J103))*IF(11=$R103,$S103,12)/12,6)+$B$4),BC103-$I103)))))</f>
        <v/>
      </c>
      <c r="BE103" s="68">
        <f>IF($U103=0,0,IF($F103=4,0,IF($F103=3,0,IF(OR(12&gt;$R103,BD103&lt;=$I103),BD103,BD103-MIN(INT(ROUND(IF($F103=1,$C103*$J103,IF(FC103&gt;0,FC103*$K103,BD103*$J103))*IF(12=$R103,$S103,12)/12,6)+$B$4),BD103-$I103)))))</f>
        <v/>
      </c>
      <c r="BF103" s="68">
        <f>IF($U103=0,0,IF($F103=4,0,IF($F103=3,0,IF(OR(13&gt;$R103,BE103&lt;=$I103),BE103,BE103-MIN(INT(ROUND(IF($F103=1,$C103*$J103,IF(FD103&gt;0,FD103*$K103,BE103*$J103))*IF(13=$R103,$S103,12)/12,6)+$B$4),BE103-$I103)))))</f>
        <v/>
      </c>
      <c r="BG103" s="68">
        <f>IF($U103=0,0,IF($F103=4,0,IF($F103=3,0,IF(OR(14&gt;$R103,BF103&lt;=$I103),BF103,BF103-MIN(INT(ROUND(IF($F103=1,$C103*$J103,IF(FE103&gt;0,FE103*$K103,BF103*$J103))*IF(14=$R103,$S103,12)/12,6)+$B$4),BF103-$I103)))))</f>
        <v/>
      </c>
      <c r="BH103" s="68">
        <f>IF($U103=0,0,IF($F103=4,0,IF($F103=3,0,IF(OR(15&gt;$R103,BG103&lt;=$I103),BG103,BG103-MIN(INT(ROUND(IF($F103=1,$C103*$J103,IF(FF103&gt;0,FF103*$K103,BG103*$J103))*IF(15=$R103,$S103,12)/12,6)+$B$4),BG103-$I103)))))</f>
        <v/>
      </c>
      <c r="BI103" s="68">
        <f>IF($U103=0,0,IF($F103=4,0,IF($F103=3,0,IF(OR(16&gt;$R103,BH103&lt;=$I103),BH103,BH103-MIN(INT(ROUND(IF($F103=1,$C103*$J103,IF(FG103&gt;0,FG103*$K103,BH103*$J103))*IF(16=$R103,$S103,12)/12,6)+$B$4),BH103-$I103)))))</f>
        <v/>
      </c>
      <c r="BJ103" s="68">
        <f>IF($U103=0,0,IF($F103=4,0,IF($F103=3,0,IF(OR(17&gt;$R103,BI103&lt;=$I103),BI103,BI103-MIN(INT(ROUND(IF($F103=1,$C103*$J103,IF(FH103&gt;0,FH103*$K103,BI103*$J103))*IF(17=$R103,$S103,12)/12,6)+$B$4),BI103-$I103)))))</f>
        <v/>
      </c>
      <c r="BK103" s="68">
        <f>IF($U103=0,0,IF($F103=4,0,IF($F103=3,0,IF(OR(18&gt;$R103,BJ103&lt;=$I103),BJ103,BJ103-MIN(INT(ROUND(IF($F103=1,$C103*$J103,IF(FI103&gt;0,FI103*$K103,BJ103*$J103))*IF(18=$R103,$S103,12)/12,6)+$B$4),BJ103-$I103)))))</f>
        <v/>
      </c>
      <c r="BL103" s="68">
        <f>IF($U103=0,0,IF($F103=4,0,IF($F103=3,0,IF(OR(19&gt;$R103,BK103&lt;=$I103),BK103,BK103-MIN(INT(ROUND(IF($F103=1,$C103*$J103,IF(FJ103&gt;0,FJ103*$K103,BK103*$J103))*IF(19=$R103,$S103,12)/12,6)+$B$4),BK103-$I103)))))</f>
        <v/>
      </c>
      <c r="BM103" s="68">
        <f>IF($U103=0,0,IF($F103=4,0,IF($F103=3,0,IF(OR(20&gt;$R103,BL103&lt;=$I103),BL103,BL103-MIN(INT(ROUND(IF($F103=1,$C103*$J103,IF(FK103&gt;0,FK103*$K103,BL103*$J103))*IF(20=$R103,$S103,12)/12,6)+$B$4),BL103-$I103)))))</f>
        <v/>
      </c>
      <c r="BN103" s="68">
        <f>IF($U103=0,0,IF($F103=4,0,IF($F103=3,0,IF(OR(21&gt;$R103,BM103&lt;=$I103),BM103,BM103-MIN(INT(ROUND(IF($F103=1,$C103*$J103,IF(FL103&gt;0,FL103*$K103,BM103*$J103))*IF(21=$R103,$S103,12)/12,6)+$B$4),BM103-$I103)))))</f>
        <v/>
      </c>
      <c r="BO103" s="68">
        <f>IF($U103=0,0,IF($F103=4,0,IF($F103=3,0,IF(OR(22&gt;$R103,BN103&lt;=$I103),BN103,BN103-MIN(INT(ROUND(IF($F103=1,$C103*$J103,IF(FM103&gt;0,FM103*$K103,BN103*$J103))*IF(22=$R103,$S103,12)/12,6)+$B$4),BN103-$I103)))))</f>
        <v/>
      </c>
      <c r="BP103" s="68">
        <f>IF($U103=0,0,IF($F103=4,0,IF($F103=3,0,IF(OR(23&gt;$R103,BO103&lt;=$I103),BO103,BO103-MIN(INT(ROUND(IF($F103=1,$C103*$J103,IF(FN103&gt;0,FN103*$K103,BO103*$J103))*IF(23=$R103,$S103,12)/12,6)+$B$4),BO103-$I103)))))</f>
        <v/>
      </c>
      <c r="BQ103" s="68">
        <f>IF($U103=0,0,IF($F103=4,0,IF($F103=3,0,IF(OR(24&gt;$R103,BP103&lt;=$I103),BP103,BP103-MIN(INT(ROUND(IF($F103=1,$C103*$J103,IF(FO103&gt;0,FO103*$K103,BP103*$J103))*IF(24=$R103,$S103,12)/12,6)+$B$4),BP103-$I103)))))</f>
        <v/>
      </c>
      <c r="BR103" s="68">
        <f>IF($U103=0,0,IF($F103=4,0,IF($F103=3,0,IF(OR(25&gt;$R103,BQ103&lt;=$I103),BQ103,BQ103-MIN(INT(ROUND(IF($F103=1,$C103*$J103,IF(FP103&gt;0,FP103*$K103,BQ103*$J103))*IF(25=$R103,$S103,12)/12,6)+$B$4),BQ103-$I103)))))</f>
        <v/>
      </c>
      <c r="BS103" s="68">
        <f>IF($U103=0,0,IF($F103=4,0,IF($F103=3,0,IF(OR(26&gt;$R103,BR103&lt;=$I103),BR103,BR103-MIN(INT(ROUND(IF($F103=1,$C103*$J103,IF(FQ103&gt;0,FQ103*$K103,BR103*$J103))*IF(26=$R103,$S103,12)/12,6)+$B$4),BR103-$I103)))))</f>
        <v/>
      </c>
      <c r="BT103" s="68">
        <f>IF($U103=0,0,IF($F103=4,0,IF($F103=3,0,IF(OR(27&gt;$R103,BS103&lt;=$I103),BS103,BS103-MIN(INT(ROUND(IF($F103=1,$C103*$J103,IF(FR103&gt;0,FR103*$K103,BS103*$J103))*IF(27=$R103,$S103,12)/12,6)+$B$4),BS103-$I103)))))</f>
        <v/>
      </c>
      <c r="BU103" s="68">
        <f>IF($U103=0,0,IF($F103=4,0,IF($F103=3,0,IF(OR(28&gt;$R103,BT103&lt;=$I103),BT103,BT103-MIN(INT(ROUND(IF($F103=1,$C103*$J103,IF(FS103&gt;0,FS103*$K103,BT103*$J103))*IF(28=$R103,$S103,12)/12,6)+$B$4),BT103-$I103)))))</f>
        <v/>
      </c>
      <c r="BV103" s="68">
        <f>IF($U103=0,0,IF($F103=4,0,IF($F103=3,0,IF(OR(29&gt;$R103,BU103&lt;=$I103),BU103,BU103-MIN(INT(ROUND(IF($F103=1,$C103*$J103,IF(FT103&gt;0,FT103*$K103,BU103*$J103))*IF(29=$R103,$S103,12)/12,6)+$B$4),BU103-$I103)))))</f>
        <v/>
      </c>
      <c r="BW103" s="68">
        <f>IF($U103=0,0,IF($F103=4,0,IF($F103=3,0,IF(OR(30&gt;$R103,BV103&lt;=$I103),BV103,BV103-MIN(INT(ROUND(IF($F103=1,$C103*$J103,IF(FU103&gt;0,FU103*$K103,BV103*$J103))*IF(30=$R103,$S103,12)/12,6)+$B$4),BV103-$I103)))))</f>
        <v/>
      </c>
      <c r="BX103" s="68">
        <f>IF($U103=0,0,IF($F103=4,0,IF($F103=3,0,IF(OR(31&gt;$R103,BW103&lt;=$I103),BW103,BW103-MIN(INT(ROUND(IF($F103=1,$C103*$J103,IF(FV103&gt;0,FV103*$K103,BW103*$J103))*IF(31=$R103,$S103,12)/12,6)+$B$4),BW103-$I103)))))</f>
        <v/>
      </c>
      <c r="BY103" s="68">
        <f>IF($U103=0,0,IF($F103=4,0,IF($F103=3,0,IF(OR(32&gt;$R103,BX103&lt;=$I103),BX103,BX103-MIN(INT(ROUND(IF($F103=1,$C103*$J103,IF(FW103&gt;0,FW103*$K103,BX103*$J103))*IF(32=$R103,$S103,12)/12,6)+$B$4),BX103-$I103)))))</f>
        <v/>
      </c>
      <c r="BZ103" s="68">
        <f>IF($U103=0,0,IF($F103=4,0,IF($F103=3,0,IF(OR(33&gt;$R103,BY103&lt;=$I103),BY103,BY103-MIN(INT(ROUND(IF($F103=1,$C103*$J103,IF(FX103&gt;0,FX103*$K103,BY103*$J103))*IF(33=$R103,$S103,12)/12,6)+$B$4),BY103-$I103)))))</f>
        <v/>
      </c>
      <c r="CA103" s="68">
        <f>IF($U103=0,0,IF($F103=4,0,IF($F103=3,0,IF(OR(34&gt;$R103,BZ103&lt;=$I103),BZ103,BZ103-MIN(INT(ROUND(IF($F103=1,$C103*$J103,IF(FY103&gt;0,FY103*$K103,BZ103*$J103))*IF(34=$R103,$S103,12)/12,6)+$B$4),BZ103-$I103)))))</f>
        <v/>
      </c>
      <c r="CB103" s="68">
        <f>IF($U103=0,0,IF($F103=4,0,IF($F103=3,0,IF(OR(35&gt;$R103,CA103&lt;=$I103),CA103,CA103-MIN(INT(ROUND(IF($F103=1,$C103*$J103,IF(FZ103&gt;0,FZ103*$K103,CA103*$J103))*IF(35=$R103,$S103,12)/12,6)+$B$4),CA103-$I103)))))</f>
        <v/>
      </c>
      <c r="CC103" s="68">
        <f>IF($U103=0,0,IF($F103=4,0,IF($F103=3,0,IF(OR(36&gt;$R103,CB103&lt;=$I103),CB103,CB103-MIN(INT(ROUND(IF($F103=1,$C103*$J103,IF(GA103&gt;0,GA103*$K103,CB103*$J103))*IF(36=$R103,$S103,12)/12,6)+$B$4),CB103-$I103)))))</f>
        <v/>
      </c>
      <c r="CD103" s="68">
        <f>IF($U103=0,0,IF($F103=4,0,IF($F103=3,0,IF(OR(37&gt;$R103,CC103&lt;=$I103),CC103,CC103-MIN(INT(ROUND(IF($F103=1,$C103*$J103,IF(GB103&gt;0,GB103*$K103,CC103*$J103))*IF(37=$R103,$S103,12)/12,6)+$B$4),CC103-$I103)))))</f>
        <v/>
      </c>
      <c r="CE103" s="68">
        <f>IF($U103=0,0,IF($F103=4,0,IF($F103=3,0,IF(OR(38&gt;$R103,CD103&lt;=$I103),CD103,CD103-MIN(INT(ROUND(IF($F103=1,$C103*$J103,IF(GC103&gt;0,GC103*$K103,CD103*$J103))*IF(38=$R103,$S103,12)/12,6)+$B$4),CD103-$I103)))))</f>
        <v/>
      </c>
      <c r="CF103" s="68">
        <f>IF($U103=0,0,IF($F103=4,0,IF($F103=3,0,IF(OR(39&gt;$R103,CE103&lt;=$I103),CE103,CE103-MIN(INT(ROUND(IF($F103=1,$C103*$J103,IF(GD103&gt;0,GD103*$K103,CE103*$J103))*IF(39=$R103,$S103,12)/12,6)+$B$4),CE103-$I103)))))</f>
        <v/>
      </c>
      <c r="CG103" s="68">
        <f>IF($U103=0,0,IF($F103=4,0,IF($F103=3,0,IF(OR(40&gt;$R103,CF103&lt;=$I103),CF103,CF103-MIN(INT(ROUND(IF($F103=1,$C103*$J103,IF(GE103&gt;0,GE103*$K103,CF103*$J103))*IF(40=$R103,$S103,12)/12,6)+$B$4),CF103-$I103)))))</f>
        <v/>
      </c>
      <c r="CH103" s="68">
        <f>IF($U103=0,0,IF($F103=4,0,IF($F103=3,0,IF(OR(41&gt;$R103,CG103&lt;=$I103),CG103,CG103-MIN(INT(ROUND(IF($F103=1,$C103*$J103,IF(GF103&gt;0,GF103*$K103,CG103*$J103))*IF(41=$R103,$S103,12)/12,6)+$B$4),CG103-$I103)))))</f>
        <v/>
      </c>
      <c r="CI103" s="68">
        <f>IF($U103=0,0,IF($F103=4,0,IF($F103=3,0,IF(OR(42&gt;$R103,CH103&lt;=$I103),CH103,CH103-MIN(INT(ROUND(IF($F103=1,$C103*$J103,IF(GG103&gt;0,GG103*$K103,CH103*$J103))*IF(42=$R103,$S103,12)/12,6)+$B$4),CH103-$I103)))))</f>
        <v/>
      </c>
      <c r="CJ103" s="68">
        <f>IF($U103=0,0,IF($F103=4,0,IF($F103=3,0,IF(OR(43&gt;$R103,CI103&lt;=$I103),CI103,CI103-MIN(INT(ROUND(IF($F103=1,$C103*$J103,IF(GH103&gt;0,GH103*$K103,CI103*$J103))*IF(43=$R103,$S103,12)/12,6)+$B$4),CI103-$I103)))))</f>
        <v/>
      </c>
      <c r="CK103" s="68">
        <f>IF($U103=0,0,IF($F103=4,0,IF($F103=3,0,IF(OR(44&gt;$R103,CJ103&lt;=$I103),CJ103,CJ103-MIN(INT(ROUND(IF($F103=1,$C103*$J103,IF(GI103&gt;0,GI103*$K103,CJ103*$J103))*IF(44=$R103,$S103,12)/12,6)+$B$4),CJ103-$I103)))))</f>
        <v/>
      </c>
      <c r="CL103" s="68">
        <f>IF($U103=0,0,IF($F103=4,0,IF($F103=3,0,IF(OR(45&gt;$R103,CK103&lt;=$I103),CK103,CK103-MIN(INT(ROUND(IF($F103=1,$C103*$J103,IF(GJ103&gt;0,GJ103*$K103,CK103*$J103))*IF(45=$R103,$S103,12)/12,6)+$B$4),CK103-$I103)))))</f>
        <v/>
      </c>
      <c r="CM103" s="68">
        <f>IF($U103=0,0,IF($F103=4,0,IF($F103=3,0,IF(OR(46&gt;$R103,CL103&lt;=$I103),CL103,CL103-MIN(INT(ROUND(IF($F103=1,$C103*$J103,IF(GK103&gt;0,GK103*$K103,CL103*$J103))*IF(46=$R103,$S103,12)/12,6)+$B$4),CL103-$I103)))))</f>
        <v/>
      </c>
      <c r="CN103" s="68">
        <f>IF($U103=0,0,IF($F103=4,0,IF($F103=3,0,IF(OR(47&gt;$R103,CM103&lt;=$I103),CM103,CM103-MIN(INT(ROUND(IF($F103=1,$C103*$J103,IF(GL103&gt;0,GL103*$K103,CM103*$J103))*IF(47=$R103,$S103,12)/12,6)+$B$4),CM103-$I103)))))</f>
        <v/>
      </c>
      <c r="CO103" s="68">
        <f>IF($U103=0,0,IF($F103=4,0,IF($F103=3,0,IF(OR(48&gt;$R103,CN103&lt;=$I103),CN103,CN103-MIN(INT(ROUND(IF($F103=1,$C103*$J103,IF(GM103&gt;0,GM103*$K103,CN103*$J103))*IF(48=$R103,$S103,12)/12,6)+$B$4),CN103-$I103)))))</f>
        <v/>
      </c>
      <c r="CP103" s="68">
        <f>IF($U103=0,0,IF($F103=4,0,IF($F103=3,0,IF(OR(49&gt;$R103,CO103&lt;=$I103),CO103,CO103-MIN(INT(ROUND(IF($F103=1,$C103*$J103,IF(GN103&gt;0,GN103*$K103,CO103*$J103))*IF(49=$R103,$S103,12)/12,6)+$B$4),CO103-$I103)))))</f>
        <v/>
      </c>
      <c r="CQ103" s="68">
        <f>IF($U103=0,0,IF($F103=4,0,IF($F103=3,0,IF(OR(50&gt;$R103,CP103&lt;=$I103),CP103,CP103-MIN(INT(ROUND(IF($F103=1,$C103*$J103,IF(GO103&gt;0,GO103*$K103,CP103*$J103))*IF(50=$R103,$S103,12)/12,6)+$B$4),CP103-$I103)))))</f>
        <v/>
      </c>
      <c r="CR103" s="68">
        <f>IF($U103=0,0,IF($F103=4,0,IF($F103=3,0,IF(OR(51&gt;$R103,CQ103&lt;=$I103),CQ103,CQ103-MIN(INT(ROUND(IF($F103=1,$C103*$J103,IF(GP103&gt;0,GP103*$K103,CQ103*$J103))*IF(51=$R103,$S103,12)/12,6)+$B$4),CQ103-$I103)))))</f>
        <v/>
      </c>
      <c r="CS103" s="68">
        <f>IF($U103=0,0,IF($F103=4,0,IF($F103=3,0,IF(OR(52&gt;$R103,CR103&lt;=$I103),CR103,CR103-MIN(INT(ROUND(IF($F103=1,$C103*$J103,IF(GQ103&gt;0,GQ103*$K103,CR103*$J103))*IF(52=$R103,$S103,12)/12,6)+$B$4),CR103-$I103)))))</f>
        <v/>
      </c>
      <c r="CT103" s="68">
        <f>IF($U103=0,0,IF($F103=4,0,IF($F103=3,0,IF(OR(53&gt;$R103,CS103&lt;=$I103),CS103,CS103-MIN(INT(ROUND(IF($F103=1,$C103*$J103,IF(GR103&gt;0,GR103*$K103,CS103*$J103))*IF(53=$R103,$S103,12)/12,6)+$B$4),CS103-$I103)))))</f>
        <v/>
      </c>
      <c r="CU103" s="68">
        <f>IF($U103=0,0,IF($F103=4,0,IF($F103=3,0,IF(OR(54&gt;$R103,CT103&lt;=$I103),CT103,CT103-MIN(INT(ROUND(IF($F103=1,$C103*$J103,IF(GS103&gt;0,GS103*$K103,CT103*$J103))*IF(54=$R103,$S103,12)/12,6)+$B$4),CT103-$I103)))))</f>
        <v/>
      </c>
      <c r="CV103" s="68">
        <f>IF($U103=0,0,IF($F103=4,0,IF($F103=3,0,IF(OR(55&gt;$R103,CU103&lt;=$I103),CU103,CU103-MIN(INT(ROUND(IF($F103=1,$C103*$J103,IF(GT103&gt;0,GT103*$K103,CU103*$J103))*IF(55=$R103,$S103,12)/12,6)+$B$4),CU103-$I103)))))</f>
        <v/>
      </c>
      <c r="CW103" s="68">
        <f>IF($U103=0,0,IF($F103=4,0,IF($F103=3,0,IF(OR(56&gt;$R103,CV103&lt;=$I103),CV103,CV103-MIN(INT(ROUND(IF($F103=1,$C103*$J103,IF(GU103&gt;0,GU103*$K103,CV103*$J103))*IF(56=$R103,$S103,12)/12,6)+$B$4),CV103-$I103)))))</f>
        <v/>
      </c>
      <c r="CX103" s="68">
        <f>IF($U103=0,0,IF($F103=4,0,IF($F103=3,0,IF(OR(57&gt;$R103,CW103&lt;=$I103),CW103,CW103-MIN(INT(ROUND(IF($F103=1,$C103*$J103,IF(GV103&gt;0,GV103*$K103,CW103*$J103))*IF(57=$R103,$S103,12)/12,6)+$B$4),CW103-$I103)))))</f>
        <v/>
      </c>
      <c r="CY103" s="68">
        <f>IF($U103=0,0,IF($F103=4,0,IF($F103=3,0,IF(OR(58&gt;$R103,CX103&lt;=$I103),CX103,CX103-MIN(INT(ROUND(IF($F103=1,$C103*$J103,IF(GW103&gt;0,GW103*$K103,CX103*$J103))*IF(58=$R103,$S103,12)/12,6)+$B$4),CX103-$I103)))))</f>
        <v/>
      </c>
      <c r="CZ103" s="68">
        <f>IF($U103=0,0,IF($F103=4,0,IF($F103=3,0,IF(OR(59&gt;$R103,CY103&lt;=$I103),CY103,CY103-MIN(INT(ROUND(IF($F103=1,$C103*$J103,IF(GX103&gt;0,GX103*$K103,CY103*$J103))*IF(59=$R103,$S103,12)/12,6)+$B$4),CY103-$I103)))))</f>
        <v/>
      </c>
      <c r="DA103" s="68">
        <f>IF($U103=0,0,IF($F103=4,0,IF($F103=3,0,IF(OR(60&gt;$R103,CZ103&lt;=$I103),CZ103,CZ103-MIN(INT(ROUND(IF($F103=1,$C103*$J103,IF(GY103&gt;0,GY103*$K103,CZ103*$J103))*IF(60=$R103,$S103,12)/12,6)+$B$4),CZ103-$I103)))))</f>
        <v/>
      </c>
      <c r="DB103" s="68">
        <f>IF($U103=0,0,IF($F103=4,0,IF($F103=3,0,IF(OR(61&gt;$R103,DA103&lt;=$I103),DA103,DA103-MIN(INT(ROUND(IF($F103=1,$C103*$J103,IF(GZ103&gt;0,GZ103*$K103,DA103*$J103))*IF(61=$R103,$S103,12)/12,6)+$B$4),DA103-$I103)))))</f>
        <v/>
      </c>
      <c r="DC103" s="68">
        <f>IF($U103=0,0,IF($F103=4,0,IF($F103=3,0,IF(OR(62&gt;$R103,DB103&lt;=$I103),DB103,DB103-MIN(INT(ROUND(IF($F103=1,$C103*$J103,IF(HA103&gt;0,HA103*$K103,DB103*$J103))*IF(62=$R103,$S103,12)/12,6)+$B$4),DB103-$I103)))))</f>
        <v/>
      </c>
      <c r="DD103" s="68">
        <f>IF($U103=0,0,IF($F103=4,0,IF($F103=3,0,IF(OR(63&gt;$R103,DC103&lt;=$I103),DC103,DC103-MIN(INT(ROUND(IF($F103=1,$C103*$J103,IF(HB103&gt;0,HB103*$K103,DC103*$J103))*IF(63=$R103,$S103,12)/12,6)+$B$4),DC103-$I103)))))</f>
        <v/>
      </c>
      <c r="DE103" s="68">
        <f>IF($U103=0,0,IF($F103=4,0,IF($F103=3,0,IF(OR(64&gt;$R103,DD103&lt;=$I103),DD103,DD103-MIN(INT(ROUND(IF($F103=1,$C103*$J103,IF(HC103&gt;0,HC103*$K103,DD103*$J103))*IF(64=$R103,$S103,12)/12,6)+$B$4),DD103-$I103)))))</f>
        <v/>
      </c>
      <c r="DF103" s="68">
        <f>IF($U103=0,0,IF($F103=4,0,IF($F103=3,0,IF(OR(65&gt;$R103,DE103&lt;=$I103),DE103,DE103-MIN(INT(ROUND(IF($F103=1,$C103*$J103,IF(HD103&gt;0,HD103*$K103,DE103*$J103))*IF(65=$R103,$S103,12)/12,6)+$B$4),DE103-$I103)))))</f>
        <v/>
      </c>
      <c r="DG103" s="68">
        <f>IF($U103=0,0,IF($F103=4,0,IF($F103=3,0,IF(OR(66&gt;$R103,DF103&lt;=$I103),DF103,DF103-MIN(INT(ROUND(IF($F103=1,$C103*$J103,IF(HE103&gt;0,HE103*$K103,DF103*$J103))*IF(66=$R103,$S103,12)/12,6)+$B$4),DF103-$I103)))))</f>
        <v/>
      </c>
      <c r="DH103" s="68">
        <f>IF($U103=0,0,IF($F103=4,0,IF($F103=3,0,IF(OR(67&gt;$R103,DG103&lt;=$I103),DG103,DG103-MIN(INT(ROUND(IF($F103=1,$C103*$J103,IF(HF103&gt;0,HF103*$K103,DG103*$J103))*IF(67=$R103,$S103,12)/12,6)+$B$4),DG103-$I103)))))</f>
        <v/>
      </c>
      <c r="DI103" s="68">
        <f>IF($U103=0,0,IF($F103=4,0,IF($F103=3,0,IF(OR(68&gt;$R103,DH103&lt;=$I103),DH103,DH103-MIN(INT(ROUND(IF($F103=1,$C103*$J103,IF(HG103&gt;0,HG103*$K103,DH103*$J103))*IF(68=$R103,$S103,12)/12,6)+$B$4),DH103-$I103)))))</f>
        <v/>
      </c>
      <c r="DJ103" s="68">
        <f>IF($U103=0,0,IF($F103=4,0,IF($F103=3,0,IF(OR(69&gt;$R103,DI103&lt;=$I103),DI103,DI103-MIN(INT(ROUND(IF($F103=1,$C103*$J103,IF(HH103&gt;0,HH103*$K103,DI103*$J103))*IF(69=$R103,$S103,12)/12,6)+$B$4),DI103-$I103)))))</f>
        <v/>
      </c>
      <c r="DK103" s="68">
        <f>IF($U103=0,0,IF($F103=4,0,IF($F103=3,0,IF(OR(70&gt;$R103,DJ103&lt;=$I103),DJ103,DJ103-MIN(INT(ROUND(IF($F103=1,$C103*$J103,IF(HI103&gt;0,HI103*$K103,DJ103*$J103))*IF(70=$R103,$S103,12)/12,6)+$B$4),DJ103-$I103)))))</f>
        <v/>
      </c>
      <c r="DL103" s="68">
        <f>IF($U103=0,0,IF($F103=4,0,IF($F103=3,0,IF(OR(71&gt;$R103,DK103&lt;=$I103),DK103,DK103-MIN(INT(ROUND(IF($F103=1,$C103*$J103,IF(HJ103&gt;0,HJ103*$K103,DK103*$J103))*IF(71=$R103,$S103,12)/12,6)+$B$4),DK103-$I103)))))</f>
        <v/>
      </c>
      <c r="DM103" s="68">
        <f>IF($U103=0,0,IF($F103=4,0,IF($F103=3,0,IF(OR(72&gt;$R103,DL103&lt;=$I103),DL103,DL103-MIN(INT(ROUND(IF($F103=1,$C103*$J103,IF(HK103&gt;0,HK103*$K103,DL103*$J103))*IF(72=$R103,$S103,12)/12,6)+$B$4),DL103-$I103)))))</f>
        <v/>
      </c>
      <c r="DN103" s="68">
        <f>IF($U103=0,0,IF($F103=4,0,IF($F103=3,0,IF(OR(73&gt;$R103,DM103&lt;=$I103),DM103,DM103-MIN(INT(ROUND(IF($F103=1,$C103*$J103,IF(HL103&gt;0,HL103*$K103,DM103*$J103))*IF(73=$R103,$S103,12)/12,6)+$B$4),DM103-$I103)))))</f>
        <v/>
      </c>
      <c r="DO103" s="68">
        <f>IF($U103=0,0,IF($F103=4,0,IF($F103=3,0,IF(OR(74&gt;$R103,DN103&lt;=$I103),DN103,DN103-MIN(INT(ROUND(IF($F103=1,$C103*$J103,IF(HM103&gt;0,HM103*$K103,DN103*$J103))*IF(74=$R103,$S103,12)/12,6)+$B$4),DN103-$I103)))))</f>
        <v/>
      </c>
      <c r="DP103" s="68">
        <f>IF($U103=0,0,IF($F103=4,0,IF($F103=3,0,IF(OR(75&gt;$R103,DO103&lt;=$I103),DO103,DO103-MIN(INT(ROUND(IF($F103=1,$C103*$J103,IF(HN103&gt;0,HN103*$K103,DO103*$J103))*IF(75=$R103,$S103,12)/12,6)+$B$4),DO103-$I103)))))</f>
        <v/>
      </c>
      <c r="DQ103" s="68">
        <f>IF($U103=0,0,IF($F103=4,0,IF($F103=3,0,IF(OR(76&gt;$R103,DP103&lt;=$I103),DP103,DP103-MIN(INT(ROUND(IF($F103=1,$C103*$J103,IF(HO103&gt;0,HO103*$K103,DP103*$J103))*IF(76=$R103,$S103,12)/12,6)+$B$4),DP103-$I103)))))</f>
        <v/>
      </c>
      <c r="DR103" s="68">
        <f>IF($U103=0,0,IF($F103=4,0,IF($F103=3,0,IF(OR(77&gt;$R103,DQ103&lt;=$I103),DQ103,DQ103-MIN(INT(ROUND(IF($F103=1,$C103*$J103,IF(HP103&gt;0,HP103*$K103,DQ103*$J103))*IF(77=$R103,$S103,12)/12,6)+$B$4),DQ103-$I103)))))</f>
        <v/>
      </c>
      <c r="DS103" s="68">
        <f>IF($U103=0,0,IF($F103=4,0,IF($F103=3,0,IF(OR(78&gt;$R103,DR103&lt;=$I103),DR103,DR103-MIN(INT(ROUND(IF($F103=1,$C103*$J103,IF(HQ103&gt;0,HQ103*$K103,DR103*$J103))*IF(78=$R103,$S103,12)/12,6)+$B$4),DR103-$I103)))))</f>
        <v/>
      </c>
      <c r="DT103" s="68">
        <f>IF($U103=0,0,IF($F103=4,0,IF($F103=3,0,IF(OR(79&gt;$R103,DS103&lt;=$I103),DS103,DS103-MIN(INT(ROUND(IF($F103=1,$C103*$J103,IF(HR103&gt;0,HR103*$K103,DS103*$J103))*IF(79=$R103,$S103,12)/12,6)+$B$4),DS103-$I103)))))</f>
        <v/>
      </c>
      <c r="DU103" s="68">
        <f>IF($U103=0,0,IF($F103=4,0,IF($F103=3,0,IF(OR(80&gt;$R103,DT103&lt;=$I103),DT103,DT103-MIN(INT(ROUND(IF($F103=1,$C103*$J103,IF(HS103&gt;0,HS103*$K103,DT103*$J103))*IF(80=$R103,$S103,12)/12,6)+$B$4),DT103-$I103)))))</f>
        <v/>
      </c>
      <c r="DV103" s="68">
        <f>IF($U103=0,0,IF($F103=4,0,IF($F103=3,0,IF(OR(81&gt;$R103,DU103&lt;=$I103),DU103,DU103-MIN(INT(ROUND(IF($F103=1,$C103*$J103,IF(HT103&gt;0,HT103*$K103,DU103*$J103))*IF(81=$R103,$S103,12)/12,6)+$B$4),DU103-$I103)))))</f>
        <v/>
      </c>
      <c r="DW103" s="68">
        <f>IF($U103=0,0,IF($F103=4,0,IF($F103=3,0,IF(OR(82&gt;$R103,DV103&lt;=$I103),DV103,DV103-MIN(INT(ROUND(IF($F103=1,$C103*$J103,IF(HU103&gt;0,HU103*$K103,DV103*$J103))*IF(82=$R103,$S103,12)/12,6)+$B$4),DV103-$I103)))))</f>
        <v/>
      </c>
      <c r="DX103" s="68">
        <f>IF($U103=0,0,IF($F103=4,0,IF($F103=3,0,IF(OR(83&gt;$R103,DW103&lt;=$I103),DW103,DW103-MIN(INT(ROUND(IF($F103=1,$C103*$J103,IF(HV103&gt;0,HV103*$K103,DW103*$J103))*IF(83=$R103,$S103,12)/12,6)+$B$4),DW103-$I103)))))</f>
        <v/>
      </c>
      <c r="DY103" s="68">
        <f>IF($U103=0,0,IF($F103=4,0,IF($F103=3,0,IF(OR(84&gt;$R103,DX103&lt;=$I103),DX103,DX103-MIN(INT(ROUND(IF($F103=1,$C103*$J103,IF(HW103&gt;0,HW103*$K103,DX103*$J103))*IF(84=$R103,$S103,12)/12,6)+$B$4),DX103-$I103)))))</f>
        <v/>
      </c>
      <c r="DZ103" s="68">
        <f>IF($U103=0,0,IF($F103=4,0,IF($F103=3,0,IF(OR(85&gt;$R103,DY103&lt;=$I103),DY103,DY103-MIN(INT(ROUND(IF($F103=1,$C103*$J103,IF(HX103&gt;0,HX103*$K103,DY103*$J103))*IF(85=$R103,$S103,12)/12,6)+$B$4),DY103-$I103)))))</f>
        <v/>
      </c>
      <c r="EA103" s="68">
        <f>IF($U103=0,0,IF($F103=4,0,IF($F103=3,0,IF(OR(86&gt;$R103,DZ103&lt;=$I103),DZ103,DZ103-MIN(INT(ROUND(IF($F103=1,$C103*$J103,IF(HY103&gt;0,HY103*$K103,DZ103*$J103))*IF(86=$R103,$S103,12)/12,6)+$B$4),DZ103-$I103)))))</f>
        <v/>
      </c>
      <c r="EB103" s="68">
        <f>IF($U103=0,0,IF($F103=4,0,IF($F103=3,0,IF(OR(87&gt;$R103,EA103&lt;=$I103),EA103,EA103-MIN(INT(ROUND(IF($F103=1,$C103*$J103,IF(HZ103&gt;0,HZ103*$K103,EA103*$J103))*IF(87=$R103,$S103,12)/12,6)+$B$4),EA103-$I103)))))</f>
        <v/>
      </c>
      <c r="EC103" s="68">
        <f>IF($U103=0,0,IF($F103=4,0,IF($F103=3,0,IF(OR(88&gt;$R103,EB103&lt;=$I103),EB103,EB103-MIN(INT(ROUND(IF($F103=1,$C103*$J103,IF(IA103&gt;0,IA103*$K103,EB103*$J103))*IF(88=$R103,$S103,12)/12,6)+$B$4),EB103-$I103)))))</f>
        <v/>
      </c>
      <c r="ED103" s="68">
        <f>IF($U103=0,0,IF($F103=4,0,IF($F103=3,0,IF(OR(89&gt;$R103,EC103&lt;=$I103),EC103,EC103-MIN(INT(ROUND(IF($F103=1,$C103*$J103,IF(IB103&gt;0,IB103*$K103,EC103*$J103))*IF(89=$R103,$S103,12)/12,6)+$B$4),EC103-$I103)))))</f>
        <v/>
      </c>
      <c r="EE103" s="68">
        <f>IF($U103=0,0,IF($F103=4,0,IF($F103=3,0,IF(OR(90&gt;$R103,ED103&lt;=$I103),ED103,ED103-MIN(INT(ROUND(IF($F103=1,$C103*$J103,IF(IC103&gt;0,IC103*$K103,ED103*$J103))*IF(90=$R103,$S103,12)/12,6)+$B$4),ED103-$I103)))))</f>
        <v/>
      </c>
      <c r="EF103" s="68">
        <f>IF($U103=0,0,IF($F103=4,0,IF($F103=3,0,IF(OR(91&gt;$R103,EE103&lt;=$I103),EE103,EE103-MIN(INT(ROUND(IF($F103=1,$C103*$J103,IF(ID103&gt;0,ID103*$K103,EE103*$J103))*IF(91=$R103,$S103,12)/12,6)+$B$4),EE103-$I103)))))</f>
        <v/>
      </c>
      <c r="EG103" s="68">
        <f>IF($U103=0,0,IF($F103=4,0,IF($F103=3,0,IF(OR(92&gt;$R103,EF103&lt;=$I103),EF103,EF103-MIN(INT(ROUND(IF($F103=1,$C103*$J103,IF(IE103&gt;0,IE103*$K103,EF103*$J103))*IF(92=$R103,$S103,12)/12,6)+$B$4),EF103-$I103)))))</f>
        <v/>
      </c>
      <c r="EH103" s="68">
        <f>IF($U103=0,0,IF($F103=4,0,IF($F103=3,0,IF(OR(93&gt;$R103,EG103&lt;=$I103),EG103,EG103-MIN(INT(ROUND(IF($F103=1,$C103*$J103,IF(IF103&gt;0,IF103*$K103,EG103*$J103))*IF(93=$R103,$S103,12)/12,6)+$B$4),EG103-$I103)))))</f>
        <v/>
      </c>
      <c r="EI103" s="68">
        <f>IF($U103=0,0,IF($F103=4,0,IF($F103=3,0,IF(OR(94&gt;$R103,EH103&lt;=$I103),EH103,EH103-MIN(INT(ROUND(IF($F103=1,$C103*$J103,IF(IG103&gt;0,IG103*$K103,EH103*$J103))*IF(94=$R103,$S103,12)/12,6)+$B$4),EH103-$I103)))))</f>
        <v/>
      </c>
      <c r="EJ103" s="68">
        <f>IF($U103=0,0,IF($F103=4,0,IF($F103=3,0,IF(OR(95&gt;$R103,EI103&lt;=$I103),EI103,EI103-MIN(INT(ROUND(IF($F103=1,$C103*$J103,IF(IH103&gt;0,IH103*$K103,EI103*$J103))*IF(95=$R103,$S103,12)/12,6)+$B$4),EI103-$I103)))))</f>
        <v/>
      </c>
      <c r="EK103" s="68">
        <f>IF($U103=0,0,IF($F103=4,0,IF($F103=3,0,IF(OR(96&gt;$R103,EJ103&lt;=$I103),EJ103,EJ103-MIN(INT(ROUND(IF($F103=1,$C103*$J103,IF(II103&gt;0,II103*$K103,EJ103*$J103))*IF(96=$R103,$S103,12)/12,6)+$B$4),EJ103-$I103)))))</f>
        <v/>
      </c>
      <c r="EL103" s="68">
        <f>IF($U103=0,0,IF($F103=4,0,IF($F103=3,0,IF(OR(97&gt;$R103,EK103&lt;=$I103),EK103,EK103-MIN(INT(ROUND(IF($F103=1,$C103*$J103,IF(IJ103&gt;0,IJ103*$K103,EK103*$J103))*IF(97=$R103,$S103,12)/12,6)+$B$4),EK103-$I103)))))</f>
        <v/>
      </c>
      <c r="EM103" s="68">
        <f>IF($U103=0,0,IF($F103=4,0,IF($F103=3,0,IF(OR(98&gt;$R103,EL103&lt;=$I103),EL103,EL103-MIN(INT(ROUND(IF($F103=1,$C103*$J103,IF(IK103&gt;0,IK103*$K103,EL103*$J103))*IF(98=$R103,$S103,12)/12,6)+$B$4),EL103-$I103)))))</f>
        <v/>
      </c>
      <c r="EN103" s="68">
        <f>IF($U103=0,0,IF($F103=4,0,IF($F103=3,0,IF(OR(99&gt;$R103,EM103&lt;=$I103),EM103,EM103-MIN(INT(ROUND(IF($F103=1,$C103*$J103,IF(IL103&gt;0,IL103*$K103,EM103*$J103))*IF(99=$R103,$S103,12)/12,6)+$B$4),EM103-$I103)))))</f>
        <v/>
      </c>
      <c r="EO103" s="68">
        <f>IF($U103=0,0,IF($F103=4,0,IF($F103=3,0,IF(OR(100&gt;$R103,EN103&lt;=$I103),EN103,EN103-MIN(INT(ROUND(IF($F103=1,$C103*$J103,IF(IM103&gt;0,IM103*$K103,EN103*$J103))*IF(100=$R103,$S103,12)/12,6)+$B$4),EN103-$I103)))))</f>
        <v/>
      </c>
      <c r="EP103" s="68">
        <f>IF($U103=0,0,IF($F103=4,0,IF($F103=3,0,IF(OR(101&gt;$R103,EO103&lt;=$I103),EO103,EO103-MIN(INT(ROUND(IF($F103=1,$C103*$J103,IF(IN103&gt;0,IN103*$K103,EO103*$J103))*IF(101=$R103,$S103,12)/12,6)+$B$4),EO103-$I103)))))</f>
        <v/>
      </c>
      <c r="EQ103" s="68" t="n"/>
      <c r="ER103" s="68">
        <f>IF(OR($U103=0,$F103&lt;&gt;2),0,IF(ROUND(AS103*$J103,6)&lt;ROUND($M103,6),AS103,0))</f>
        <v/>
      </c>
      <c r="ES103" s="68">
        <f>IF(OR($U103=0,$F103&lt;&gt;2),0,IF(ER103&gt;0,ER103,IF(ROUND(AT103*$J103,6)&lt;ROUND($M103,6),AT103,0)))</f>
        <v/>
      </c>
      <c r="ET103" s="68">
        <f>IF(OR($U103=0,$F103&lt;&gt;2),0,IF(ES103&gt;0,ES103,IF(ROUND(AU103*$J103,6)&lt;ROUND($M103,6),AU103,0)))</f>
        <v/>
      </c>
      <c r="EU103" s="68">
        <f>IF(OR($U103=0,$F103&lt;&gt;2),0,IF(ET103&gt;0,ET103,IF(ROUND(AV103*$J103,6)&lt;ROUND($M103,6),AV103,0)))</f>
        <v/>
      </c>
      <c r="EV103" s="68">
        <f>IF(OR($U103=0,$F103&lt;&gt;2),0,IF(EU103&gt;0,EU103,IF(ROUND(AW103*$J103,6)&lt;ROUND($M103,6),AW103,0)))</f>
        <v/>
      </c>
      <c r="EW103" s="68">
        <f>IF(OR($U103=0,$F103&lt;&gt;2),0,IF(EV103&gt;0,EV103,IF(ROUND(AX103*$J103,6)&lt;ROUND($M103,6),AX103,0)))</f>
        <v/>
      </c>
      <c r="EX103" s="68">
        <f>IF(OR($U103=0,$F103&lt;&gt;2),0,IF(EW103&gt;0,EW103,IF(ROUND(AY103*$J103,6)&lt;ROUND($M103,6),AY103,0)))</f>
        <v/>
      </c>
      <c r="EY103" s="68">
        <f>IF(OR($U103=0,$F103&lt;&gt;2),0,IF(EX103&gt;0,EX103,IF(ROUND(AZ103*$J103,6)&lt;ROUND($M103,6),AZ103,0)))</f>
        <v/>
      </c>
      <c r="EZ103" s="68">
        <f>IF(OR($U103=0,$F103&lt;&gt;2),0,IF(EY103&gt;0,EY103,IF(ROUND(BA103*$J103,6)&lt;ROUND($M103,6),BA103,0)))</f>
        <v/>
      </c>
      <c r="FA103" s="68">
        <f>IF(OR($U103=0,$F103&lt;&gt;2),0,IF(EZ103&gt;0,EZ103,IF(ROUND(BB103*$J103,6)&lt;ROUND($M103,6),BB103,0)))</f>
        <v/>
      </c>
      <c r="FB103" s="68">
        <f>IF(OR($U103=0,$F103&lt;&gt;2),0,IF(FA103&gt;0,FA103,IF(ROUND(BC103*$J103,6)&lt;ROUND($M103,6),BC103,0)))</f>
        <v/>
      </c>
      <c r="FC103" s="68">
        <f>IF(OR($U103=0,$F103&lt;&gt;2),0,IF(FB103&gt;0,FB103,IF(ROUND(BD103*$J103,6)&lt;ROUND($M103,6),BD103,0)))</f>
        <v/>
      </c>
      <c r="FD103" s="68">
        <f>IF(OR($U103=0,$F103&lt;&gt;2),0,IF(FC103&gt;0,FC103,IF(ROUND(BE103*$J103,6)&lt;ROUND($M103,6),BE103,0)))</f>
        <v/>
      </c>
      <c r="FE103" s="68">
        <f>IF(OR($U103=0,$F103&lt;&gt;2),0,IF(FD103&gt;0,FD103,IF(ROUND(BF103*$J103,6)&lt;ROUND($M103,6),BF103,0)))</f>
        <v/>
      </c>
      <c r="FF103" s="68">
        <f>IF(OR($U103=0,$F103&lt;&gt;2),0,IF(FE103&gt;0,FE103,IF(ROUND(BG103*$J103,6)&lt;ROUND($M103,6),BG103,0)))</f>
        <v/>
      </c>
      <c r="FG103" s="68">
        <f>IF(OR($U103=0,$F103&lt;&gt;2),0,IF(FF103&gt;0,FF103,IF(ROUND(BH103*$J103,6)&lt;ROUND($M103,6),BH103,0)))</f>
        <v/>
      </c>
      <c r="FH103" s="68">
        <f>IF(OR($U103=0,$F103&lt;&gt;2),0,IF(FG103&gt;0,FG103,IF(ROUND(BI103*$J103,6)&lt;ROUND($M103,6),BI103,0)))</f>
        <v/>
      </c>
      <c r="FI103" s="68">
        <f>IF(OR($U103=0,$F103&lt;&gt;2),0,IF(FH103&gt;0,FH103,IF(ROUND(BJ103*$J103,6)&lt;ROUND($M103,6),BJ103,0)))</f>
        <v/>
      </c>
      <c r="FJ103" s="68">
        <f>IF(OR($U103=0,$F103&lt;&gt;2),0,IF(FI103&gt;0,FI103,IF(ROUND(BK103*$J103,6)&lt;ROUND($M103,6),BK103,0)))</f>
        <v/>
      </c>
      <c r="FK103" s="68">
        <f>IF(OR($U103=0,$F103&lt;&gt;2),0,IF(FJ103&gt;0,FJ103,IF(ROUND(BL103*$J103,6)&lt;ROUND($M103,6),BL103,0)))</f>
        <v/>
      </c>
      <c r="FL103" s="68">
        <f>IF(OR($U103=0,$F103&lt;&gt;2),0,IF(FK103&gt;0,FK103,IF(ROUND(BM103*$J103,6)&lt;ROUND($M103,6),BM103,0)))</f>
        <v/>
      </c>
      <c r="FM103" s="68">
        <f>IF(OR($U103=0,$F103&lt;&gt;2),0,IF(FL103&gt;0,FL103,IF(ROUND(BN103*$J103,6)&lt;ROUND($M103,6),BN103,0)))</f>
        <v/>
      </c>
      <c r="FN103" s="68">
        <f>IF(OR($U103=0,$F103&lt;&gt;2),0,IF(FM103&gt;0,FM103,IF(ROUND(BO103*$J103,6)&lt;ROUND($M103,6),BO103,0)))</f>
        <v/>
      </c>
      <c r="FO103" s="68">
        <f>IF(OR($U103=0,$F103&lt;&gt;2),0,IF(FN103&gt;0,FN103,IF(ROUND(BP103*$J103,6)&lt;ROUND($M103,6),BP103,0)))</f>
        <v/>
      </c>
      <c r="FP103" s="68">
        <f>IF(OR($U103=0,$F103&lt;&gt;2),0,IF(FO103&gt;0,FO103,IF(ROUND(BQ103*$J103,6)&lt;ROUND($M103,6),BQ103,0)))</f>
        <v/>
      </c>
      <c r="FQ103" s="68">
        <f>IF(OR($U103=0,$F103&lt;&gt;2),0,IF(FP103&gt;0,FP103,IF(ROUND(BR103*$J103,6)&lt;ROUND($M103,6),BR103,0)))</f>
        <v/>
      </c>
      <c r="FR103" s="68">
        <f>IF(OR($U103=0,$F103&lt;&gt;2),0,IF(FQ103&gt;0,FQ103,IF(ROUND(BS103*$J103,6)&lt;ROUND($M103,6),BS103,0)))</f>
        <v/>
      </c>
      <c r="FS103" s="68">
        <f>IF(OR($U103=0,$F103&lt;&gt;2),0,IF(FR103&gt;0,FR103,IF(ROUND(BT103*$J103,6)&lt;ROUND($M103,6),BT103,0)))</f>
        <v/>
      </c>
      <c r="FT103" s="68">
        <f>IF(OR($U103=0,$F103&lt;&gt;2),0,IF(FS103&gt;0,FS103,IF(ROUND(BU103*$J103,6)&lt;ROUND($M103,6),BU103,0)))</f>
        <v/>
      </c>
      <c r="FU103" s="68">
        <f>IF(OR($U103=0,$F103&lt;&gt;2),0,IF(FT103&gt;0,FT103,IF(ROUND(BV103*$J103,6)&lt;ROUND($M103,6),BV103,0)))</f>
        <v/>
      </c>
      <c r="FV103" s="68">
        <f>IF(OR($U103=0,$F103&lt;&gt;2),0,IF(FU103&gt;0,FU103,IF(ROUND(BW103*$J103,6)&lt;ROUND($M103,6),BW103,0)))</f>
        <v/>
      </c>
      <c r="FW103" s="68">
        <f>IF(OR($U103=0,$F103&lt;&gt;2),0,IF(FV103&gt;0,FV103,IF(ROUND(BX103*$J103,6)&lt;ROUND($M103,6),BX103,0)))</f>
        <v/>
      </c>
      <c r="FX103" s="68">
        <f>IF(OR($U103=0,$F103&lt;&gt;2),0,IF(FW103&gt;0,FW103,IF(ROUND(BY103*$J103,6)&lt;ROUND($M103,6),BY103,0)))</f>
        <v/>
      </c>
      <c r="FY103" s="68">
        <f>IF(OR($U103=0,$F103&lt;&gt;2),0,IF(FX103&gt;0,FX103,IF(ROUND(BZ103*$J103,6)&lt;ROUND($M103,6),BZ103,0)))</f>
        <v/>
      </c>
      <c r="FZ103" s="68">
        <f>IF(OR($U103=0,$F103&lt;&gt;2),0,IF(FY103&gt;0,FY103,IF(ROUND(CA103*$J103,6)&lt;ROUND($M103,6),CA103,0)))</f>
        <v/>
      </c>
      <c r="GA103" s="68">
        <f>IF(OR($U103=0,$F103&lt;&gt;2),0,IF(FZ103&gt;0,FZ103,IF(ROUND(CB103*$J103,6)&lt;ROUND($M103,6),CB103,0)))</f>
        <v/>
      </c>
      <c r="GB103" s="68">
        <f>IF(OR($U103=0,$F103&lt;&gt;2),0,IF(GA103&gt;0,GA103,IF(ROUND(CC103*$J103,6)&lt;ROUND($M103,6),CC103,0)))</f>
        <v/>
      </c>
      <c r="GC103" s="68">
        <f>IF(OR($U103=0,$F103&lt;&gt;2),0,IF(GB103&gt;0,GB103,IF(ROUND(CD103*$J103,6)&lt;ROUND($M103,6),CD103,0)))</f>
        <v/>
      </c>
      <c r="GD103" s="68">
        <f>IF(OR($U103=0,$F103&lt;&gt;2),0,IF(GC103&gt;0,GC103,IF(ROUND(CE103*$J103,6)&lt;ROUND($M103,6),CE103,0)))</f>
        <v/>
      </c>
      <c r="GE103" s="68">
        <f>IF(OR($U103=0,$F103&lt;&gt;2),0,IF(GD103&gt;0,GD103,IF(ROUND(CF103*$J103,6)&lt;ROUND($M103,6),CF103,0)))</f>
        <v/>
      </c>
      <c r="GF103" s="68">
        <f>IF(OR($U103=0,$F103&lt;&gt;2),0,IF(GE103&gt;0,GE103,IF(ROUND(CG103*$J103,6)&lt;ROUND($M103,6),CG103,0)))</f>
        <v/>
      </c>
      <c r="GG103" s="68">
        <f>IF(OR($U103=0,$F103&lt;&gt;2),0,IF(GF103&gt;0,GF103,IF(ROUND(CH103*$J103,6)&lt;ROUND($M103,6),CH103,0)))</f>
        <v/>
      </c>
      <c r="GH103" s="68">
        <f>IF(OR($U103=0,$F103&lt;&gt;2),0,IF(GG103&gt;0,GG103,IF(ROUND(CI103*$J103,6)&lt;ROUND($M103,6),CI103,0)))</f>
        <v/>
      </c>
      <c r="GI103" s="68">
        <f>IF(OR($U103=0,$F103&lt;&gt;2),0,IF(GH103&gt;0,GH103,IF(ROUND(CJ103*$J103,6)&lt;ROUND($M103,6),CJ103,0)))</f>
        <v/>
      </c>
      <c r="GJ103" s="68">
        <f>IF(OR($U103=0,$F103&lt;&gt;2),0,IF(GI103&gt;0,GI103,IF(ROUND(CK103*$J103,6)&lt;ROUND($M103,6),CK103,0)))</f>
        <v/>
      </c>
      <c r="GK103" s="68">
        <f>IF(OR($U103=0,$F103&lt;&gt;2),0,IF(GJ103&gt;0,GJ103,IF(ROUND(CL103*$J103,6)&lt;ROUND($M103,6),CL103,0)))</f>
        <v/>
      </c>
      <c r="GL103" s="68">
        <f>IF(OR($U103=0,$F103&lt;&gt;2),0,IF(GK103&gt;0,GK103,IF(ROUND(CM103*$J103,6)&lt;ROUND($M103,6),CM103,0)))</f>
        <v/>
      </c>
      <c r="GM103" s="68">
        <f>IF(OR($U103=0,$F103&lt;&gt;2),0,IF(GL103&gt;0,GL103,IF(ROUND(CN103*$J103,6)&lt;ROUND($M103,6),CN103,0)))</f>
        <v/>
      </c>
      <c r="GN103" s="68">
        <f>IF(OR($U103=0,$F103&lt;&gt;2),0,IF(GM103&gt;0,GM103,IF(ROUND(CO103*$J103,6)&lt;ROUND($M103,6),CO103,0)))</f>
        <v/>
      </c>
      <c r="GO103" s="68">
        <f>IF(OR($U103=0,$F103&lt;&gt;2),0,IF(GN103&gt;0,GN103,IF(ROUND(CP103*$J103,6)&lt;ROUND($M103,6),CP103,0)))</f>
        <v/>
      </c>
      <c r="GP103" s="68">
        <f>IF(OR($U103=0,$F103&lt;&gt;2),0,IF(GO103&gt;0,GO103,IF(ROUND(CQ103*$J103,6)&lt;ROUND($M103,6),CQ103,0)))</f>
        <v/>
      </c>
      <c r="GQ103" s="68">
        <f>IF(OR($U103=0,$F103&lt;&gt;2),0,IF(GP103&gt;0,GP103,IF(ROUND(CR103*$J103,6)&lt;ROUND($M103,6),CR103,0)))</f>
        <v/>
      </c>
      <c r="GR103" s="68">
        <f>IF(OR($U103=0,$F103&lt;&gt;2),0,IF(GQ103&gt;0,GQ103,IF(ROUND(CS103*$J103,6)&lt;ROUND($M103,6),CS103,0)))</f>
        <v/>
      </c>
      <c r="GS103" s="68">
        <f>IF(OR($U103=0,$F103&lt;&gt;2),0,IF(GR103&gt;0,GR103,IF(ROUND(CT103*$J103,6)&lt;ROUND($M103,6),CT103,0)))</f>
        <v/>
      </c>
      <c r="GT103" s="68">
        <f>IF(OR($U103=0,$F103&lt;&gt;2),0,IF(GS103&gt;0,GS103,IF(ROUND(CU103*$J103,6)&lt;ROUND($M103,6),CU103,0)))</f>
        <v/>
      </c>
      <c r="GU103" s="68">
        <f>IF(OR($U103=0,$F103&lt;&gt;2),0,IF(GT103&gt;0,GT103,IF(ROUND(CV103*$J103,6)&lt;ROUND($M103,6),CV103,0)))</f>
        <v/>
      </c>
      <c r="GV103" s="68">
        <f>IF(OR($U103=0,$F103&lt;&gt;2),0,IF(GU103&gt;0,GU103,IF(ROUND(CW103*$J103,6)&lt;ROUND($M103,6),CW103,0)))</f>
        <v/>
      </c>
      <c r="GW103" s="68">
        <f>IF(OR($U103=0,$F103&lt;&gt;2),0,IF(GV103&gt;0,GV103,IF(ROUND(CX103*$J103,6)&lt;ROUND($M103,6),CX103,0)))</f>
        <v/>
      </c>
      <c r="GX103" s="68">
        <f>IF(OR($U103=0,$F103&lt;&gt;2),0,IF(GW103&gt;0,GW103,IF(ROUND(CY103*$J103,6)&lt;ROUND($M103,6),CY103,0)))</f>
        <v/>
      </c>
      <c r="GY103" s="68">
        <f>IF(OR($U103=0,$F103&lt;&gt;2),0,IF(GX103&gt;0,GX103,IF(ROUND(CZ103*$J103,6)&lt;ROUND($M103,6),CZ103,0)))</f>
        <v/>
      </c>
      <c r="GZ103" s="68">
        <f>IF(OR($U103=0,$F103&lt;&gt;2),0,IF(GY103&gt;0,GY103,IF(ROUND(DA103*$J103,6)&lt;ROUND($M103,6),DA103,0)))</f>
        <v/>
      </c>
      <c r="HA103" s="68">
        <f>IF(OR($U103=0,$F103&lt;&gt;2),0,IF(GZ103&gt;0,GZ103,IF(ROUND(DB103*$J103,6)&lt;ROUND($M103,6),DB103,0)))</f>
        <v/>
      </c>
      <c r="HB103" s="68">
        <f>IF(OR($U103=0,$F103&lt;&gt;2),0,IF(HA103&gt;0,HA103,IF(ROUND(DC103*$J103,6)&lt;ROUND($M103,6),DC103,0)))</f>
        <v/>
      </c>
      <c r="HC103" s="68">
        <f>IF(OR($U103=0,$F103&lt;&gt;2),0,IF(HB103&gt;0,HB103,IF(ROUND(DD103*$J103,6)&lt;ROUND($M103,6),DD103,0)))</f>
        <v/>
      </c>
      <c r="HD103" s="68">
        <f>IF(OR($U103=0,$F103&lt;&gt;2),0,IF(HC103&gt;0,HC103,IF(ROUND(DE103*$J103,6)&lt;ROUND($M103,6),DE103,0)))</f>
        <v/>
      </c>
      <c r="HE103" s="68">
        <f>IF(OR($U103=0,$F103&lt;&gt;2),0,IF(HD103&gt;0,HD103,IF(ROUND(DF103*$J103,6)&lt;ROUND($M103,6),DF103,0)))</f>
        <v/>
      </c>
      <c r="HF103" s="68">
        <f>IF(OR($U103=0,$F103&lt;&gt;2),0,IF(HE103&gt;0,HE103,IF(ROUND(DG103*$J103,6)&lt;ROUND($M103,6),DG103,0)))</f>
        <v/>
      </c>
      <c r="HG103" s="68">
        <f>IF(OR($U103=0,$F103&lt;&gt;2),0,IF(HF103&gt;0,HF103,IF(ROUND(DH103*$J103,6)&lt;ROUND($M103,6),DH103,0)))</f>
        <v/>
      </c>
      <c r="HH103" s="68">
        <f>IF(OR($U103=0,$F103&lt;&gt;2),0,IF(HG103&gt;0,HG103,IF(ROUND(DI103*$J103,6)&lt;ROUND($M103,6),DI103,0)))</f>
        <v/>
      </c>
      <c r="HI103" s="68">
        <f>IF(OR($U103=0,$F103&lt;&gt;2),0,IF(HH103&gt;0,HH103,IF(ROUND(DJ103*$J103,6)&lt;ROUND($M103,6),DJ103,0)))</f>
        <v/>
      </c>
      <c r="HJ103" s="68">
        <f>IF(OR($U103=0,$F103&lt;&gt;2),0,IF(HI103&gt;0,HI103,IF(ROUND(DK103*$J103,6)&lt;ROUND($M103,6),DK103,0)))</f>
        <v/>
      </c>
      <c r="HK103" s="68">
        <f>IF(OR($U103=0,$F103&lt;&gt;2),0,IF(HJ103&gt;0,HJ103,IF(ROUND(DL103*$J103,6)&lt;ROUND($M103,6),DL103,0)))</f>
        <v/>
      </c>
      <c r="HL103" s="68">
        <f>IF(OR($U103=0,$F103&lt;&gt;2),0,IF(HK103&gt;0,HK103,IF(ROUND(DM103*$J103,6)&lt;ROUND($M103,6),DM103,0)))</f>
        <v/>
      </c>
      <c r="HM103" s="68">
        <f>IF(OR($U103=0,$F103&lt;&gt;2),0,IF(HL103&gt;0,HL103,IF(ROUND(DN103*$J103,6)&lt;ROUND($M103,6),DN103,0)))</f>
        <v/>
      </c>
      <c r="HN103" s="68">
        <f>IF(OR($U103=0,$F103&lt;&gt;2),0,IF(HM103&gt;0,HM103,IF(ROUND(DO103*$J103,6)&lt;ROUND($M103,6),DO103,0)))</f>
        <v/>
      </c>
      <c r="HO103" s="68">
        <f>IF(OR($U103=0,$F103&lt;&gt;2),0,IF(HN103&gt;0,HN103,IF(ROUND(DP103*$J103,6)&lt;ROUND($M103,6),DP103,0)))</f>
        <v/>
      </c>
      <c r="HP103" s="68">
        <f>IF(OR($U103=0,$F103&lt;&gt;2),0,IF(HO103&gt;0,HO103,IF(ROUND(DQ103*$J103,6)&lt;ROUND($M103,6),DQ103,0)))</f>
        <v/>
      </c>
      <c r="HQ103" s="68">
        <f>IF(OR($U103=0,$F103&lt;&gt;2),0,IF(HP103&gt;0,HP103,IF(ROUND(DR103*$J103,6)&lt;ROUND($M103,6),DR103,0)))</f>
        <v/>
      </c>
      <c r="HR103" s="68">
        <f>IF(OR($U103=0,$F103&lt;&gt;2),0,IF(HQ103&gt;0,HQ103,IF(ROUND(DS103*$J103,6)&lt;ROUND($M103,6),DS103,0)))</f>
        <v/>
      </c>
      <c r="HS103" s="68">
        <f>IF(OR($U103=0,$F103&lt;&gt;2),0,IF(HR103&gt;0,HR103,IF(ROUND(DT103*$J103,6)&lt;ROUND($M103,6),DT103,0)))</f>
        <v/>
      </c>
      <c r="HT103" s="68">
        <f>IF(OR($U103=0,$F103&lt;&gt;2),0,IF(HS103&gt;0,HS103,IF(ROUND(DU103*$J103,6)&lt;ROUND($M103,6),DU103,0)))</f>
        <v/>
      </c>
      <c r="HU103" s="68">
        <f>IF(OR($U103=0,$F103&lt;&gt;2),0,IF(HT103&gt;0,HT103,IF(ROUND(DV103*$J103,6)&lt;ROUND($M103,6),DV103,0)))</f>
        <v/>
      </c>
      <c r="HV103" s="68">
        <f>IF(OR($U103=0,$F103&lt;&gt;2),0,IF(HU103&gt;0,HU103,IF(ROUND(DW103*$J103,6)&lt;ROUND($M103,6),DW103,0)))</f>
        <v/>
      </c>
      <c r="HW103" s="68">
        <f>IF(OR($U103=0,$F103&lt;&gt;2),0,IF(HV103&gt;0,HV103,IF(ROUND(DX103*$J103,6)&lt;ROUND($M103,6),DX103,0)))</f>
        <v/>
      </c>
      <c r="HX103" s="68">
        <f>IF(OR($U103=0,$F103&lt;&gt;2),0,IF(HW103&gt;0,HW103,IF(ROUND(DY103*$J103,6)&lt;ROUND($M103,6),DY103,0)))</f>
        <v/>
      </c>
      <c r="HY103" s="68">
        <f>IF(OR($U103=0,$F103&lt;&gt;2),0,IF(HX103&gt;0,HX103,IF(ROUND(DZ103*$J103,6)&lt;ROUND($M103,6),DZ103,0)))</f>
        <v/>
      </c>
      <c r="HZ103" s="68">
        <f>IF(OR($U103=0,$F103&lt;&gt;2),0,IF(HY103&gt;0,HY103,IF(ROUND(EA103*$J103,6)&lt;ROUND($M103,6),EA103,0)))</f>
        <v/>
      </c>
      <c r="IA103" s="68">
        <f>IF(OR($U103=0,$F103&lt;&gt;2),0,IF(HZ103&gt;0,HZ103,IF(ROUND(EB103*$J103,6)&lt;ROUND($M103,6),EB103,0)))</f>
        <v/>
      </c>
      <c r="IB103" s="68">
        <f>IF(OR($U103=0,$F103&lt;&gt;2),0,IF(IA103&gt;0,IA103,IF(ROUND(EC103*$J103,6)&lt;ROUND($M103,6),EC103,0)))</f>
        <v/>
      </c>
      <c r="IC103" s="68">
        <f>IF(OR($U103=0,$F103&lt;&gt;2),0,IF(IB103&gt;0,IB103,IF(ROUND(ED103*$J103,6)&lt;ROUND($M103,6),ED103,0)))</f>
        <v/>
      </c>
      <c r="ID103" s="68">
        <f>IF(OR($U103=0,$F103&lt;&gt;2),0,IF(IC103&gt;0,IC103,IF(ROUND(EE103*$J103,6)&lt;ROUND($M103,6),EE103,0)))</f>
        <v/>
      </c>
      <c r="IE103" s="68">
        <f>IF(OR($U103=0,$F103&lt;&gt;2),0,IF(ID103&gt;0,ID103,IF(ROUND(EF103*$J103,6)&lt;ROUND($M103,6),EF103,0)))</f>
        <v/>
      </c>
      <c r="IF103" s="68">
        <f>IF(OR($U103=0,$F103&lt;&gt;2),0,IF(IE103&gt;0,IE103,IF(ROUND(EG103*$J103,6)&lt;ROUND($M103,6),EG103,0)))</f>
        <v/>
      </c>
      <c r="IG103" s="68">
        <f>IF(OR($U103=0,$F103&lt;&gt;2),0,IF(IF103&gt;0,IF103,IF(ROUND(EH103*$J103,6)&lt;ROUND($M103,6),EH103,0)))</f>
        <v/>
      </c>
      <c r="IH103" s="68">
        <f>IF(OR($U103=0,$F103&lt;&gt;2),0,IF(IG103&gt;0,IG103,IF(ROUND(EI103*$J103,6)&lt;ROUND($M103,6),EI103,0)))</f>
        <v/>
      </c>
      <c r="II103" s="68">
        <f>IF(OR($U103=0,$F103&lt;&gt;2),0,IF(IH103&gt;0,IH103,IF(ROUND(EJ103*$J103,6)&lt;ROUND($M103,6),EJ103,0)))</f>
        <v/>
      </c>
      <c r="IJ103" s="68">
        <f>IF(OR($U103=0,$F103&lt;&gt;2),0,IF(II103&gt;0,II103,IF(ROUND(EK103*$J103,6)&lt;ROUND($M103,6),EK103,0)))</f>
        <v/>
      </c>
      <c r="IK103" s="68">
        <f>IF(OR($U103=0,$F103&lt;&gt;2),0,IF(IJ103&gt;0,IJ103,IF(ROUND(EL103*$J103,6)&lt;ROUND($M103,6),EL103,0)))</f>
        <v/>
      </c>
      <c r="IL103" s="68">
        <f>IF(OR($U103=0,$F103&lt;&gt;2),0,IF(IK103&gt;0,IK103,IF(ROUND(EM103*$J103,6)&lt;ROUND($M103,6),EM103,0)))</f>
        <v/>
      </c>
      <c r="IM103" s="68">
        <f>IF(OR($U103=0,$F103&lt;&gt;2),0,IF(IL103&gt;0,IL103,IF(ROUND(EN103*$J103,6)&lt;ROUND($M103,6),EN103,0)))</f>
        <v/>
      </c>
      <c r="IN103" s="68">
        <f>IF(OR($U103=0,$F103&lt;&gt;2),0,IF(IM103&gt;0,IM103,IF(ROUND(EO103*$J103,6)&lt;ROUND($M103,6),EO103,0)))</f>
        <v/>
      </c>
    </row>
    <row r="104">
      <c r="A104" s="68" t="n">
        <v>99</v>
      </c>
      <c r="B104" s="68">
        <f>IF(OR(TRIM('固定資産台帳'!$B104)&lt;&gt;"",'固定資産台帳'!$E104&lt;&gt;"",'固定資産台帳'!$G104&lt;&gt;"",'固定資産台帳'!$H104&lt;&gt;""),1,0)</f>
        <v/>
      </c>
      <c r="C104" s="68">
        <f>IF(ISNUMBER('固定資産台帳'!$G104),MAX(ROUND('固定資産台帳'!$G104,0),0),0)</f>
        <v/>
      </c>
      <c r="D104" s="84">
        <f>IF(ISNUMBER('固定資産台帳'!$E104),INT('固定資産台帳'!$E104),0)</f>
        <v/>
      </c>
      <c r="E104" s="84">
        <f>IF(ISNUMBER('固定資産台帳'!$F104),INT('固定資産台帳'!$F104),$D104)</f>
        <v/>
      </c>
      <c r="F104" s="68">
        <f>IF('固定資産台帳'!$H104="定額法",1,IF(OR('固定資産台帳'!$H104="定率法",'固定資産台帳'!$H104="定率法（200%）",'固定資産台帳'!$H104="定率法（250%）"),2,IF('固定資産台帳'!$H104="一括償却（3年）",3,IF('固定資産台帳'!$H104="少額特例",4,0))))</f>
        <v/>
      </c>
      <c r="G104" s="68">
        <f>IF('固定資産台帳'!$H104="定率法（250%）",250,IF('固定資産台帳'!$H104="定率法（200%）",200,IF($D104&gt;=DATE(2012,4,1),200,250)))</f>
        <v/>
      </c>
      <c r="H104" s="68">
        <f>IF(ISNUMBER('固定資産台帳'!$I104),IF(AND('固定資産台帳'!$I104&gt;=2,'固定資産台帳'!$I104&lt;=100,'固定資産台帳'!$I104=INT('固定資産台帳'!$I104)),'固定資産台帳'!$I104,0),0)</f>
        <v/>
      </c>
      <c r="I104" s="68">
        <f>IF('固定資産台帳'!$C104="無形固定資産",0,1)</f>
        <v/>
      </c>
      <c r="J104" s="68">
        <f>IF(OR($H104=0,$F104=0,$F104&gt;2),0,IF($F104=1,INDEX('償却率表'!$B$6:$B$104,$H104-1),IF($G104=200,INDEX('償却率表'!$C$6:$C$104,$H104-1),INDEX('償却率表'!$F$6:$F$104,$H104-1))))</f>
        <v/>
      </c>
      <c r="K104" s="68">
        <f>IF(AND($F104=2,$H104&gt;0),IF($G104=200,INDEX('償却率表'!$D$6:$D$104,$H104-1),INDEX('償却率表'!$G$6:$G$104,$H104-1)),0)</f>
        <v/>
      </c>
      <c r="L104" s="68">
        <f>IF(AND($F104=2,$H104&gt;0),IF($G104=200,INDEX('償却率表'!$E$6:$E$104,$H104-1),INDEX('償却率表'!$H$6:$H$104,$H104-1)),0)</f>
        <v/>
      </c>
      <c r="M104" s="68">
        <f>$C104*$L104</f>
        <v/>
      </c>
      <c r="N104" s="68">
        <f>IF($B$1=1,1,IF('固定資産台帳'!$J104="",1,IF(ISNUMBER('固定資産台帳'!$J104),IF(AND('固定資産台帳'!$J104&gt;0,'固定資産台帳'!$J104&lt;=1),'固定資産台帳'!$J104,0),0)))</f>
        <v/>
      </c>
      <c r="O104" s="68">
        <f>IF($E104=0,0,YEAR($E104)-IF(MONTH($E104)&lt;$B$2,1,0))</f>
        <v/>
      </c>
      <c r="P104" s="68">
        <f>IF($E104=0,0,12-MOD(MONTH($E104)-$B$2,12))</f>
        <v/>
      </c>
      <c r="Q104" s="84">
        <f>IF(ISNUMBER('固定資産台帳'!$K104),INT('固定資産台帳'!$K104),0)</f>
        <v/>
      </c>
      <c r="R104" s="68">
        <f>IF(OR($Q104=0,$E104=0),999,YEAR($Q104)-IF(MONTH($Q104)&lt;$B$2,1,0)-$O104)</f>
        <v/>
      </c>
      <c r="S104" s="68">
        <f>IF($R104=999,0,MOD(MONTH($Q104)-$B$2,12)+1-IF($R104=0,12-$P104,0))</f>
        <v/>
      </c>
      <c r="T104" s="68">
        <f>IF($B104=0,0,IF($C104&lt;=0,1,IF($D104=0,2,IF($F104=0,3,IF(AND($F104&lt;=2,$H104=0),4,IF(AND($F104&lt;=2,$D104&lt;DATE(2007,4,1)),5,IF($E104&lt;$D104,6,IF(AND($Q104&gt;0,$Q104&lt;$E104),7,IF($N104=0,8,IF($B$3=0,9,0))))))))))</f>
        <v/>
      </c>
      <c r="U104" s="68">
        <f>IF(AND($B104=1,$T104=0),1,0)</f>
        <v/>
      </c>
      <c r="V104" s="68">
        <f>$B$3-$O104</f>
        <v/>
      </c>
      <c r="W104" s="68">
        <f>IF(AND($U104=1,$V104&gt;=0),1,0)</f>
        <v/>
      </c>
      <c r="X104" s="68">
        <f>IF($W104=0,0,IF($V104=0,$C104,INDEX($AS104:$EP104,MIN($V104,102))))</f>
        <v/>
      </c>
      <c r="Y104" s="68">
        <f>IF($W104=0,0,INDEX($AS104:$EP104,MIN($V104,101)+1))</f>
        <v/>
      </c>
      <c r="Z104" s="68">
        <f>$X104-$Y104</f>
        <v/>
      </c>
      <c r="AA104" s="68">
        <f>IF(AND($W104=1,$F104=2,$V104&gt;=1),INDEX($ER104:$IN104,MIN($V104,101)),0)</f>
        <v/>
      </c>
      <c r="AB104" s="68">
        <f>IF(OR($W104=0,$F104&gt;2,$Z104=0),0,IF($V104=0,IF($R104=0,$S104,$P104),IF($V104=$R104,$S104,12)))</f>
        <v/>
      </c>
      <c r="AC104" s="68">
        <f>IF($W104=0,0,INT(ROUND($Z104*$N104,6)+$B$4))</f>
        <v/>
      </c>
      <c r="AD104" s="68">
        <f>IF(AND($W104=1,$F104&lt;=2,$V104=$R104),1,0)</f>
        <v/>
      </c>
      <c r="AE104" s="68">
        <f>IF(AND($W104=1,$F104&lt;=2,$V104&gt;$R104),1,0)</f>
        <v/>
      </c>
      <c r="AF104" s="68">
        <f>IF(AND($W104=1,$AE104=0,OR($Z104&gt;0,$AD104=1)),1,0)</f>
        <v/>
      </c>
      <c r="AG104" s="68">
        <f>IF($AF104=1,SUM($AF$6:$AF104),0)</f>
        <v/>
      </c>
      <c r="AH104" s="68">
        <f>IF($T104=0,"",CHOOSE($T104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04" s="68">
        <f>IF(AND($F104=2,OR('固定資産台帳'!$C104="建物",'固定資産台帳'!$C104="無形固定資産",AND(OR('固定資産台帳'!$C104="建物附属設備",'固定資産台帳'!$C104="構築物"),$D104&gt;=DATE(2016,4,1)))),"この資産は定額法だけです（定率法は使えません）。","")&amp;IF(AND($F104=3,$C104&gt;=200000),"一括償却は20万円未満の資産だけです。","")&amp;IF(AND($F104=3,$B$1=0,$C104&lt;100000),"10万円未満は一括償却にせず、全額をその年の経費にします。","")&amp;IF(AND($F104=4,$C104&lt;100000),"10万円未満は少額特例ではなく、全額をその年の経費にします。","")&amp;IF(AND($F104=4,$D104&lt;DATE(2026,4,1),$C104&gt;=300000),"2026年3月31日までの取得で少額特例が使えるのは30万円未満です。","")&amp;IF(AND($F104=4,$D104&gt;=DATE(2026,4,1),$C104&gt;=400000),"少額特例は40万円未満の資産だけです。","")&amp;IF(AND($F104=4,OR($D104&lt;DATE(2006,4,1),$D104&gt;DATE(2029,3,31))),"少額特例は2006年4月1日〜2029年3月31日に取得した資産だけです。","")&amp;IF(AND($F104=2,$G104=250,$D104&gt;DATE(2012,12,31)),"250%定率法は2012年12月31日までの取得だけです。","")</f>
        <v/>
      </c>
      <c r="AJ104" s="68">
        <f>IF(AND($F104=2,'固定資産台帳'!$H104="定率法（200%）",$D104&lt;DATE(2012,4,1)),"2012年3月31日までの取得に200%を使うのは、経過措置の届出をした場合です。","")&amp;IF(AND($F104=2,'固定資産台帳'!$H104="定率法（250%）",$D104&gt;=DATE(2012,4,1),$D104&lt;=DATE(2012,12,31)),"2012年4〜12月の取得に250%を使うのは、経過措置を選んだ場合です。","")</f>
        <v/>
      </c>
      <c r="AK104" s="68">
        <f>IF($U104=0,"",IF($V104&lt;0,"表示している年より後に使い始める資産です。",IF($AE104=1,"売却・除却済みです。",IF($AD104=1,"この年に売却・除却。期末の帳簿価額 "&amp;TEXT($Y104,"#,##0")&amp;"円を帳簿から外します。",IF($F104=4,IF($V104=0,"少額特例：この年に全額を経費にします。","少額特例で経費にした資産です。"),IF($F104=3,IF($V104&gt;2,"一括償却は終わっています。","一括償却 "&amp;($V104+1)&amp;"年目（3年のうち）。"),IF($Z104=0,"償却済み（帳簿価額 "&amp;TEXT($Y104,"#,##0")&amp;"円）。",IF($AA104&gt;0,"改定償却率で計算（改定取得価額 "&amp;TEXT($AA104,"#,##0")&amp;"円）。",IF($V104=0,"この年に使い始め（"&amp;$AB104&amp;"か月分）。","")))))))))</f>
        <v/>
      </c>
      <c r="AL104" s="68">
        <f>IF(AND($U104=1,$F104=4,$V104=0),$C104,0)</f>
        <v/>
      </c>
      <c r="AM104" s="68">
        <f>IF($F104=2,INT(ROUND($M104,6)+$B$4),0)</f>
        <v/>
      </c>
      <c r="AN104" s="68">
        <f>IF($W104=0,0,IF($F104=2,IF($AA104&gt;0,$AA104,$X104),$C104))</f>
        <v/>
      </c>
      <c r="AO104" s="68">
        <f>IF($W104=0,"",IF($F104=3,"1/3",IF($F104=4,"―",IF($AA104&gt;0,$K104,$J104))))</f>
        <v/>
      </c>
      <c r="AP104" s="68" t="n"/>
      <c r="AQ104" s="68" t="n"/>
      <c r="AR104" s="68" t="n"/>
      <c r="AS104" s="68">
        <f>IF($U104=0,0,IF($F104=4,0,IF($F104=3,MAX($C104-INT(ROUND($C104/3,6)+$B$4),0),$C104-MIN(INT(ROUND($C104*$J104*IF($R104=0,$S104,$P104)/12,6)+$B$4),MAX($C104-$I104,0)))))</f>
        <v/>
      </c>
      <c r="AT104" s="68">
        <f>IF($U104=0,0,IF($F104=4,0,IF($F104=3,AS104-MIN(INT(ROUND($C104/3,6)+$B$4),AS104),IF(OR(1&gt;$R104,AS104&lt;=$I104),AS104,AS104-MIN(INT(ROUND(IF($F104=1,$C104*$J104,IF(ER104&gt;0,ER104*$K104,AS104*$J104))*IF(1=$R104,$S104,12)/12,6)+$B$4),AS104-$I104)))))</f>
        <v/>
      </c>
      <c r="AU104" s="68">
        <f>IF($U104=0,0,IF($F104=4,0,IF($F104=3,0,IF(OR(2&gt;$R104,AT104&lt;=$I104),AT104,AT104-MIN(INT(ROUND(IF($F104=1,$C104*$J104,IF(ES104&gt;0,ES104*$K104,AT104*$J104))*IF(2=$R104,$S104,12)/12,6)+$B$4),AT104-$I104)))))</f>
        <v/>
      </c>
      <c r="AV104" s="68">
        <f>IF($U104=0,0,IF($F104=4,0,IF($F104=3,0,IF(OR(3&gt;$R104,AU104&lt;=$I104),AU104,AU104-MIN(INT(ROUND(IF($F104=1,$C104*$J104,IF(ET104&gt;0,ET104*$K104,AU104*$J104))*IF(3=$R104,$S104,12)/12,6)+$B$4),AU104-$I104)))))</f>
        <v/>
      </c>
      <c r="AW104" s="68">
        <f>IF($U104=0,0,IF($F104=4,0,IF($F104=3,0,IF(OR(4&gt;$R104,AV104&lt;=$I104),AV104,AV104-MIN(INT(ROUND(IF($F104=1,$C104*$J104,IF(EU104&gt;0,EU104*$K104,AV104*$J104))*IF(4=$R104,$S104,12)/12,6)+$B$4),AV104-$I104)))))</f>
        <v/>
      </c>
      <c r="AX104" s="68">
        <f>IF($U104=0,0,IF($F104=4,0,IF($F104=3,0,IF(OR(5&gt;$R104,AW104&lt;=$I104),AW104,AW104-MIN(INT(ROUND(IF($F104=1,$C104*$J104,IF(EV104&gt;0,EV104*$K104,AW104*$J104))*IF(5=$R104,$S104,12)/12,6)+$B$4),AW104-$I104)))))</f>
        <v/>
      </c>
      <c r="AY104" s="68">
        <f>IF($U104=0,0,IF($F104=4,0,IF($F104=3,0,IF(OR(6&gt;$R104,AX104&lt;=$I104),AX104,AX104-MIN(INT(ROUND(IF($F104=1,$C104*$J104,IF(EW104&gt;0,EW104*$K104,AX104*$J104))*IF(6=$R104,$S104,12)/12,6)+$B$4),AX104-$I104)))))</f>
        <v/>
      </c>
      <c r="AZ104" s="68">
        <f>IF($U104=0,0,IF($F104=4,0,IF($F104=3,0,IF(OR(7&gt;$R104,AY104&lt;=$I104),AY104,AY104-MIN(INT(ROUND(IF($F104=1,$C104*$J104,IF(EX104&gt;0,EX104*$K104,AY104*$J104))*IF(7=$R104,$S104,12)/12,6)+$B$4),AY104-$I104)))))</f>
        <v/>
      </c>
      <c r="BA104" s="68">
        <f>IF($U104=0,0,IF($F104=4,0,IF($F104=3,0,IF(OR(8&gt;$R104,AZ104&lt;=$I104),AZ104,AZ104-MIN(INT(ROUND(IF($F104=1,$C104*$J104,IF(EY104&gt;0,EY104*$K104,AZ104*$J104))*IF(8=$R104,$S104,12)/12,6)+$B$4),AZ104-$I104)))))</f>
        <v/>
      </c>
      <c r="BB104" s="68">
        <f>IF($U104=0,0,IF($F104=4,0,IF($F104=3,0,IF(OR(9&gt;$R104,BA104&lt;=$I104),BA104,BA104-MIN(INT(ROUND(IF($F104=1,$C104*$J104,IF(EZ104&gt;0,EZ104*$K104,BA104*$J104))*IF(9=$R104,$S104,12)/12,6)+$B$4),BA104-$I104)))))</f>
        <v/>
      </c>
      <c r="BC104" s="68">
        <f>IF($U104=0,0,IF($F104=4,0,IF($F104=3,0,IF(OR(10&gt;$R104,BB104&lt;=$I104),BB104,BB104-MIN(INT(ROUND(IF($F104=1,$C104*$J104,IF(FA104&gt;0,FA104*$K104,BB104*$J104))*IF(10=$R104,$S104,12)/12,6)+$B$4),BB104-$I104)))))</f>
        <v/>
      </c>
      <c r="BD104" s="68">
        <f>IF($U104=0,0,IF($F104=4,0,IF($F104=3,0,IF(OR(11&gt;$R104,BC104&lt;=$I104),BC104,BC104-MIN(INT(ROUND(IF($F104=1,$C104*$J104,IF(FB104&gt;0,FB104*$K104,BC104*$J104))*IF(11=$R104,$S104,12)/12,6)+$B$4),BC104-$I104)))))</f>
        <v/>
      </c>
      <c r="BE104" s="68">
        <f>IF($U104=0,0,IF($F104=4,0,IF($F104=3,0,IF(OR(12&gt;$R104,BD104&lt;=$I104),BD104,BD104-MIN(INT(ROUND(IF($F104=1,$C104*$J104,IF(FC104&gt;0,FC104*$K104,BD104*$J104))*IF(12=$R104,$S104,12)/12,6)+$B$4),BD104-$I104)))))</f>
        <v/>
      </c>
      <c r="BF104" s="68">
        <f>IF($U104=0,0,IF($F104=4,0,IF($F104=3,0,IF(OR(13&gt;$R104,BE104&lt;=$I104),BE104,BE104-MIN(INT(ROUND(IF($F104=1,$C104*$J104,IF(FD104&gt;0,FD104*$K104,BE104*$J104))*IF(13=$R104,$S104,12)/12,6)+$B$4),BE104-$I104)))))</f>
        <v/>
      </c>
      <c r="BG104" s="68">
        <f>IF($U104=0,0,IF($F104=4,0,IF($F104=3,0,IF(OR(14&gt;$R104,BF104&lt;=$I104),BF104,BF104-MIN(INT(ROUND(IF($F104=1,$C104*$J104,IF(FE104&gt;0,FE104*$K104,BF104*$J104))*IF(14=$R104,$S104,12)/12,6)+$B$4),BF104-$I104)))))</f>
        <v/>
      </c>
      <c r="BH104" s="68">
        <f>IF($U104=0,0,IF($F104=4,0,IF($F104=3,0,IF(OR(15&gt;$R104,BG104&lt;=$I104),BG104,BG104-MIN(INT(ROUND(IF($F104=1,$C104*$J104,IF(FF104&gt;0,FF104*$K104,BG104*$J104))*IF(15=$R104,$S104,12)/12,6)+$B$4),BG104-$I104)))))</f>
        <v/>
      </c>
      <c r="BI104" s="68">
        <f>IF($U104=0,0,IF($F104=4,0,IF($F104=3,0,IF(OR(16&gt;$R104,BH104&lt;=$I104),BH104,BH104-MIN(INT(ROUND(IF($F104=1,$C104*$J104,IF(FG104&gt;0,FG104*$K104,BH104*$J104))*IF(16=$R104,$S104,12)/12,6)+$B$4),BH104-$I104)))))</f>
        <v/>
      </c>
      <c r="BJ104" s="68">
        <f>IF($U104=0,0,IF($F104=4,0,IF($F104=3,0,IF(OR(17&gt;$R104,BI104&lt;=$I104),BI104,BI104-MIN(INT(ROUND(IF($F104=1,$C104*$J104,IF(FH104&gt;0,FH104*$K104,BI104*$J104))*IF(17=$R104,$S104,12)/12,6)+$B$4),BI104-$I104)))))</f>
        <v/>
      </c>
      <c r="BK104" s="68">
        <f>IF($U104=0,0,IF($F104=4,0,IF($F104=3,0,IF(OR(18&gt;$R104,BJ104&lt;=$I104),BJ104,BJ104-MIN(INT(ROUND(IF($F104=1,$C104*$J104,IF(FI104&gt;0,FI104*$K104,BJ104*$J104))*IF(18=$R104,$S104,12)/12,6)+$B$4),BJ104-$I104)))))</f>
        <v/>
      </c>
      <c r="BL104" s="68">
        <f>IF($U104=0,0,IF($F104=4,0,IF($F104=3,0,IF(OR(19&gt;$R104,BK104&lt;=$I104),BK104,BK104-MIN(INT(ROUND(IF($F104=1,$C104*$J104,IF(FJ104&gt;0,FJ104*$K104,BK104*$J104))*IF(19=$R104,$S104,12)/12,6)+$B$4),BK104-$I104)))))</f>
        <v/>
      </c>
      <c r="BM104" s="68">
        <f>IF($U104=0,0,IF($F104=4,0,IF($F104=3,0,IF(OR(20&gt;$R104,BL104&lt;=$I104),BL104,BL104-MIN(INT(ROUND(IF($F104=1,$C104*$J104,IF(FK104&gt;0,FK104*$K104,BL104*$J104))*IF(20=$R104,$S104,12)/12,6)+$B$4),BL104-$I104)))))</f>
        <v/>
      </c>
      <c r="BN104" s="68">
        <f>IF($U104=0,0,IF($F104=4,0,IF($F104=3,0,IF(OR(21&gt;$R104,BM104&lt;=$I104),BM104,BM104-MIN(INT(ROUND(IF($F104=1,$C104*$J104,IF(FL104&gt;0,FL104*$K104,BM104*$J104))*IF(21=$R104,$S104,12)/12,6)+$B$4),BM104-$I104)))))</f>
        <v/>
      </c>
      <c r="BO104" s="68">
        <f>IF($U104=0,0,IF($F104=4,0,IF($F104=3,0,IF(OR(22&gt;$R104,BN104&lt;=$I104),BN104,BN104-MIN(INT(ROUND(IF($F104=1,$C104*$J104,IF(FM104&gt;0,FM104*$K104,BN104*$J104))*IF(22=$R104,$S104,12)/12,6)+$B$4),BN104-$I104)))))</f>
        <v/>
      </c>
      <c r="BP104" s="68">
        <f>IF($U104=0,0,IF($F104=4,0,IF($F104=3,0,IF(OR(23&gt;$R104,BO104&lt;=$I104),BO104,BO104-MIN(INT(ROUND(IF($F104=1,$C104*$J104,IF(FN104&gt;0,FN104*$K104,BO104*$J104))*IF(23=$R104,$S104,12)/12,6)+$B$4),BO104-$I104)))))</f>
        <v/>
      </c>
      <c r="BQ104" s="68">
        <f>IF($U104=0,0,IF($F104=4,0,IF($F104=3,0,IF(OR(24&gt;$R104,BP104&lt;=$I104),BP104,BP104-MIN(INT(ROUND(IF($F104=1,$C104*$J104,IF(FO104&gt;0,FO104*$K104,BP104*$J104))*IF(24=$R104,$S104,12)/12,6)+$B$4),BP104-$I104)))))</f>
        <v/>
      </c>
      <c r="BR104" s="68">
        <f>IF($U104=0,0,IF($F104=4,0,IF($F104=3,0,IF(OR(25&gt;$R104,BQ104&lt;=$I104),BQ104,BQ104-MIN(INT(ROUND(IF($F104=1,$C104*$J104,IF(FP104&gt;0,FP104*$K104,BQ104*$J104))*IF(25=$R104,$S104,12)/12,6)+$B$4),BQ104-$I104)))))</f>
        <v/>
      </c>
      <c r="BS104" s="68">
        <f>IF($U104=0,0,IF($F104=4,0,IF($F104=3,0,IF(OR(26&gt;$R104,BR104&lt;=$I104),BR104,BR104-MIN(INT(ROUND(IF($F104=1,$C104*$J104,IF(FQ104&gt;0,FQ104*$K104,BR104*$J104))*IF(26=$R104,$S104,12)/12,6)+$B$4),BR104-$I104)))))</f>
        <v/>
      </c>
      <c r="BT104" s="68">
        <f>IF($U104=0,0,IF($F104=4,0,IF($F104=3,0,IF(OR(27&gt;$R104,BS104&lt;=$I104),BS104,BS104-MIN(INT(ROUND(IF($F104=1,$C104*$J104,IF(FR104&gt;0,FR104*$K104,BS104*$J104))*IF(27=$R104,$S104,12)/12,6)+$B$4),BS104-$I104)))))</f>
        <v/>
      </c>
      <c r="BU104" s="68">
        <f>IF($U104=0,0,IF($F104=4,0,IF($F104=3,0,IF(OR(28&gt;$R104,BT104&lt;=$I104),BT104,BT104-MIN(INT(ROUND(IF($F104=1,$C104*$J104,IF(FS104&gt;0,FS104*$K104,BT104*$J104))*IF(28=$R104,$S104,12)/12,6)+$B$4),BT104-$I104)))))</f>
        <v/>
      </c>
      <c r="BV104" s="68">
        <f>IF($U104=0,0,IF($F104=4,0,IF($F104=3,0,IF(OR(29&gt;$R104,BU104&lt;=$I104),BU104,BU104-MIN(INT(ROUND(IF($F104=1,$C104*$J104,IF(FT104&gt;0,FT104*$K104,BU104*$J104))*IF(29=$R104,$S104,12)/12,6)+$B$4),BU104-$I104)))))</f>
        <v/>
      </c>
      <c r="BW104" s="68">
        <f>IF($U104=0,0,IF($F104=4,0,IF($F104=3,0,IF(OR(30&gt;$R104,BV104&lt;=$I104),BV104,BV104-MIN(INT(ROUND(IF($F104=1,$C104*$J104,IF(FU104&gt;0,FU104*$K104,BV104*$J104))*IF(30=$R104,$S104,12)/12,6)+$B$4),BV104-$I104)))))</f>
        <v/>
      </c>
      <c r="BX104" s="68">
        <f>IF($U104=0,0,IF($F104=4,0,IF($F104=3,0,IF(OR(31&gt;$R104,BW104&lt;=$I104),BW104,BW104-MIN(INT(ROUND(IF($F104=1,$C104*$J104,IF(FV104&gt;0,FV104*$K104,BW104*$J104))*IF(31=$R104,$S104,12)/12,6)+$B$4),BW104-$I104)))))</f>
        <v/>
      </c>
      <c r="BY104" s="68">
        <f>IF($U104=0,0,IF($F104=4,0,IF($F104=3,0,IF(OR(32&gt;$R104,BX104&lt;=$I104),BX104,BX104-MIN(INT(ROUND(IF($F104=1,$C104*$J104,IF(FW104&gt;0,FW104*$K104,BX104*$J104))*IF(32=$R104,$S104,12)/12,6)+$B$4),BX104-$I104)))))</f>
        <v/>
      </c>
      <c r="BZ104" s="68">
        <f>IF($U104=0,0,IF($F104=4,0,IF($F104=3,0,IF(OR(33&gt;$R104,BY104&lt;=$I104),BY104,BY104-MIN(INT(ROUND(IF($F104=1,$C104*$J104,IF(FX104&gt;0,FX104*$K104,BY104*$J104))*IF(33=$R104,$S104,12)/12,6)+$B$4),BY104-$I104)))))</f>
        <v/>
      </c>
      <c r="CA104" s="68">
        <f>IF($U104=0,0,IF($F104=4,0,IF($F104=3,0,IF(OR(34&gt;$R104,BZ104&lt;=$I104),BZ104,BZ104-MIN(INT(ROUND(IF($F104=1,$C104*$J104,IF(FY104&gt;0,FY104*$K104,BZ104*$J104))*IF(34=$R104,$S104,12)/12,6)+$B$4),BZ104-$I104)))))</f>
        <v/>
      </c>
      <c r="CB104" s="68">
        <f>IF($U104=0,0,IF($F104=4,0,IF($F104=3,0,IF(OR(35&gt;$R104,CA104&lt;=$I104),CA104,CA104-MIN(INT(ROUND(IF($F104=1,$C104*$J104,IF(FZ104&gt;0,FZ104*$K104,CA104*$J104))*IF(35=$R104,$S104,12)/12,6)+$B$4),CA104-$I104)))))</f>
        <v/>
      </c>
      <c r="CC104" s="68">
        <f>IF($U104=0,0,IF($F104=4,0,IF($F104=3,0,IF(OR(36&gt;$R104,CB104&lt;=$I104),CB104,CB104-MIN(INT(ROUND(IF($F104=1,$C104*$J104,IF(GA104&gt;0,GA104*$K104,CB104*$J104))*IF(36=$R104,$S104,12)/12,6)+$B$4),CB104-$I104)))))</f>
        <v/>
      </c>
      <c r="CD104" s="68">
        <f>IF($U104=0,0,IF($F104=4,0,IF($F104=3,0,IF(OR(37&gt;$R104,CC104&lt;=$I104),CC104,CC104-MIN(INT(ROUND(IF($F104=1,$C104*$J104,IF(GB104&gt;0,GB104*$K104,CC104*$J104))*IF(37=$R104,$S104,12)/12,6)+$B$4),CC104-$I104)))))</f>
        <v/>
      </c>
      <c r="CE104" s="68">
        <f>IF($U104=0,0,IF($F104=4,0,IF($F104=3,0,IF(OR(38&gt;$R104,CD104&lt;=$I104),CD104,CD104-MIN(INT(ROUND(IF($F104=1,$C104*$J104,IF(GC104&gt;0,GC104*$K104,CD104*$J104))*IF(38=$R104,$S104,12)/12,6)+$B$4),CD104-$I104)))))</f>
        <v/>
      </c>
      <c r="CF104" s="68">
        <f>IF($U104=0,0,IF($F104=4,0,IF($F104=3,0,IF(OR(39&gt;$R104,CE104&lt;=$I104),CE104,CE104-MIN(INT(ROUND(IF($F104=1,$C104*$J104,IF(GD104&gt;0,GD104*$K104,CE104*$J104))*IF(39=$R104,$S104,12)/12,6)+$B$4),CE104-$I104)))))</f>
        <v/>
      </c>
      <c r="CG104" s="68">
        <f>IF($U104=0,0,IF($F104=4,0,IF($F104=3,0,IF(OR(40&gt;$R104,CF104&lt;=$I104),CF104,CF104-MIN(INT(ROUND(IF($F104=1,$C104*$J104,IF(GE104&gt;0,GE104*$K104,CF104*$J104))*IF(40=$R104,$S104,12)/12,6)+$B$4),CF104-$I104)))))</f>
        <v/>
      </c>
      <c r="CH104" s="68">
        <f>IF($U104=0,0,IF($F104=4,0,IF($F104=3,0,IF(OR(41&gt;$R104,CG104&lt;=$I104),CG104,CG104-MIN(INT(ROUND(IF($F104=1,$C104*$J104,IF(GF104&gt;0,GF104*$K104,CG104*$J104))*IF(41=$R104,$S104,12)/12,6)+$B$4),CG104-$I104)))))</f>
        <v/>
      </c>
      <c r="CI104" s="68">
        <f>IF($U104=0,0,IF($F104=4,0,IF($F104=3,0,IF(OR(42&gt;$R104,CH104&lt;=$I104),CH104,CH104-MIN(INT(ROUND(IF($F104=1,$C104*$J104,IF(GG104&gt;0,GG104*$K104,CH104*$J104))*IF(42=$R104,$S104,12)/12,6)+$B$4),CH104-$I104)))))</f>
        <v/>
      </c>
      <c r="CJ104" s="68">
        <f>IF($U104=0,0,IF($F104=4,0,IF($F104=3,0,IF(OR(43&gt;$R104,CI104&lt;=$I104),CI104,CI104-MIN(INT(ROUND(IF($F104=1,$C104*$J104,IF(GH104&gt;0,GH104*$K104,CI104*$J104))*IF(43=$R104,$S104,12)/12,6)+$B$4),CI104-$I104)))))</f>
        <v/>
      </c>
      <c r="CK104" s="68">
        <f>IF($U104=0,0,IF($F104=4,0,IF($F104=3,0,IF(OR(44&gt;$R104,CJ104&lt;=$I104),CJ104,CJ104-MIN(INT(ROUND(IF($F104=1,$C104*$J104,IF(GI104&gt;0,GI104*$K104,CJ104*$J104))*IF(44=$R104,$S104,12)/12,6)+$B$4),CJ104-$I104)))))</f>
        <v/>
      </c>
      <c r="CL104" s="68">
        <f>IF($U104=0,0,IF($F104=4,0,IF($F104=3,0,IF(OR(45&gt;$R104,CK104&lt;=$I104),CK104,CK104-MIN(INT(ROUND(IF($F104=1,$C104*$J104,IF(GJ104&gt;0,GJ104*$K104,CK104*$J104))*IF(45=$R104,$S104,12)/12,6)+$B$4),CK104-$I104)))))</f>
        <v/>
      </c>
      <c r="CM104" s="68">
        <f>IF($U104=0,0,IF($F104=4,0,IF($F104=3,0,IF(OR(46&gt;$R104,CL104&lt;=$I104),CL104,CL104-MIN(INT(ROUND(IF($F104=1,$C104*$J104,IF(GK104&gt;0,GK104*$K104,CL104*$J104))*IF(46=$R104,$S104,12)/12,6)+$B$4),CL104-$I104)))))</f>
        <v/>
      </c>
      <c r="CN104" s="68">
        <f>IF($U104=0,0,IF($F104=4,0,IF($F104=3,0,IF(OR(47&gt;$R104,CM104&lt;=$I104),CM104,CM104-MIN(INT(ROUND(IF($F104=1,$C104*$J104,IF(GL104&gt;0,GL104*$K104,CM104*$J104))*IF(47=$R104,$S104,12)/12,6)+$B$4),CM104-$I104)))))</f>
        <v/>
      </c>
      <c r="CO104" s="68">
        <f>IF($U104=0,0,IF($F104=4,0,IF($F104=3,0,IF(OR(48&gt;$R104,CN104&lt;=$I104),CN104,CN104-MIN(INT(ROUND(IF($F104=1,$C104*$J104,IF(GM104&gt;0,GM104*$K104,CN104*$J104))*IF(48=$R104,$S104,12)/12,6)+$B$4),CN104-$I104)))))</f>
        <v/>
      </c>
      <c r="CP104" s="68">
        <f>IF($U104=0,0,IF($F104=4,0,IF($F104=3,0,IF(OR(49&gt;$R104,CO104&lt;=$I104),CO104,CO104-MIN(INT(ROUND(IF($F104=1,$C104*$J104,IF(GN104&gt;0,GN104*$K104,CO104*$J104))*IF(49=$R104,$S104,12)/12,6)+$B$4),CO104-$I104)))))</f>
        <v/>
      </c>
      <c r="CQ104" s="68">
        <f>IF($U104=0,0,IF($F104=4,0,IF($F104=3,0,IF(OR(50&gt;$R104,CP104&lt;=$I104),CP104,CP104-MIN(INT(ROUND(IF($F104=1,$C104*$J104,IF(GO104&gt;0,GO104*$K104,CP104*$J104))*IF(50=$R104,$S104,12)/12,6)+$B$4),CP104-$I104)))))</f>
        <v/>
      </c>
      <c r="CR104" s="68">
        <f>IF($U104=0,0,IF($F104=4,0,IF($F104=3,0,IF(OR(51&gt;$R104,CQ104&lt;=$I104),CQ104,CQ104-MIN(INT(ROUND(IF($F104=1,$C104*$J104,IF(GP104&gt;0,GP104*$K104,CQ104*$J104))*IF(51=$R104,$S104,12)/12,6)+$B$4),CQ104-$I104)))))</f>
        <v/>
      </c>
      <c r="CS104" s="68">
        <f>IF($U104=0,0,IF($F104=4,0,IF($F104=3,0,IF(OR(52&gt;$R104,CR104&lt;=$I104),CR104,CR104-MIN(INT(ROUND(IF($F104=1,$C104*$J104,IF(GQ104&gt;0,GQ104*$K104,CR104*$J104))*IF(52=$R104,$S104,12)/12,6)+$B$4),CR104-$I104)))))</f>
        <v/>
      </c>
      <c r="CT104" s="68">
        <f>IF($U104=0,0,IF($F104=4,0,IF($F104=3,0,IF(OR(53&gt;$R104,CS104&lt;=$I104),CS104,CS104-MIN(INT(ROUND(IF($F104=1,$C104*$J104,IF(GR104&gt;0,GR104*$K104,CS104*$J104))*IF(53=$R104,$S104,12)/12,6)+$B$4),CS104-$I104)))))</f>
        <v/>
      </c>
      <c r="CU104" s="68">
        <f>IF($U104=0,0,IF($F104=4,0,IF($F104=3,0,IF(OR(54&gt;$R104,CT104&lt;=$I104),CT104,CT104-MIN(INT(ROUND(IF($F104=1,$C104*$J104,IF(GS104&gt;0,GS104*$K104,CT104*$J104))*IF(54=$R104,$S104,12)/12,6)+$B$4),CT104-$I104)))))</f>
        <v/>
      </c>
      <c r="CV104" s="68">
        <f>IF($U104=0,0,IF($F104=4,0,IF($F104=3,0,IF(OR(55&gt;$R104,CU104&lt;=$I104),CU104,CU104-MIN(INT(ROUND(IF($F104=1,$C104*$J104,IF(GT104&gt;0,GT104*$K104,CU104*$J104))*IF(55=$R104,$S104,12)/12,6)+$B$4),CU104-$I104)))))</f>
        <v/>
      </c>
      <c r="CW104" s="68">
        <f>IF($U104=0,0,IF($F104=4,0,IF($F104=3,0,IF(OR(56&gt;$R104,CV104&lt;=$I104),CV104,CV104-MIN(INT(ROUND(IF($F104=1,$C104*$J104,IF(GU104&gt;0,GU104*$K104,CV104*$J104))*IF(56=$R104,$S104,12)/12,6)+$B$4),CV104-$I104)))))</f>
        <v/>
      </c>
      <c r="CX104" s="68">
        <f>IF($U104=0,0,IF($F104=4,0,IF($F104=3,0,IF(OR(57&gt;$R104,CW104&lt;=$I104),CW104,CW104-MIN(INT(ROUND(IF($F104=1,$C104*$J104,IF(GV104&gt;0,GV104*$K104,CW104*$J104))*IF(57=$R104,$S104,12)/12,6)+$B$4),CW104-$I104)))))</f>
        <v/>
      </c>
      <c r="CY104" s="68">
        <f>IF($U104=0,0,IF($F104=4,0,IF($F104=3,0,IF(OR(58&gt;$R104,CX104&lt;=$I104),CX104,CX104-MIN(INT(ROUND(IF($F104=1,$C104*$J104,IF(GW104&gt;0,GW104*$K104,CX104*$J104))*IF(58=$R104,$S104,12)/12,6)+$B$4),CX104-$I104)))))</f>
        <v/>
      </c>
      <c r="CZ104" s="68">
        <f>IF($U104=0,0,IF($F104=4,0,IF($F104=3,0,IF(OR(59&gt;$R104,CY104&lt;=$I104),CY104,CY104-MIN(INT(ROUND(IF($F104=1,$C104*$J104,IF(GX104&gt;0,GX104*$K104,CY104*$J104))*IF(59=$R104,$S104,12)/12,6)+$B$4),CY104-$I104)))))</f>
        <v/>
      </c>
      <c r="DA104" s="68">
        <f>IF($U104=0,0,IF($F104=4,0,IF($F104=3,0,IF(OR(60&gt;$R104,CZ104&lt;=$I104),CZ104,CZ104-MIN(INT(ROUND(IF($F104=1,$C104*$J104,IF(GY104&gt;0,GY104*$K104,CZ104*$J104))*IF(60=$R104,$S104,12)/12,6)+$B$4),CZ104-$I104)))))</f>
        <v/>
      </c>
      <c r="DB104" s="68">
        <f>IF($U104=0,0,IF($F104=4,0,IF($F104=3,0,IF(OR(61&gt;$R104,DA104&lt;=$I104),DA104,DA104-MIN(INT(ROUND(IF($F104=1,$C104*$J104,IF(GZ104&gt;0,GZ104*$K104,DA104*$J104))*IF(61=$R104,$S104,12)/12,6)+$B$4),DA104-$I104)))))</f>
        <v/>
      </c>
      <c r="DC104" s="68">
        <f>IF($U104=0,0,IF($F104=4,0,IF($F104=3,0,IF(OR(62&gt;$R104,DB104&lt;=$I104),DB104,DB104-MIN(INT(ROUND(IF($F104=1,$C104*$J104,IF(HA104&gt;0,HA104*$K104,DB104*$J104))*IF(62=$R104,$S104,12)/12,6)+$B$4),DB104-$I104)))))</f>
        <v/>
      </c>
      <c r="DD104" s="68">
        <f>IF($U104=0,0,IF($F104=4,0,IF($F104=3,0,IF(OR(63&gt;$R104,DC104&lt;=$I104),DC104,DC104-MIN(INT(ROUND(IF($F104=1,$C104*$J104,IF(HB104&gt;0,HB104*$K104,DC104*$J104))*IF(63=$R104,$S104,12)/12,6)+$B$4),DC104-$I104)))))</f>
        <v/>
      </c>
      <c r="DE104" s="68">
        <f>IF($U104=0,0,IF($F104=4,0,IF($F104=3,0,IF(OR(64&gt;$R104,DD104&lt;=$I104),DD104,DD104-MIN(INT(ROUND(IF($F104=1,$C104*$J104,IF(HC104&gt;0,HC104*$K104,DD104*$J104))*IF(64=$R104,$S104,12)/12,6)+$B$4),DD104-$I104)))))</f>
        <v/>
      </c>
      <c r="DF104" s="68">
        <f>IF($U104=0,0,IF($F104=4,0,IF($F104=3,0,IF(OR(65&gt;$R104,DE104&lt;=$I104),DE104,DE104-MIN(INT(ROUND(IF($F104=1,$C104*$J104,IF(HD104&gt;0,HD104*$K104,DE104*$J104))*IF(65=$R104,$S104,12)/12,6)+$B$4),DE104-$I104)))))</f>
        <v/>
      </c>
      <c r="DG104" s="68">
        <f>IF($U104=0,0,IF($F104=4,0,IF($F104=3,0,IF(OR(66&gt;$R104,DF104&lt;=$I104),DF104,DF104-MIN(INT(ROUND(IF($F104=1,$C104*$J104,IF(HE104&gt;0,HE104*$K104,DF104*$J104))*IF(66=$R104,$S104,12)/12,6)+$B$4),DF104-$I104)))))</f>
        <v/>
      </c>
      <c r="DH104" s="68">
        <f>IF($U104=0,0,IF($F104=4,0,IF($F104=3,0,IF(OR(67&gt;$R104,DG104&lt;=$I104),DG104,DG104-MIN(INT(ROUND(IF($F104=1,$C104*$J104,IF(HF104&gt;0,HF104*$K104,DG104*$J104))*IF(67=$R104,$S104,12)/12,6)+$B$4),DG104-$I104)))))</f>
        <v/>
      </c>
      <c r="DI104" s="68">
        <f>IF($U104=0,0,IF($F104=4,0,IF($F104=3,0,IF(OR(68&gt;$R104,DH104&lt;=$I104),DH104,DH104-MIN(INT(ROUND(IF($F104=1,$C104*$J104,IF(HG104&gt;0,HG104*$K104,DH104*$J104))*IF(68=$R104,$S104,12)/12,6)+$B$4),DH104-$I104)))))</f>
        <v/>
      </c>
      <c r="DJ104" s="68">
        <f>IF($U104=0,0,IF($F104=4,0,IF($F104=3,0,IF(OR(69&gt;$R104,DI104&lt;=$I104),DI104,DI104-MIN(INT(ROUND(IF($F104=1,$C104*$J104,IF(HH104&gt;0,HH104*$K104,DI104*$J104))*IF(69=$R104,$S104,12)/12,6)+$B$4),DI104-$I104)))))</f>
        <v/>
      </c>
      <c r="DK104" s="68">
        <f>IF($U104=0,0,IF($F104=4,0,IF($F104=3,0,IF(OR(70&gt;$R104,DJ104&lt;=$I104),DJ104,DJ104-MIN(INT(ROUND(IF($F104=1,$C104*$J104,IF(HI104&gt;0,HI104*$K104,DJ104*$J104))*IF(70=$R104,$S104,12)/12,6)+$B$4),DJ104-$I104)))))</f>
        <v/>
      </c>
      <c r="DL104" s="68">
        <f>IF($U104=0,0,IF($F104=4,0,IF($F104=3,0,IF(OR(71&gt;$R104,DK104&lt;=$I104),DK104,DK104-MIN(INT(ROUND(IF($F104=1,$C104*$J104,IF(HJ104&gt;0,HJ104*$K104,DK104*$J104))*IF(71=$R104,$S104,12)/12,6)+$B$4),DK104-$I104)))))</f>
        <v/>
      </c>
      <c r="DM104" s="68">
        <f>IF($U104=0,0,IF($F104=4,0,IF($F104=3,0,IF(OR(72&gt;$R104,DL104&lt;=$I104),DL104,DL104-MIN(INT(ROUND(IF($F104=1,$C104*$J104,IF(HK104&gt;0,HK104*$K104,DL104*$J104))*IF(72=$R104,$S104,12)/12,6)+$B$4),DL104-$I104)))))</f>
        <v/>
      </c>
      <c r="DN104" s="68">
        <f>IF($U104=0,0,IF($F104=4,0,IF($F104=3,0,IF(OR(73&gt;$R104,DM104&lt;=$I104),DM104,DM104-MIN(INT(ROUND(IF($F104=1,$C104*$J104,IF(HL104&gt;0,HL104*$K104,DM104*$J104))*IF(73=$R104,$S104,12)/12,6)+$B$4),DM104-$I104)))))</f>
        <v/>
      </c>
      <c r="DO104" s="68">
        <f>IF($U104=0,0,IF($F104=4,0,IF($F104=3,0,IF(OR(74&gt;$R104,DN104&lt;=$I104),DN104,DN104-MIN(INT(ROUND(IF($F104=1,$C104*$J104,IF(HM104&gt;0,HM104*$K104,DN104*$J104))*IF(74=$R104,$S104,12)/12,6)+$B$4),DN104-$I104)))))</f>
        <v/>
      </c>
      <c r="DP104" s="68">
        <f>IF($U104=0,0,IF($F104=4,0,IF($F104=3,0,IF(OR(75&gt;$R104,DO104&lt;=$I104),DO104,DO104-MIN(INT(ROUND(IF($F104=1,$C104*$J104,IF(HN104&gt;0,HN104*$K104,DO104*$J104))*IF(75=$R104,$S104,12)/12,6)+$B$4),DO104-$I104)))))</f>
        <v/>
      </c>
      <c r="DQ104" s="68">
        <f>IF($U104=0,0,IF($F104=4,0,IF($F104=3,0,IF(OR(76&gt;$R104,DP104&lt;=$I104),DP104,DP104-MIN(INT(ROUND(IF($F104=1,$C104*$J104,IF(HO104&gt;0,HO104*$K104,DP104*$J104))*IF(76=$R104,$S104,12)/12,6)+$B$4),DP104-$I104)))))</f>
        <v/>
      </c>
      <c r="DR104" s="68">
        <f>IF($U104=0,0,IF($F104=4,0,IF($F104=3,0,IF(OR(77&gt;$R104,DQ104&lt;=$I104),DQ104,DQ104-MIN(INT(ROUND(IF($F104=1,$C104*$J104,IF(HP104&gt;0,HP104*$K104,DQ104*$J104))*IF(77=$R104,$S104,12)/12,6)+$B$4),DQ104-$I104)))))</f>
        <v/>
      </c>
      <c r="DS104" s="68">
        <f>IF($U104=0,0,IF($F104=4,0,IF($F104=3,0,IF(OR(78&gt;$R104,DR104&lt;=$I104),DR104,DR104-MIN(INT(ROUND(IF($F104=1,$C104*$J104,IF(HQ104&gt;0,HQ104*$K104,DR104*$J104))*IF(78=$R104,$S104,12)/12,6)+$B$4),DR104-$I104)))))</f>
        <v/>
      </c>
      <c r="DT104" s="68">
        <f>IF($U104=0,0,IF($F104=4,0,IF($F104=3,0,IF(OR(79&gt;$R104,DS104&lt;=$I104),DS104,DS104-MIN(INT(ROUND(IF($F104=1,$C104*$J104,IF(HR104&gt;0,HR104*$K104,DS104*$J104))*IF(79=$R104,$S104,12)/12,6)+$B$4),DS104-$I104)))))</f>
        <v/>
      </c>
      <c r="DU104" s="68">
        <f>IF($U104=0,0,IF($F104=4,0,IF($F104=3,0,IF(OR(80&gt;$R104,DT104&lt;=$I104),DT104,DT104-MIN(INT(ROUND(IF($F104=1,$C104*$J104,IF(HS104&gt;0,HS104*$K104,DT104*$J104))*IF(80=$R104,$S104,12)/12,6)+$B$4),DT104-$I104)))))</f>
        <v/>
      </c>
      <c r="DV104" s="68">
        <f>IF($U104=0,0,IF($F104=4,0,IF($F104=3,0,IF(OR(81&gt;$R104,DU104&lt;=$I104),DU104,DU104-MIN(INT(ROUND(IF($F104=1,$C104*$J104,IF(HT104&gt;0,HT104*$K104,DU104*$J104))*IF(81=$R104,$S104,12)/12,6)+$B$4),DU104-$I104)))))</f>
        <v/>
      </c>
      <c r="DW104" s="68">
        <f>IF($U104=0,0,IF($F104=4,0,IF($F104=3,0,IF(OR(82&gt;$R104,DV104&lt;=$I104),DV104,DV104-MIN(INT(ROUND(IF($F104=1,$C104*$J104,IF(HU104&gt;0,HU104*$K104,DV104*$J104))*IF(82=$R104,$S104,12)/12,6)+$B$4),DV104-$I104)))))</f>
        <v/>
      </c>
      <c r="DX104" s="68">
        <f>IF($U104=0,0,IF($F104=4,0,IF($F104=3,0,IF(OR(83&gt;$R104,DW104&lt;=$I104),DW104,DW104-MIN(INT(ROUND(IF($F104=1,$C104*$J104,IF(HV104&gt;0,HV104*$K104,DW104*$J104))*IF(83=$R104,$S104,12)/12,6)+$B$4),DW104-$I104)))))</f>
        <v/>
      </c>
      <c r="DY104" s="68">
        <f>IF($U104=0,0,IF($F104=4,0,IF($F104=3,0,IF(OR(84&gt;$R104,DX104&lt;=$I104),DX104,DX104-MIN(INT(ROUND(IF($F104=1,$C104*$J104,IF(HW104&gt;0,HW104*$K104,DX104*$J104))*IF(84=$R104,$S104,12)/12,6)+$B$4),DX104-$I104)))))</f>
        <v/>
      </c>
      <c r="DZ104" s="68">
        <f>IF($U104=0,0,IF($F104=4,0,IF($F104=3,0,IF(OR(85&gt;$R104,DY104&lt;=$I104),DY104,DY104-MIN(INT(ROUND(IF($F104=1,$C104*$J104,IF(HX104&gt;0,HX104*$K104,DY104*$J104))*IF(85=$R104,$S104,12)/12,6)+$B$4),DY104-$I104)))))</f>
        <v/>
      </c>
      <c r="EA104" s="68">
        <f>IF($U104=0,0,IF($F104=4,0,IF($F104=3,0,IF(OR(86&gt;$R104,DZ104&lt;=$I104),DZ104,DZ104-MIN(INT(ROUND(IF($F104=1,$C104*$J104,IF(HY104&gt;0,HY104*$K104,DZ104*$J104))*IF(86=$R104,$S104,12)/12,6)+$B$4),DZ104-$I104)))))</f>
        <v/>
      </c>
      <c r="EB104" s="68">
        <f>IF($U104=0,0,IF($F104=4,0,IF($F104=3,0,IF(OR(87&gt;$R104,EA104&lt;=$I104),EA104,EA104-MIN(INT(ROUND(IF($F104=1,$C104*$J104,IF(HZ104&gt;0,HZ104*$K104,EA104*$J104))*IF(87=$R104,$S104,12)/12,6)+$B$4),EA104-$I104)))))</f>
        <v/>
      </c>
      <c r="EC104" s="68">
        <f>IF($U104=0,0,IF($F104=4,0,IF($F104=3,0,IF(OR(88&gt;$R104,EB104&lt;=$I104),EB104,EB104-MIN(INT(ROUND(IF($F104=1,$C104*$J104,IF(IA104&gt;0,IA104*$K104,EB104*$J104))*IF(88=$R104,$S104,12)/12,6)+$B$4),EB104-$I104)))))</f>
        <v/>
      </c>
      <c r="ED104" s="68">
        <f>IF($U104=0,0,IF($F104=4,0,IF($F104=3,0,IF(OR(89&gt;$R104,EC104&lt;=$I104),EC104,EC104-MIN(INT(ROUND(IF($F104=1,$C104*$J104,IF(IB104&gt;0,IB104*$K104,EC104*$J104))*IF(89=$R104,$S104,12)/12,6)+$B$4),EC104-$I104)))))</f>
        <v/>
      </c>
      <c r="EE104" s="68">
        <f>IF($U104=0,0,IF($F104=4,0,IF($F104=3,0,IF(OR(90&gt;$R104,ED104&lt;=$I104),ED104,ED104-MIN(INT(ROUND(IF($F104=1,$C104*$J104,IF(IC104&gt;0,IC104*$K104,ED104*$J104))*IF(90=$R104,$S104,12)/12,6)+$B$4),ED104-$I104)))))</f>
        <v/>
      </c>
      <c r="EF104" s="68">
        <f>IF($U104=0,0,IF($F104=4,0,IF($F104=3,0,IF(OR(91&gt;$R104,EE104&lt;=$I104),EE104,EE104-MIN(INT(ROUND(IF($F104=1,$C104*$J104,IF(ID104&gt;0,ID104*$K104,EE104*$J104))*IF(91=$R104,$S104,12)/12,6)+$B$4),EE104-$I104)))))</f>
        <v/>
      </c>
      <c r="EG104" s="68">
        <f>IF($U104=0,0,IF($F104=4,0,IF($F104=3,0,IF(OR(92&gt;$R104,EF104&lt;=$I104),EF104,EF104-MIN(INT(ROUND(IF($F104=1,$C104*$J104,IF(IE104&gt;0,IE104*$K104,EF104*$J104))*IF(92=$R104,$S104,12)/12,6)+$B$4),EF104-$I104)))))</f>
        <v/>
      </c>
      <c r="EH104" s="68">
        <f>IF($U104=0,0,IF($F104=4,0,IF($F104=3,0,IF(OR(93&gt;$R104,EG104&lt;=$I104),EG104,EG104-MIN(INT(ROUND(IF($F104=1,$C104*$J104,IF(IF104&gt;0,IF104*$K104,EG104*$J104))*IF(93=$R104,$S104,12)/12,6)+$B$4),EG104-$I104)))))</f>
        <v/>
      </c>
      <c r="EI104" s="68">
        <f>IF($U104=0,0,IF($F104=4,0,IF($F104=3,0,IF(OR(94&gt;$R104,EH104&lt;=$I104),EH104,EH104-MIN(INT(ROUND(IF($F104=1,$C104*$J104,IF(IG104&gt;0,IG104*$K104,EH104*$J104))*IF(94=$R104,$S104,12)/12,6)+$B$4),EH104-$I104)))))</f>
        <v/>
      </c>
      <c r="EJ104" s="68">
        <f>IF($U104=0,0,IF($F104=4,0,IF($F104=3,0,IF(OR(95&gt;$R104,EI104&lt;=$I104),EI104,EI104-MIN(INT(ROUND(IF($F104=1,$C104*$J104,IF(IH104&gt;0,IH104*$K104,EI104*$J104))*IF(95=$R104,$S104,12)/12,6)+$B$4),EI104-$I104)))))</f>
        <v/>
      </c>
      <c r="EK104" s="68">
        <f>IF($U104=0,0,IF($F104=4,0,IF($F104=3,0,IF(OR(96&gt;$R104,EJ104&lt;=$I104),EJ104,EJ104-MIN(INT(ROUND(IF($F104=1,$C104*$J104,IF(II104&gt;0,II104*$K104,EJ104*$J104))*IF(96=$R104,$S104,12)/12,6)+$B$4),EJ104-$I104)))))</f>
        <v/>
      </c>
      <c r="EL104" s="68">
        <f>IF($U104=0,0,IF($F104=4,0,IF($F104=3,0,IF(OR(97&gt;$R104,EK104&lt;=$I104),EK104,EK104-MIN(INT(ROUND(IF($F104=1,$C104*$J104,IF(IJ104&gt;0,IJ104*$K104,EK104*$J104))*IF(97=$R104,$S104,12)/12,6)+$B$4),EK104-$I104)))))</f>
        <v/>
      </c>
      <c r="EM104" s="68">
        <f>IF($U104=0,0,IF($F104=4,0,IF($F104=3,0,IF(OR(98&gt;$R104,EL104&lt;=$I104),EL104,EL104-MIN(INT(ROUND(IF($F104=1,$C104*$J104,IF(IK104&gt;0,IK104*$K104,EL104*$J104))*IF(98=$R104,$S104,12)/12,6)+$B$4),EL104-$I104)))))</f>
        <v/>
      </c>
      <c r="EN104" s="68">
        <f>IF($U104=0,0,IF($F104=4,0,IF($F104=3,0,IF(OR(99&gt;$R104,EM104&lt;=$I104),EM104,EM104-MIN(INT(ROUND(IF($F104=1,$C104*$J104,IF(IL104&gt;0,IL104*$K104,EM104*$J104))*IF(99=$R104,$S104,12)/12,6)+$B$4),EM104-$I104)))))</f>
        <v/>
      </c>
      <c r="EO104" s="68">
        <f>IF($U104=0,0,IF($F104=4,0,IF($F104=3,0,IF(OR(100&gt;$R104,EN104&lt;=$I104),EN104,EN104-MIN(INT(ROUND(IF($F104=1,$C104*$J104,IF(IM104&gt;0,IM104*$K104,EN104*$J104))*IF(100=$R104,$S104,12)/12,6)+$B$4),EN104-$I104)))))</f>
        <v/>
      </c>
      <c r="EP104" s="68">
        <f>IF($U104=0,0,IF($F104=4,0,IF($F104=3,0,IF(OR(101&gt;$R104,EO104&lt;=$I104),EO104,EO104-MIN(INT(ROUND(IF($F104=1,$C104*$J104,IF(IN104&gt;0,IN104*$K104,EO104*$J104))*IF(101=$R104,$S104,12)/12,6)+$B$4),EO104-$I104)))))</f>
        <v/>
      </c>
      <c r="EQ104" s="68" t="n"/>
      <c r="ER104" s="68">
        <f>IF(OR($U104=0,$F104&lt;&gt;2),0,IF(ROUND(AS104*$J104,6)&lt;ROUND($M104,6),AS104,0))</f>
        <v/>
      </c>
      <c r="ES104" s="68">
        <f>IF(OR($U104=0,$F104&lt;&gt;2),0,IF(ER104&gt;0,ER104,IF(ROUND(AT104*$J104,6)&lt;ROUND($M104,6),AT104,0)))</f>
        <v/>
      </c>
      <c r="ET104" s="68">
        <f>IF(OR($U104=0,$F104&lt;&gt;2),0,IF(ES104&gt;0,ES104,IF(ROUND(AU104*$J104,6)&lt;ROUND($M104,6),AU104,0)))</f>
        <v/>
      </c>
      <c r="EU104" s="68">
        <f>IF(OR($U104=0,$F104&lt;&gt;2),0,IF(ET104&gt;0,ET104,IF(ROUND(AV104*$J104,6)&lt;ROUND($M104,6),AV104,0)))</f>
        <v/>
      </c>
      <c r="EV104" s="68">
        <f>IF(OR($U104=0,$F104&lt;&gt;2),0,IF(EU104&gt;0,EU104,IF(ROUND(AW104*$J104,6)&lt;ROUND($M104,6),AW104,0)))</f>
        <v/>
      </c>
      <c r="EW104" s="68">
        <f>IF(OR($U104=0,$F104&lt;&gt;2),0,IF(EV104&gt;0,EV104,IF(ROUND(AX104*$J104,6)&lt;ROUND($M104,6),AX104,0)))</f>
        <v/>
      </c>
      <c r="EX104" s="68">
        <f>IF(OR($U104=0,$F104&lt;&gt;2),0,IF(EW104&gt;0,EW104,IF(ROUND(AY104*$J104,6)&lt;ROUND($M104,6),AY104,0)))</f>
        <v/>
      </c>
      <c r="EY104" s="68">
        <f>IF(OR($U104=0,$F104&lt;&gt;2),0,IF(EX104&gt;0,EX104,IF(ROUND(AZ104*$J104,6)&lt;ROUND($M104,6),AZ104,0)))</f>
        <v/>
      </c>
      <c r="EZ104" s="68">
        <f>IF(OR($U104=0,$F104&lt;&gt;2),0,IF(EY104&gt;0,EY104,IF(ROUND(BA104*$J104,6)&lt;ROUND($M104,6),BA104,0)))</f>
        <v/>
      </c>
      <c r="FA104" s="68">
        <f>IF(OR($U104=0,$F104&lt;&gt;2),0,IF(EZ104&gt;0,EZ104,IF(ROUND(BB104*$J104,6)&lt;ROUND($M104,6),BB104,0)))</f>
        <v/>
      </c>
      <c r="FB104" s="68">
        <f>IF(OR($U104=0,$F104&lt;&gt;2),0,IF(FA104&gt;0,FA104,IF(ROUND(BC104*$J104,6)&lt;ROUND($M104,6),BC104,0)))</f>
        <v/>
      </c>
      <c r="FC104" s="68">
        <f>IF(OR($U104=0,$F104&lt;&gt;2),0,IF(FB104&gt;0,FB104,IF(ROUND(BD104*$J104,6)&lt;ROUND($M104,6),BD104,0)))</f>
        <v/>
      </c>
      <c r="FD104" s="68">
        <f>IF(OR($U104=0,$F104&lt;&gt;2),0,IF(FC104&gt;0,FC104,IF(ROUND(BE104*$J104,6)&lt;ROUND($M104,6),BE104,0)))</f>
        <v/>
      </c>
      <c r="FE104" s="68">
        <f>IF(OR($U104=0,$F104&lt;&gt;2),0,IF(FD104&gt;0,FD104,IF(ROUND(BF104*$J104,6)&lt;ROUND($M104,6),BF104,0)))</f>
        <v/>
      </c>
      <c r="FF104" s="68">
        <f>IF(OR($U104=0,$F104&lt;&gt;2),0,IF(FE104&gt;0,FE104,IF(ROUND(BG104*$J104,6)&lt;ROUND($M104,6),BG104,0)))</f>
        <v/>
      </c>
      <c r="FG104" s="68">
        <f>IF(OR($U104=0,$F104&lt;&gt;2),0,IF(FF104&gt;0,FF104,IF(ROUND(BH104*$J104,6)&lt;ROUND($M104,6),BH104,0)))</f>
        <v/>
      </c>
      <c r="FH104" s="68">
        <f>IF(OR($U104=0,$F104&lt;&gt;2),0,IF(FG104&gt;0,FG104,IF(ROUND(BI104*$J104,6)&lt;ROUND($M104,6),BI104,0)))</f>
        <v/>
      </c>
      <c r="FI104" s="68">
        <f>IF(OR($U104=0,$F104&lt;&gt;2),0,IF(FH104&gt;0,FH104,IF(ROUND(BJ104*$J104,6)&lt;ROUND($M104,6),BJ104,0)))</f>
        <v/>
      </c>
      <c r="FJ104" s="68">
        <f>IF(OR($U104=0,$F104&lt;&gt;2),0,IF(FI104&gt;0,FI104,IF(ROUND(BK104*$J104,6)&lt;ROUND($M104,6),BK104,0)))</f>
        <v/>
      </c>
      <c r="FK104" s="68">
        <f>IF(OR($U104=0,$F104&lt;&gt;2),0,IF(FJ104&gt;0,FJ104,IF(ROUND(BL104*$J104,6)&lt;ROUND($M104,6),BL104,0)))</f>
        <v/>
      </c>
      <c r="FL104" s="68">
        <f>IF(OR($U104=0,$F104&lt;&gt;2),0,IF(FK104&gt;0,FK104,IF(ROUND(BM104*$J104,6)&lt;ROUND($M104,6),BM104,0)))</f>
        <v/>
      </c>
      <c r="FM104" s="68">
        <f>IF(OR($U104=0,$F104&lt;&gt;2),0,IF(FL104&gt;0,FL104,IF(ROUND(BN104*$J104,6)&lt;ROUND($M104,6),BN104,0)))</f>
        <v/>
      </c>
      <c r="FN104" s="68">
        <f>IF(OR($U104=0,$F104&lt;&gt;2),0,IF(FM104&gt;0,FM104,IF(ROUND(BO104*$J104,6)&lt;ROUND($M104,6),BO104,0)))</f>
        <v/>
      </c>
      <c r="FO104" s="68">
        <f>IF(OR($U104=0,$F104&lt;&gt;2),0,IF(FN104&gt;0,FN104,IF(ROUND(BP104*$J104,6)&lt;ROUND($M104,6),BP104,0)))</f>
        <v/>
      </c>
      <c r="FP104" s="68">
        <f>IF(OR($U104=0,$F104&lt;&gt;2),0,IF(FO104&gt;0,FO104,IF(ROUND(BQ104*$J104,6)&lt;ROUND($M104,6),BQ104,0)))</f>
        <v/>
      </c>
      <c r="FQ104" s="68">
        <f>IF(OR($U104=0,$F104&lt;&gt;2),0,IF(FP104&gt;0,FP104,IF(ROUND(BR104*$J104,6)&lt;ROUND($M104,6),BR104,0)))</f>
        <v/>
      </c>
      <c r="FR104" s="68">
        <f>IF(OR($U104=0,$F104&lt;&gt;2),0,IF(FQ104&gt;0,FQ104,IF(ROUND(BS104*$J104,6)&lt;ROUND($M104,6),BS104,0)))</f>
        <v/>
      </c>
      <c r="FS104" s="68">
        <f>IF(OR($U104=0,$F104&lt;&gt;2),0,IF(FR104&gt;0,FR104,IF(ROUND(BT104*$J104,6)&lt;ROUND($M104,6),BT104,0)))</f>
        <v/>
      </c>
      <c r="FT104" s="68">
        <f>IF(OR($U104=0,$F104&lt;&gt;2),0,IF(FS104&gt;0,FS104,IF(ROUND(BU104*$J104,6)&lt;ROUND($M104,6),BU104,0)))</f>
        <v/>
      </c>
      <c r="FU104" s="68">
        <f>IF(OR($U104=0,$F104&lt;&gt;2),0,IF(FT104&gt;0,FT104,IF(ROUND(BV104*$J104,6)&lt;ROUND($M104,6),BV104,0)))</f>
        <v/>
      </c>
      <c r="FV104" s="68">
        <f>IF(OR($U104=0,$F104&lt;&gt;2),0,IF(FU104&gt;0,FU104,IF(ROUND(BW104*$J104,6)&lt;ROUND($M104,6),BW104,0)))</f>
        <v/>
      </c>
      <c r="FW104" s="68">
        <f>IF(OR($U104=0,$F104&lt;&gt;2),0,IF(FV104&gt;0,FV104,IF(ROUND(BX104*$J104,6)&lt;ROUND($M104,6),BX104,0)))</f>
        <v/>
      </c>
      <c r="FX104" s="68">
        <f>IF(OR($U104=0,$F104&lt;&gt;2),0,IF(FW104&gt;0,FW104,IF(ROUND(BY104*$J104,6)&lt;ROUND($M104,6),BY104,0)))</f>
        <v/>
      </c>
      <c r="FY104" s="68">
        <f>IF(OR($U104=0,$F104&lt;&gt;2),0,IF(FX104&gt;0,FX104,IF(ROUND(BZ104*$J104,6)&lt;ROUND($M104,6),BZ104,0)))</f>
        <v/>
      </c>
      <c r="FZ104" s="68">
        <f>IF(OR($U104=0,$F104&lt;&gt;2),0,IF(FY104&gt;0,FY104,IF(ROUND(CA104*$J104,6)&lt;ROUND($M104,6),CA104,0)))</f>
        <v/>
      </c>
      <c r="GA104" s="68">
        <f>IF(OR($U104=0,$F104&lt;&gt;2),0,IF(FZ104&gt;0,FZ104,IF(ROUND(CB104*$J104,6)&lt;ROUND($M104,6),CB104,0)))</f>
        <v/>
      </c>
      <c r="GB104" s="68">
        <f>IF(OR($U104=0,$F104&lt;&gt;2),0,IF(GA104&gt;0,GA104,IF(ROUND(CC104*$J104,6)&lt;ROUND($M104,6),CC104,0)))</f>
        <v/>
      </c>
      <c r="GC104" s="68">
        <f>IF(OR($U104=0,$F104&lt;&gt;2),0,IF(GB104&gt;0,GB104,IF(ROUND(CD104*$J104,6)&lt;ROUND($M104,6),CD104,0)))</f>
        <v/>
      </c>
      <c r="GD104" s="68">
        <f>IF(OR($U104=0,$F104&lt;&gt;2),0,IF(GC104&gt;0,GC104,IF(ROUND(CE104*$J104,6)&lt;ROUND($M104,6),CE104,0)))</f>
        <v/>
      </c>
      <c r="GE104" s="68">
        <f>IF(OR($U104=0,$F104&lt;&gt;2),0,IF(GD104&gt;0,GD104,IF(ROUND(CF104*$J104,6)&lt;ROUND($M104,6),CF104,0)))</f>
        <v/>
      </c>
      <c r="GF104" s="68">
        <f>IF(OR($U104=0,$F104&lt;&gt;2),0,IF(GE104&gt;0,GE104,IF(ROUND(CG104*$J104,6)&lt;ROUND($M104,6),CG104,0)))</f>
        <v/>
      </c>
      <c r="GG104" s="68">
        <f>IF(OR($U104=0,$F104&lt;&gt;2),0,IF(GF104&gt;0,GF104,IF(ROUND(CH104*$J104,6)&lt;ROUND($M104,6),CH104,0)))</f>
        <v/>
      </c>
      <c r="GH104" s="68">
        <f>IF(OR($U104=0,$F104&lt;&gt;2),0,IF(GG104&gt;0,GG104,IF(ROUND(CI104*$J104,6)&lt;ROUND($M104,6),CI104,0)))</f>
        <v/>
      </c>
      <c r="GI104" s="68">
        <f>IF(OR($U104=0,$F104&lt;&gt;2),0,IF(GH104&gt;0,GH104,IF(ROUND(CJ104*$J104,6)&lt;ROUND($M104,6),CJ104,0)))</f>
        <v/>
      </c>
      <c r="GJ104" s="68">
        <f>IF(OR($U104=0,$F104&lt;&gt;2),0,IF(GI104&gt;0,GI104,IF(ROUND(CK104*$J104,6)&lt;ROUND($M104,6),CK104,0)))</f>
        <v/>
      </c>
      <c r="GK104" s="68">
        <f>IF(OR($U104=0,$F104&lt;&gt;2),0,IF(GJ104&gt;0,GJ104,IF(ROUND(CL104*$J104,6)&lt;ROUND($M104,6),CL104,0)))</f>
        <v/>
      </c>
      <c r="GL104" s="68">
        <f>IF(OR($U104=0,$F104&lt;&gt;2),0,IF(GK104&gt;0,GK104,IF(ROUND(CM104*$J104,6)&lt;ROUND($M104,6),CM104,0)))</f>
        <v/>
      </c>
      <c r="GM104" s="68">
        <f>IF(OR($U104=0,$F104&lt;&gt;2),0,IF(GL104&gt;0,GL104,IF(ROUND(CN104*$J104,6)&lt;ROUND($M104,6),CN104,0)))</f>
        <v/>
      </c>
      <c r="GN104" s="68">
        <f>IF(OR($U104=0,$F104&lt;&gt;2),0,IF(GM104&gt;0,GM104,IF(ROUND(CO104*$J104,6)&lt;ROUND($M104,6),CO104,0)))</f>
        <v/>
      </c>
      <c r="GO104" s="68">
        <f>IF(OR($U104=0,$F104&lt;&gt;2),0,IF(GN104&gt;0,GN104,IF(ROUND(CP104*$J104,6)&lt;ROUND($M104,6),CP104,0)))</f>
        <v/>
      </c>
      <c r="GP104" s="68">
        <f>IF(OR($U104=0,$F104&lt;&gt;2),0,IF(GO104&gt;0,GO104,IF(ROUND(CQ104*$J104,6)&lt;ROUND($M104,6),CQ104,0)))</f>
        <v/>
      </c>
      <c r="GQ104" s="68">
        <f>IF(OR($U104=0,$F104&lt;&gt;2),0,IF(GP104&gt;0,GP104,IF(ROUND(CR104*$J104,6)&lt;ROUND($M104,6),CR104,0)))</f>
        <v/>
      </c>
      <c r="GR104" s="68">
        <f>IF(OR($U104=0,$F104&lt;&gt;2),0,IF(GQ104&gt;0,GQ104,IF(ROUND(CS104*$J104,6)&lt;ROUND($M104,6),CS104,0)))</f>
        <v/>
      </c>
      <c r="GS104" s="68">
        <f>IF(OR($U104=0,$F104&lt;&gt;2),0,IF(GR104&gt;0,GR104,IF(ROUND(CT104*$J104,6)&lt;ROUND($M104,6),CT104,0)))</f>
        <v/>
      </c>
      <c r="GT104" s="68">
        <f>IF(OR($U104=0,$F104&lt;&gt;2),0,IF(GS104&gt;0,GS104,IF(ROUND(CU104*$J104,6)&lt;ROUND($M104,6),CU104,0)))</f>
        <v/>
      </c>
      <c r="GU104" s="68">
        <f>IF(OR($U104=0,$F104&lt;&gt;2),0,IF(GT104&gt;0,GT104,IF(ROUND(CV104*$J104,6)&lt;ROUND($M104,6),CV104,0)))</f>
        <v/>
      </c>
      <c r="GV104" s="68">
        <f>IF(OR($U104=0,$F104&lt;&gt;2),0,IF(GU104&gt;0,GU104,IF(ROUND(CW104*$J104,6)&lt;ROUND($M104,6),CW104,0)))</f>
        <v/>
      </c>
      <c r="GW104" s="68">
        <f>IF(OR($U104=0,$F104&lt;&gt;2),0,IF(GV104&gt;0,GV104,IF(ROUND(CX104*$J104,6)&lt;ROUND($M104,6),CX104,0)))</f>
        <v/>
      </c>
      <c r="GX104" s="68">
        <f>IF(OR($U104=0,$F104&lt;&gt;2),0,IF(GW104&gt;0,GW104,IF(ROUND(CY104*$J104,6)&lt;ROUND($M104,6),CY104,0)))</f>
        <v/>
      </c>
      <c r="GY104" s="68">
        <f>IF(OR($U104=0,$F104&lt;&gt;2),0,IF(GX104&gt;0,GX104,IF(ROUND(CZ104*$J104,6)&lt;ROUND($M104,6),CZ104,0)))</f>
        <v/>
      </c>
      <c r="GZ104" s="68">
        <f>IF(OR($U104=0,$F104&lt;&gt;2),0,IF(GY104&gt;0,GY104,IF(ROUND(DA104*$J104,6)&lt;ROUND($M104,6),DA104,0)))</f>
        <v/>
      </c>
      <c r="HA104" s="68">
        <f>IF(OR($U104=0,$F104&lt;&gt;2),0,IF(GZ104&gt;0,GZ104,IF(ROUND(DB104*$J104,6)&lt;ROUND($M104,6),DB104,0)))</f>
        <v/>
      </c>
      <c r="HB104" s="68">
        <f>IF(OR($U104=0,$F104&lt;&gt;2),0,IF(HA104&gt;0,HA104,IF(ROUND(DC104*$J104,6)&lt;ROUND($M104,6),DC104,0)))</f>
        <v/>
      </c>
      <c r="HC104" s="68">
        <f>IF(OR($U104=0,$F104&lt;&gt;2),0,IF(HB104&gt;0,HB104,IF(ROUND(DD104*$J104,6)&lt;ROUND($M104,6),DD104,0)))</f>
        <v/>
      </c>
      <c r="HD104" s="68">
        <f>IF(OR($U104=0,$F104&lt;&gt;2),0,IF(HC104&gt;0,HC104,IF(ROUND(DE104*$J104,6)&lt;ROUND($M104,6),DE104,0)))</f>
        <v/>
      </c>
      <c r="HE104" s="68">
        <f>IF(OR($U104=0,$F104&lt;&gt;2),0,IF(HD104&gt;0,HD104,IF(ROUND(DF104*$J104,6)&lt;ROUND($M104,6),DF104,0)))</f>
        <v/>
      </c>
      <c r="HF104" s="68">
        <f>IF(OR($U104=0,$F104&lt;&gt;2),0,IF(HE104&gt;0,HE104,IF(ROUND(DG104*$J104,6)&lt;ROUND($M104,6),DG104,0)))</f>
        <v/>
      </c>
      <c r="HG104" s="68">
        <f>IF(OR($U104=0,$F104&lt;&gt;2),0,IF(HF104&gt;0,HF104,IF(ROUND(DH104*$J104,6)&lt;ROUND($M104,6),DH104,0)))</f>
        <v/>
      </c>
      <c r="HH104" s="68">
        <f>IF(OR($U104=0,$F104&lt;&gt;2),0,IF(HG104&gt;0,HG104,IF(ROUND(DI104*$J104,6)&lt;ROUND($M104,6),DI104,0)))</f>
        <v/>
      </c>
      <c r="HI104" s="68">
        <f>IF(OR($U104=0,$F104&lt;&gt;2),0,IF(HH104&gt;0,HH104,IF(ROUND(DJ104*$J104,6)&lt;ROUND($M104,6),DJ104,0)))</f>
        <v/>
      </c>
      <c r="HJ104" s="68">
        <f>IF(OR($U104=0,$F104&lt;&gt;2),0,IF(HI104&gt;0,HI104,IF(ROUND(DK104*$J104,6)&lt;ROUND($M104,6),DK104,0)))</f>
        <v/>
      </c>
      <c r="HK104" s="68">
        <f>IF(OR($U104=0,$F104&lt;&gt;2),0,IF(HJ104&gt;0,HJ104,IF(ROUND(DL104*$J104,6)&lt;ROUND($M104,6),DL104,0)))</f>
        <v/>
      </c>
      <c r="HL104" s="68">
        <f>IF(OR($U104=0,$F104&lt;&gt;2),0,IF(HK104&gt;0,HK104,IF(ROUND(DM104*$J104,6)&lt;ROUND($M104,6),DM104,0)))</f>
        <v/>
      </c>
      <c r="HM104" s="68">
        <f>IF(OR($U104=0,$F104&lt;&gt;2),0,IF(HL104&gt;0,HL104,IF(ROUND(DN104*$J104,6)&lt;ROUND($M104,6),DN104,0)))</f>
        <v/>
      </c>
      <c r="HN104" s="68">
        <f>IF(OR($U104=0,$F104&lt;&gt;2),0,IF(HM104&gt;0,HM104,IF(ROUND(DO104*$J104,6)&lt;ROUND($M104,6),DO104,0)))</f>
        <v/>
      </c>
      <c r="HO104" s="68">
        <f>IF(OR($U104=0,$F104&lt;&gt;2),0,IF(HN104&gt;0,HN104,IF(ROUND(DP104*$J104,6)&lt;ROUND($M104,6),DP104,0)))</f>
        <v/>
      </c>
      <c r="HP104" s="68">
        <f>IF(OR($U104=0,$F104&lt;&gt;2),0,IF(HO104&gt;0,HO104,IF(ROUND(DQ104*$J104,6)&lt;ROUND($M104,6),DQ104,0)))</f>
        <v/>
      </c>
      <c r="HQ104" s="68">
        <f>IF(OR($U104=0,$F104&lt;&gt;2),0,IF(HP104&gt;0,HP104,IF(ROUND(DR104*$J104,6)&lt;ROUND($M104,6),DR104,0)))</f>
        <v/>
      </c>
      <c r="HR104" s="68">
        <f>IF(OR($U104=0,$F104&lt;&gt;2),0,IF(HQ104&gt;0,HQ104,IF(ROUND(DS104*$J104,6)&lt;ROUND($M104,6),DS104,0)))</f>
        <v/>
      </c>
      <c r="HS104" s="68">
        <f>IF(OR($U104=0,$F104&lt;&gt;2),0,IF(HR104&gt;0,HR104,IF(ROUND(DT104*$J104,6)&lt;ROUND($M104,6),DT104,0)))</f>
        <v/>
      </c>
      <c r="HT104" s="68">
        <f>IF(OR($U104=0,$F104&lt;&gt;2),0,IF(HS104&gt;0,HS104,IF(ROUND(DU104*$J104,6)&lt;ROUND($M104,6),DU104,0)))</f>
        <v/>
      </c>
      <c r="HU104" s="68">
        <f>IF(OR($U104=0,$F104&lt;&gt;2),0,IF(HT104&gt;0,HT104,IF(ROUND(DV104*$J104,6)&lt;ROUND($M104,6),DV104,0)))</f>
        <v/>
      </c>
      <c r="HV104" s="68">
        <f>IF(OR($U104=0,$F104&lt;&gt;2),0,IF(HU104&gt;0,HU104,IF(ROUND(DW104*$J104,6)&lt;ROUND($M104,6),DW104,0)))</f>
        <v/>
      </c>
      <c r="HW104" s="68">
        <f>IF(OR($U104=0,$F104&lt;&gt;2),0,IF(HV104&gt;0,HV104,IF(ROUND(DX104*$J104,6)&lt;ROUND($M104,6),DX104,0)))</f>
        <v/>
      </c>
      <c r="HX104" s="68">
        <f>IF(OR($U104=0,$F104&lt;&gt;2),0,IF(HW104&gt;0,HW104,IF(ROUND(DY104*$J104,6)&lt;ROUND($M104,6),DY104,0)))</f>
        <v/>
      </c>
      <c r="HY104" s="68">
        <f>IF(OR($U104=0,$F104&lt;&gt;2),0,IF(HX104&gt;0,HX104,IF(ROUND(DZ104*$J104,6)&lt;ROUND($M104,6),DZ104,0)))</f>
        <v/>
      </c>
      <c r="HZ104" s="68">
        <f>IF(OR($U104=0,$F104&lt;&gt;2),0,IF(HY104&gt;0,HY104,IF(ROUND(EA104*$J104,6)&lt;ROUND($M104,6),EA104,0)))</f>
        <v/>
      </c>
      <c r="IA104" s="68">
        <f>IF(OR($U104=0,$F104&lt;&gt;2),0,IF(HZ104&gt;0,HZ104,IF(ROUND(EB104*$J104,6)&lt;ROUND($M104,6),EB104,0)))</f>
        <v/>
      </c>
      <c r="IB104" s="68">
        <f>IF(OR($U104=0,$F104&lt;&gt;2),0,IF(IA104&gt;0,IA104,IF(ROUND(EC104*$J104,6)&lt;ROUND($M104,6),EC104,0)))</f>
        <v/>
      </c>
      <c r="IC104" s="68">
        <f>IF(OR($U104=0,$F104&lt;&gt;2),0,IF(IB104&gt;0,IB104,IF(ROUND(ED104*$J104,6)&lt;ROUND($M104,6),ED104,0)))</f>
        <v/>
      </c>
      <c r="ID104" s="68">
        <f>IF(OR($U104=0,$F104&lt;&gt;2),0,IF(IC104&gt;0,IC104,IF(ROUND(EE104*$J104,6)&lt;ROUND($M104,6),EE104,0)))</f>
        <v/>
      </c>
      <c r="IE104" s="68">
        <f>IF(OR($U104=0,$F104&lt;&gt;2),0,IF(ID104&gt;0,ID104,IF(ROUND(EF104*$J104,6)&lt;ROUND($M104,6),EF104,0)))</f>
        <v/>
      </c>
      <c r="IF104" s="68">
        <f>IF(OR($U104=0,$F104&lt;&gt;2),0,IF(IE104&gt;0,IE104,IF(ROUND(EG104*$J104,6)&lt;ROUND($M104,6),EG104,0)))</f>
        <v/>
      </c>
      <c r="IG104" s="68">
        <f>IF(OR($U104=0,$F104&lt;&gt;2),0,IF(IF104&gt;0,IF104,IF(ROUND(EH104*$J104,6)&lt;ROUND($M104,6),EH104,0)))</f>
        <v/>
      </c>
      <c r="IH104" s="68">
        <f>IF(OR($U104=0,$F104&lt;&gt;2),0,IF(IG104&gt;0,IG104,IF(ROUND(EI104*$J104,6)&lt;ROUND($M104,6),EI104,0)))</f>
        <v/>
      </c>
      <c r="II104" s="68">
        <f>IF(OR($U104=0,$F104&lt;&gt;2),0,IF(IH104&gt;0,IH104,IF(ROUND(EJ104*$J104,6)&lt;ROUND($M104,6),EJ104,0)))</f>
        <v/>
      </c>
      <c r="IJ104" s="68">
        <f>IF(OR($U104=0,$F104&lt;&gt;2),0,IF(II104&gt;0,II104,IF(ROUND(EK104*$J104,6)&lt;ROUND($M104,6),EK104,0)))</f>
        <v/>
      </c>
      <c r="IK104" s="68">
        <f>IF(OR($U104=0,$F104&lt;&gt;2),0,IF(IJ104&gt;0,IJ104,IF(ROUND(EL104*$J104,6)&lt;ROUND($M104,6),EL104,0)))</f>
        <v/>
      </c>
      <c r="IL104" s="68">
        <f>IF(OR($U104=0,$F104&lt;&gt;2),0,IF(IK104&gt;0,IK104,IF(ROUND(EM104*$J104,6)&lt;ROUND($M104,6),EM104,0)))</f>
        <v/>
      </c>
      <c r="IM104" s="68">
        <f>IF(OR($U104=0,$F104&lt;&gt;2),0,IF(IL104&gt;0,IL104,IF(ROUND(EN104*$J104,6)&lt;ROUND($M104,6),EN104,0)))</f>
        <v/>
      </c>
      <c r="IN104" s="68">
        <f>IF(OR($U104=0,$F104&lt;&gt;2),0,IF(IM104&gt;0,IM104,IF(ROUND(EO104*$J104,6)&lt;ROUND($M104,6),EO104,0)))</f>
        <v/>
      </c>
    </row>
    <row r="105">
      <c r="A105" s="68" t="n">
        <v>100</v>
      </c>
      <c r="B105" s="68">
        <f>IF(OR(TRIM('固定資産台帳'!$B105)&lt;&gt;"",'固定資産台帳'!$E105&lt;&gt;"",'固定資産台帳'!$G105&lt;&gt;"",'固定資産台帳'!$H105&lt;&gt;""),1,0)</f>
        <v/>
      </c>
      <c r="C105" s="68">
        <f>IF(ISNUMBER('固定資産台帳'!$G105),MAX(ROUND('固定資産台帳'!$G105,0),0),0)</f>
        <v/>
      </c>
      <c r="D105" s="84">
        <f>IF(ISNUMBER('固定資産台帳'!$E105),INT('固定資産台帳'!$E105),0)</f>
        <v/>
      </c>
      <c r="E105" s="84">
        <f>IF(ISNUMBER('固定資産台帳'!$F105),INT('固定資産台帳'!$F105),$D105)</f>
        <v/>
      </c>
      <c r="F105" s="68">
        <f>IF('固定資産台帳'!$H105="定額法",1,IF(OR('固定資産台帳'!$H105="定率法",'固定資産台帳'!$H105="定率法（200%）",'固定資産台帳'!$H105="定率法（250%）"),2,IF('固定資産台帳'!$H105="一括償却（3年）",3,IF('固定資産台帳'!$H105="少額特例",4,0))))</f>
        <v/>
      </c>
      <c r="G105" s="68">
        <f>IF('固定資産台帳'!$H105="定率法（250%）",250,IF('固定資産台帳'!$H105="定率法（200%）",200,IF($D105&gt;=DATE(2012,4,1),200,250)))</f>
        <v/>
      </c>
      <c r="H105" s="68">
        <f>IF(ISNUMBER('固定資産台帳'!$I105),IF(AND('固定資産台帳'!$I105&gt;=2,'固定資産台帳'!$I105&lt;=100,'固定資産台帳'!$I105=INT('固定資産台帳'!$I105)),'固定資産台帳'!$I105,0),0)</f>
        <v/>
      </c>
      <c r="I105" s="68">
        <f>IF('固定資産台帳'!$C105="無形固定資産",0,1)</f>
        <v/>
      </c>
      <c r="J105" s="68">
        <f>IF(OR($H105=0,$F105=0,$F105&gt;2),0,IF($F105=1,INDEX('償却率表'!$B$6:$B$104,$H105-1),IF($G105=200,INDEX('償却率表'!$C$6:$C$104,$H105-1),INDEX('償却率表'!$F$6:$F$104,$H105-1))))</f>
        <v/>
      </c>
      <c r="K105" s="68">
        <f>IF(AND($F105=2,$H105&gt;0),IF($G105=200,INDEX('償却率表'!$D$6:$D$104,$H105-1),INDEX('償却率表'!$G$6:$G$104,$H105-1)),0)</f>
        <v/>
      </c>
      <c r="L105" s="68">
        <f>IF(AND($F105=2,$H105&gt;0),IF($G105=200,INDEX('償却率表'!$E$6:$E$104,$H105-1),INDEX('償却率表'!$H$6:$H$104,$H105-1)),0)</f>
        <v/>
      </c>
      <c r="M105" s="68">
        <f>$C105*$L105</f>
        <v/>
      </c>
      <c r="N105" s="68">
        <f>IF($B$1=1,1,IF('固定資産台帳'!$J105="",1,IF(ISNUMBER('固定資産台帳'!$J105),IF(AND('固定資産台帳'!$J105&gt;0,'固定資産台帳'!$J105&lt;=1),'固定資産台帳'!$J105,0),0)))</f>
        <v/>
      </c>
      <c r="O105" s="68">
        <f>IF($E105=0,0,YEAR($E105)-IF(MONTH($E105)&lt;$B$2,1,0))</f>
        <v/>
      </c>
      <c r="P105" s="68">
        <f>IF($E105=0,0,12-MOD(MONTH($E105)-$B$2,12))</f>
        <v/>
      </c>
      <c r="Q105" s="84">
        <f>IF(ISNUMBER('固定資産台帳'!$K105),INT('固定資産台帳'!$K105),0)</f>
        <v/>
      </c>
      <c r="R105" s="68">
        <f>IF(OR($Q105=0,$E105=0),999,YEAR($Q105)-IF(MONTH($Q105)&lt;$B$2,1,0)-$O105)</f>
        <v/>
      </c>
      <c r="S105" s="68">
        <f>IF($R105=999,0,MOD(MONTH($Q105)-$B$2,12)+1-IF($R105=0,12-$P105,0))</f>
        <v/>
      </c>
      <c r="T105" s="68">
        <f>IF($B105=0,0,IF($C105&lt;=0,1,IF($D105=0,2,IF($F105=0,3,IF(AND($F105&lt;=2,$H105=0),4,IF(AND($F105&lt;=2,$D105&lt;DATE(2007,4,1)),5,IF($E105&lt;$D105,6,IF(AND($Q105&gt;0,$Q105&lt;$E105),7,IF($N105=0,8,IF($B$3=0,9,0))))))))))</f>
        <v/>
      </c>
      <c r="U105" s="68">
        <f>IF(AND($B105=1,$T105=0),1,0)</f>
        <v/>
      </c>
      <c r="V105" s="68">
        <f>$B$3-$O105</f>
        <v/>
      </c>
      <c r="W105" s="68">
        <f>IF(AND($U105=1,$V105&gt;=0),1,0)</f>
        <v/>
      </c>
      <c r="X105" s="68">
        <f>IF($W105=0,0,IF($V105=0,$C105,INDEX($AS105:$EP105,MIN($V105,102))))</f>
        <v/>
      </c>
      <c r="Y105" s="68">
        <f>IF($W105=0,0,INDEX($AS105:$EP105,MIN($V105,101)+1))</f>
        <v/>
      </c>
      <c r="Z105" s="68">
        <f>$X105-$Y105</f>
        <v/>
      </c>
      <c r="AA105" s="68">
        <f>IF(AND($W105=1,$F105=2,$V105&gt;=1),INDEX($ER105:$IN105,MIN($V105,101)),0)</f>
        <v/>
      </c>
      <c r="AB105" s="68">
        <f>IF(OR($W105=0,$F105&gt;2,$Z105=0),0,IF($V105=0,IF($R105=0,$S105,$P105),IF($V105=$R105,$S105,12)))</f>
        <v/>
      </c>
      <c r="AC105" s="68">
        <f>IF($W105=0,0,INT(ROUND($Z105*$N105,6)+$B$4))</f>
        <v/>
      </c>
      <c r="AD105" s="68">
        <f>IF(AND($W105=1,$F105&lt;=2,$V105=$R105),1,0)</f>
        <v/>
      </c>
      <c r="AE105" s="68">
        <f>IF(AND($W105=1,$F105&lt;=2,$V105&gt;$R105),1,0)</f>
        <v/>
      </c>
      <c r="AF105" s="68">
        <f>IF(AND($W105=1,$AE105=0,OR($Z105&gt;0,$AD105=1)),1,0)</f>
        <v/>
      </c>
      <c r="AG105" s="68">
        <f>IF($AF105=1,SUM($AF$6:$AF105),0)</f>
        <v/>
      </c>
      <c r="AH105" s="68">
        <f>IF($T105=0,"",CHOOSE($T105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05" s="68">
        <f>IF(AND($F105=2,OR('固定資産台帳'!$C105="建物",'固定資産台帳'!$C105="無形固定資産",AND(OR('固定資産台帳'!$C105="建物附属設備",'固定資産台帳'!$C105="構築物"),$D105&gt;=DATE(2016,4,1)))),"この資産は定額法だけです（定率法は使えません）。","")&amp;IF(AND($F105=3,$C105&gt;=200000),"一括償却は20万円未満の資産だけです。","")&amp;IF(AND($F105=3,$B$1=0,$C105&lt;100000),"10万円未満は一括償却にせず、全額をその年の経費にします。","")&amp;IF(AND($F105=4,$C105&lt;100000),"10万円未満は少額特例ではなく、全額をその年の経費にします。","")&amp;IF(AND($F105=4,$D105&lt;DATE(2026,4,1),$C105&gt;=300000),"2026年3月31日までの取得で少額特例が使えるのは30万円未満です。","")&amp;IF(AND($F105=4,$D105&gt;=DATE(2026,4,1),$C105&gt;=400000),"少額特例は40万円未満の資産だけです。","")&amp;IF(AND($F105=4,OR($D105&lt;DATE(2006,4,1),$D105&gt;DATE(2029,3,31))),"少額特例は2006年4月1日〜2029年3月31日に取得した資産だけです。","")&amp;IF(AND($F105=2,$G105=250,$D105&gt;DATE(2012,12,31)),"250%定率法は2012年12月31日までの取得だけです。","")</f>
        <v/>
      </c>
      <c r="AJ105" s="68">
        <f>IF(AND($F105=2,'固定資産台帳'!$H105="定率法（200%）",$D105&lt;DATE(2012,4,1)),"2012年3月31日までの取得に200%を使うのは、経過措置の届出をした場合です。","")&amp;IF(AND($F105=2,'固定資産台帳'!$H105="定率法（250%）",$D105&gt;=DATE(2012,4,1),$D105&lt;=DATE(2012,12,31)),"2012年4〜12月の取得に250%を使うのは、経過措置を選んだ場合です。","")</f>
        <v/>
      </c>
      <c r="AK105" s="68">
        <f>IF($U105=0,"",IF($V105&lt;0,"表示している年より後に使い始める資産です。",IF($AE105=1,"売却・除却済みです。",IF($AD105=1,"この年に売却・除却。期末の帳簿価額 "&amp;TEXT($Y105,"#,##0")&amp;"円を帳簿から外します。",IF($F105=4,IF($V105=0,"少額特例：この年に全額を経費にします。","少額特例で経費にした資産です。"),IF($F105=3,IF($V105&gt;2,"一括償却は終わっています。","一括償却 "&amp;($V105+1)&amp;"年目（3年のうち）。"),IF($Z105=0,"償却済み（帳簿価額 "&amp;TEXT($Y105,"#,##0")&amp;"円）。",IF($AA105&gt;0,"改定償却率で計算（改定取得価額 "&amp;TEXT($AA105,"#,##0")&amp;"円）。",IF($V105=0,"この年に使い始め（"&amp;$AB105&amp;"か月分）。","")))))))))</f>
        <v/>
      </c>
      <c r="AL105" s="68">
        <f>IF(AND($U105=1,$F105=4,$V105=0),$C105,0)</f>
        <v/>
      </c>
      <c r="AM105" s="68">
        <f>IF($F105=2,INT(ROUND($M105,6)+$B$4),0)</f>
        <v/>
      </c>
      <c r="AN105" s="68">
        <f>IF($W105=0,0,IF($F105=2,IF($AA105&gt;0,$AA105,$X105),$C105))</f>
        <v/>
      </c>
      <c r="AO105" s="68">
        <f>IF($W105=0,"",IF($F105=3,"1/3",IF($F105=4,"―",IF($AA105&gt;0,$K105,$J105))))</f>
        <v/>
      </c>
      <c r="AP105" s="68" t="n"/>
      <c r="AQ105" s="68" t="n"/>
      <c r="AR105" s="68" t="n"/>
      <c r="AS105" s="68">
        <f>IF($U105=0,0,IF($F105=4,0,IF($F105=3,MAX($C105-INT(ROUND($C105/3,6)+$B$4),0),$C105-MIN(INT(ROUND($C105*$J105*IF($R105=0,$S105,$P105)/12,6)+$B$4),MAX($C105-$I105,0)))))</f>
        <v/>
      </c>
      <c r="AT105" s="68">
        <f>IF($U105=0,0,IF($F105=4,0,IF($F105=3,AS105-MIN(INT(ROUND($C105/3,6)+$B$4),AS105),IF(OR(1&gt;$R105,AS105&lt;=$I105),AS105,AS105-MIN(INT(ROUND(IF($F105=1,$C105*$J105,IF(ER105&gt;0,ER105*$K105,AS105*$J105))*IF(1=$R105,$S105,12)/12,6)+$B$4),AS105-$I105)))))</f>
        <v/>
      </c>
      <c r="AU105" s="68">
        <f>IF($U105=0,0,IF($F105=4,0,IF($F105=3,0,IF(OR(2&gt;$R105,AT105&lt;=$I105),AT105,AT105-MIN(INT(ROUND(IF($F105=1,$C105*$J105,IF(ES105&gt;0,ES105*$K105,AT105*$J105))*IF(2=$R105,$S105,12)/12,6)+$B$4),AT105-$I105)))))</f>
        <v/>
      </c>
      <c r="AV105" s="68">
        <f>IF($U105=0,0,IF($F105=4,0,IF($F105=3,0,IF(OR(3&gt;$R105,AU105&lt;=$I105),AU105,AU105-MIN(INT(ROUND(IF($F105=1,$C105*$J105,IF(ET105&gt;0,ET105*$K105,AU105*$J105))*IF(3=$R105,$S105,12)/12,6)+$B$4),AU105-$I105)))))</f>
        <v/>
      </c>
      <c r="AW105" s="68">
        <f>IF($U105=0,0,IF($F105=4,0,IF($F105=3,0,IF(OR(4&gt;$R105,AV105&lt;=$I105),AV105,AV105-MIN(INT(ROUND(IF($F105=1,$C105*$J105,IF(EU105&gt;0,EU105*$K105,AV105*$J105))*IF(4=$R105,$S105,12)/12,6)+$B$4),AV105-$I105)))))</f>
        <v/>
      </c>
      <c r="AX105" s="68">
        <f>IF($U105=0,0,IF($F105=4,0,IF($F105=3,0,IF(OR(5&gt;$R105,AW105&lt;=$I105),AW105,AW105-MIN(INT(ROUND(IF($F105=1,$C105*$J105,IF(EV105&gt;0,EV105*$K105,AW105*$J105))*IF(5=$R105,$S105,12)/12,6)+$B$4),AW105-$I105)))))</f>
        <v/>
      </c>
      <c r="AY105" s="68">
        <f>IF($U105=0,0,IF($F105=4,0,IF($F105=3,0,IF(OR(6&gt;$R105,AX105&lt;=$I105),AX105,AX105-MIN(INT(ROUND(IF($F105=1,$C105*$J105,IF(EW105&gt;0,EW105*$K105,AX105*$J105))*IF(6=$R105,$S105,12)/12,6)+$B$4),AX105-$I105)))))</f>
        <v/>
      </c>
      <c r="AZ105" s="68">
        <f>IF($U105=0,0,IF($F105=4,0,IF($F105=3,0,IF(OR(7&gt;$R105,AY105&lt;=$I105),AY105,AY105-MIN(INT(ROUND(IF($F105=1,$C105*$J105,IF(EX105&gt;0,EX105*$K105,AY105*$J105))*IF(7=$R105,$S105,12)/12,6)+$B$4),AY105-$I105)))))</f>
        <v/>
      </c>
      <c r="BA105" s="68">
        <f>IF($U105=0,0,IF($F105=4,0,IF($F105=3,0,IF(OR(8&gt;$R105,AZ105&lt;=$I105),AZ105,AZ105-MIN(INT(ROUND(IF($F105=1,$C105*$J105,IF(EY105&gt;0,EY105*$K105,AZ105*$J105))*IF(8=$R105,$S105,12)/12,6)+$B$4),AZ105-$I105)))))</f>
        <v/>
      </c>
      <c r="BB105" s="68">
        <f>IF($U105=0,0,IF($F105=4,0,IF($F105=3,0,IF(OR(9&gt;$R105,BA105&lt;=$I105),BA105,BA105-MIN(INT(ROUND(IF($F105=1,$C105*$J105,IF(EZ105&gt;0,EZ105*$K105,BA105*$J105))*IF(9=$R105,$S105,12)/12,6)+$B$4),BA105-$I105)))))</f>
        <v/>
      </c>
      <c r="BC105" s="68">
        <f>IF($U105=0,0,IF($F105=4,0,IF($F105=3,0,IF(OR(10&gt;$R105,BB105&lt;=$I105),BB105,BB105-MIN(INT(ROUND(IF($F105=1,$C105*$J105,IF(FA105&gt;0,FA105*$K105,BB105*$J105))*IF(10=$R105,$S105,12)/12,6)+$B$4),BB105-$I105)))))</f>
        <v/>
      </c>
      <c r="BD105" s="68">
        <f>IF($U105=0,0,IF($F105=4,0,IF($F105=3,0,IF(OR(11&gt;$R105,BC105&lt;=$I105),BC105,BC105-MIN(INT(ROUND(IF($F105=1,$C105*$J105,IF(FB105&gt;0,FB105*$K105,BC105*$J105))*IF(11=$R105,$S105,12)/12,6)+$B$4),BC105-$I105)))))</f>
        <v/>
      </c>
      <c r="BE105" s="68">
        <f>IF($U105=0,0,IF($F105=4,0,IF($F105=3,0,IF(OR(12&gt;$R105,BD105&lt;=$I105),BD105,BD105-MIN(INT(ROUND(IF($F105=1,$C105*$J105,IF(FC105&gt;0,FC105*$K105,BD105*$J105))*IF(12=$R105,$S105,12)/12,6)+$B$4),BD105-$I105)))))</f>
        <v/>
      </c>
      <c r="BF105" s="68">
        <f>IF($U105=0,0,IF($F105=4,0,IF($F105=3,0,IF(OR(13&gt;$R105,BE105&lt;=$I105),BE105,BE105-MIN(INT(ROUND(IF($F105=1,$C105*$J105,IF(FD105&gt;0,FD105*$K105,BE105*$J105))*IF(13=$R105,$S105,12)/12,6)+$B$4),BE105-$I105)))))</f>
        <v/>
      </c>
      <c r="BG105" s="68">
        <f>IF($U105=0,0,IF($F105=4,0,IF($F105=3,0,IF(OR(14&gt;$R105,BF105&lt;=$I105),BF105,BF105-MIN(INT(ROUND(IF($F105=1,$C105*$J105,IF(FE105&gt;0,FE105*$K105,BF105*$J105))*IF(14=$R105,$S105,12)/12,6)+$B$4),BF105-$I105)))))</f>
        <v/>
      </c>
      <c r="BH105" s="68">
        <f>IF($U105=0,0,IF($F105=4,0,IF($F105=3,0,IF(OR(15&gt;$R105,BG105&lt;=$I105),BG105,BG105-MIN(INT(ROUND(IF($F105=1,$C105*$J105,IF(FF105&gt;0,FF105*$K105,BG105*$J105))*IF(15=$R105,$S105,12)/12,6)+$B$4),BG105-$I105)))))</f>
        <v/>
      </c>
      <c r="BI105" s="68">
        <f>IF($U105=0,0,IF($F105=4,0,IF($F105=3,0,IF(OR(16&gt;$R105,BH105&lt;=$I105),BH105,BH105-MIN(INT(ROUND(IF($F105=1,$C105*$J105,IF(FG105&gt;0,FG105*$K105,BH105*$J105))*IF(16=$R105,$S105,12)/12,6)+$B$4),BH105-$I105)))))</f>
        <v/>
      </c>
      <c r="BJ105" s="68">
        <f>IF($U105=0,0,IF($F105=4,0,IF($F105=3,0,IF(OR(17&gt;$R105,BI105&lt;=$I105),BI105,BI105-MIN(INT(ROUND(IF($F105=1,$C105*$J105,IF(FH105&gt;0,FH105*$K105,BI105*$J105))*IF(17=$R105,$S105,12)/12,6)+$B$4),BI105-$I105)))))</f>
        <v/>
      </c>
      <c r="BK105" s="68">
        <f>IF($U105=0,0,IF($F105=4,0,IF($F105=3,0,IF(OR(18&gt;$R105,BJ105&lt;=$I105),BJ105,BJ105-MIN(INT(ROUND(IF($F105=1,$C105*$J105,IF(FI105&gt;0,FI105*$K105,BJ105*$J105))*IF(18=$R105,$S105,12)/12,6)+$B$4),BJ105-$I105)))))</f>
        <v/>
      </c>
      <c r="BL105" s="68">
        <f>IF($U105=0,0,IF($F105=4,0,IF($F105=3,0,IF(OR(19&gt;$R105,BK105&lt;=$I105),BK105,BK105-MIN(INT(ROUND(IF($F105=1,$C105*$J105,IF(FJ105&gt;0,FJ105*$K105,BK105*$J105))*IF(19=$R105,$S105,12)/12,6)+$B$4),BK105-$I105)))))</f>
        <v/>
      </c>
      <c r="BM105" s="68">
        <f>IF($U105=0,0,IF($F105=4,0,IF($F105=3,0,IF(OR(20&gt;$R105,BL105&lt;=$I105),BL105,BL105-MIN(INT(ROUND(IF($F105=1,$C105*$J105,IF(FK105&gt;0,FK105*$K105,BL105*$J105))*IF(20=$R105,$S105,12)/12,6)+$B$4),BL105-$I105)))))</f>
        <v/>
      </c>
      <c r="BN105" s="68">
        <f>IF($U105=0,0,IF($F105=4,0,IF($F105=3,0,IF(OR(21&gt;$R105,BM105&lt;=$I105),BM105,BM105-MIN(INT(ROUND(IF($F105=1,$C105*$J105,IF(FL105&gt;0,FL105*$K105,BM105*$J105))*IF(21=$R105,$S105,12)/12,6)+$B$4),BM105-$I105)))))</f>
        <v/>
      </c>
      <c r="BO105" s="68">
        <f>IF($U105=0,0,IF($F105=4,0,IF($F105=3,0,IF(OR(22&gt;$R105,BN105&lt;=$I105),BN105,BN105-MIN(INT(ROUND(IF($F105=1,$C105*$J105,IF(FM105&gt;0,FM105*$K105,BN105*$J105))*IF(22=$R105,$S105,12)/12,6)+$B$4),BN105-$I105)))))</f>
        <v/>
      </c>
      <c r="BP105" s="68">
        <f>IF($U105=0,0,IF($F105=4,0,IF($F105=3,0,IF(OR(23&gt;$R105,BO105&lt;=$I105),BO105,BO105-MIN(INT(ROUND(IF($F105=1,$C105*$J105,IF(FN105&gt;0,FN105*$K105,BO105*$J105))*IF(23=$R105,$S105,12)/12,6)+$B$4),BO105-$I105)))))</f>
        <v/>
      </c>
      <c r="BQ105" s="68">
        <f>IF($U105=0,0,IF($F105=4,0,IF($F105=3,0,IF(OR(24&gt;$R105,BP105&lt;=$I105),BP105,BP105-MIN(INT(ROUND(IF($F105=1,$C105*$J105,IF(FO105&gt;0,FO105*$K105,BP105*$J105))*IF(24=$R105,$S105,12)/12,6)+$B$4),BP105-$I105)))))</f>
        <v/>
      </c>
      <c r="BR105" s="68">
        <f>IF($U105=0,0,IF($F105=4,0,IF($F105=3,0,IF(OR(25&gt;$R105,BQ105&lt;=$I105),BQ105,BQ105-MIN(INT(ROUND(IF($F105=1,$C105*$J105,IF(FP105&gt;0,FP105*$K105,BQ105*$J105))*IF(25=$R105,$S105,12)/12,6)+$B$4),BQ105-$I105)))))</f>
        <v/>
      </c>
      <c r="BS105" s="68">
        <f>IF($U105=0,0,IF($F105=4,0,IF($F105=3,0,IF(OR(26&gt;$R105,BR105&lt;=$I105),BR105,BR105-MIN(INT(ROUND(IF($F105=1,$C105*$J105,IF(FQ105&gt;0,FQ105*$K105,BR105*$J105))*IF(26=$R105,$S105,12)/12,6)+$B$4),BR105-$I105)))))</f>
        <v/>
      </c>
      <c r="BT105" s="68">
        <f>IF($U105=0,0,IF($F105=4,0,IF($F105=3,0,IF(OR(27&gt;$R105,BS105&lt;=$I105),BS105,BS105-MIN(INT(ROUND(IF($F105=1,$C105*$J105,IF(FR105&gt;0,FR105*$K105,BS105*$J105))*IF(27=$R105,$S105,12)/12,6)+$B$4),BS105-$I105)))))</f>
        <v/>
      </c>
      <c r="BU105" s="68">
        <f>IF($U105=0,0,IF($F105=4,0,IF($F105=3,0,IF(OR(28&gt;$R105,BT105&lt;=$I105),BT105,BT105-MIN(INT(ROUND(IF($F105=1,$C105*$J105,IF(FS105&gt;0,FS105*$K105,BT105*$J105))*IF(28=$R105,$S105,12)/12,6)+$B$4),BT105-$I105)))))</f>
        <v/>
      </c>
      <c r="BV105" s="68">
        <f>IF($U105=0,0,IF($F105=4,0,IF($F105=3,0,IF(OR(29&gt;$R105,BU105&lt;=$I105),BU105,BU105-MIN(INT(ROUND(IF($F105=1,$C105*$J105,IF(FT105&gt;0,FT105*$K105,BU105*$J105))*IF(29=$R105,$S105,12)/12,6)+$B$4),BU105-$I105)))))</f>
        <v/>
      </c>
      <c r="BW105" s="68">
        <f>IF($U105=0,0,IF($F105=4,0,IF($F105=3,0,IF(OR(30&gt;$R105,BV105&lt;=$I105),BV105,BV105-MIN(INT(ROUND(IF($F105=1,$C105*$J105,IF(FU105&gt;0,FU105*$K105,BV105*$J105))*IF(30=$R105,$S105,12)/12,6)+$B$4),BV105-$I105)))))</f>
        <v/>
      </c>
      <c r="BX105" s="68">
        <f>IF($U105=0,0,IF($F105=4,0,IF($F105=3,0,IF(OR(31&gt;$R105,BW105&lt;=$I105),BW105,BW105-MIN(INT(ROUND(IF($F105=1,$C105*$J105,IF(FV105&gt;0,FV105*$K105,BW105*$J105))*IF(31=$R105,$S105,12)/12,6)+$B$4),BW105-$I105)))))</f>
        <v/>
      </c>
      <c r="BY105" s="68">
        <f>IF($U105=0,0,IF($F105=4,0,IF($F105=3,0,IF(OR(32&gt;$R105,BX105&lt;=$I105),BX105,BX105-MIN(INT(ROUND(IF($F105=1,$C105*$J105,IF(FW105&gt;0,FW105*$K105,BX105*$J105))*IF(32=$R105,$S105,12)/12,6)+$B$4),BX105-$I105)))))</f>
        <v/>
      </c>
      <c r="BZ105" s="68">
        <f>IF($U105=0,0,IF($F105=4,0,IF($F105=3,0,IF(OR(33&gt;$R105,BY105&lt;=$I105),BY105,BY105-MIN(INT(ROUND(IF($F105=1,$C105*$J105,IF(FX105&gt;0,FX105*$K105,BY105*$J105))*IF(33=$R105,$S105,12)/12,6)+$B$4),BY105-$I105)))))</f>
        <v/>
      </c>
      <c r="CA105" s="68">
        <f>IF($U105=0,0,IF($F105=4,0,IF($F105=3,0,IF(OR(34&gt;$R105,BZ105&lt;=$I105),BZ105,BZ105-MIN(INT(ROUND(IF($F105=1,$C105*$J105,IF(FY105&gt;0,FY105*$K105,BZ105*$J105))*IF(34=$R105,$S105,12)/12,6)+$B$4),BZ105-$I105)))))</f>
        <v/>
      </c>
      <c r="CB105" s="68">
        <f>IF($U105=0,0,IF($F105=4,0,IF($F105=3,0,IF(OR(35&gt;$R105,CA105&lt;=$I105),CA105,CA105-MIN(INT(ROUND(IF($F105=1,$C105*$J105,IF(FZ105&gt;0,FZ105*$K105,CA105*$J105))*IF(35=$R105,$S105,12)/12,6)+$B$4),CA105-$I105)))))</f>
        <v/>
      </c>
      <c r="CC105" s="68">
        <f>IF($U105=0,0,IF($F105=4,0,IF($F105=3,0,IF(OR(36&gt;$R105,CB105&lt;=$I105),CB105,CB105-MIN(INT(ROUND(IF($F105=1,$C105*$J105,IF(GA105&gt;0,GA105*$K105,CB105*$J105))*IF(36=$R105,$S105,12)/12,6)+$B$4),CB105-$I105)))))</f>
        <v/>
      </c>
      <c r="CD105" s="68">
        <f>IF($U105=0,0,IF($F105=4,0,IF($F105=3,0,IF(OR(37&gt;$R105,CC105&lt;=$I105),CC105,CC105-MIN(INT(ROUND(IF($F105=1,$C105*$J105,IF(GB105&gt;0,GB105*$K105,CC105*$J105))*IF(37=$R105,$S105,12)/12,6)+$B$4),CC105-$I105)))))</f>
        <v/>
      </c>
      <c r="CE105" s="68">
        <f>IF($U105=0,0,IF($F105=4,0,IF($F105=3,0,IF(OR(38&gt;$R105,CD105&lt;=$I105),CD105,CD105-MIN(INT(ROUND(IF($F105=1,$C105*$J105,IF(GC105&gt;0,GC105*$K105,CD105*$J105))*IF(38=$R105,$S105,12)/12,6)+$B$4),CD105-$I105)))))</f>
        <v/>
      </c>
      <c r="CF105" s="68">
        <f>IF($U105=0,0,IF($F105=4,0,IF($F105=3,0,IF(OR(39&gt;$R105,CE105&lt;=$I105),CE105,CE105-MIN(INT(ROUND(IF($F105=1,$C105*$J105,IF(GD105&gt;0,GD105*$K105,CE105*$J105))*IF(39=$R105,$S105,12)/12,6)+$B$4),CE105-$I105)))))</f>
        <v/>
      </c>
      <c r="CG105" s="68">
        <f>IF($U105=0,0,IF($F105=4,0,IF($F105=3,0,IF(OR(40&gt;$R105,CF105&lt;=$I105),CF105,CF105-MIN(INT(ROUND(IF($F105=1,$C105*$J105,IF(GE105&gt;0,GE105*$K105,CF105*$J105))*IF(40=$R105,$S105,12)/12,6)+$B$4),CF105-$I105)))))</f>
        <v/>
      </c>
      <c r="CH105" s="68">
        <f>IF($U105=0,0,IF($F105=4,0,IF($F105=3,0,IF(OR(41&gt;$R105,CG105&lt;=$I105),CG105,CG105-MIN(INT(ROUND(IF($F105=1,$C105*$J105,IF(GF105&gt;0,GF105*$K105,CG105*$J105))*IF(41=$R105,$S105,12)/12,6)+$B$4),CG105-$I105)))))</f>
        <v/>
      </c>
      <c r="CI105" s="68">
        <f>IF($U105=0,0,IF($F105=4,0,IF($F105=3,0,IF(OR(42&gt;$R105,CH105&lt;=$I105),CH105,CH105-MIN(INT(ROUND(IF($F105=1,$C105*$J105,IF(GG105&gt;0,GG105*$K105,CH105*$J105))*IF(42=$R105,$S105,12)/12,6)+$B$4),CH105-$I105)))))</f>
        <v/>
      </c>
      <c r="CJ105" s="68">
        <f>IF($U105=0,0,IF($F105=4,0,IF($F105=3,0,IF(OR(43&gt;$R105,CI105&lt;=$I105),CI105,CI105-MIN(INT(ROUND(IF($F105=1,$C105*$J105,IF(GH105&gt;0,GH105*$K105,CI105*$J105))*IF(43=$R105,$S105,12)/12,6)+$B$4),CI105-$I105)))))</f>
        <v/>
      </c>
      <c r="CK105" s="68">
        <f>IF($U105=0,0,IF($F105=4,0,IF($F105=3,0,IF(OR(44&gt;$R105,CJ105&lt;=$I105),CJ105,CJ105-MIN(INT(ROUND(IF($F105=1,$C105*$J105,IF(GI105&gt;0,GI105*$K105,CJ105*$J105))*IF(44=$R105,$S105,12)/12,6)+$B$4),CJ105-$I105)))))</f>
        <v/>
      </c>
      <c r="CL105" s="68">
        <f>IF($U105=0,0,IF($F105=4,0,IF($F105=3,0,IF(OR(45&gt;$R105,CK105&lt;=$I105),CK105,CK105-MIN(INT(ROUND(IF($F105=1,$C105*$J105,IF(GJ105&gt;0,GJ105*$K105,CK105*$J105))*IF(45=$R105,$S105,12)/12,6)+$B$4),CK105-$I105)))))</f>
        <v/>
      </c>
      <c r="CM105" s="68">
        <f>IF($U105=0,0,IF($F105=4,0,IF($F105=3,0,IF(OR(46&gt;$R105,CL105&lt;=$I105),CL105,CL105-MIN(INT(ROUND(IF($F105=1,$C105*$J105,IF(GK105&gt;0,GK105*$K105,CL105*$J105))*IF(46=$R105,$S105,12)/12,6)+$B$4),CL105-$I105)))))</f>
        <v/>
      </c>
      <c r="CN105" s="68">
        <f>IF($U105=0,0,IF($F105=4,0,IF($F105=3,0,IF(OR(47&gt;$R105,CM105&lt;=$I105),CM105,CM105-MIN(INT(ROUND(IF($F105=1,$C105*$J105,IF(GL105&gt;0,GL105*$K105,CM105*$J105))*IF(47=$R105,$S105,12)/12,6)+$B$4),CM105-$I105)))))</f>
        <v/>
      </c>
      <c r="CO105" s="68">
        <f>IF($U105=0,0,IF($F105=4,0,IF($F105=3,0,IF(OR(48&gt;$R105,CN105&lt;=$I105),CN105,CN105-MIN(INT(ROUND(IF($F105=1,$C105*$J105,IF(GM105&gt;0,GM105*$K105,CN105*$J105))*IF(48=$R105,$S105,12)/12,6)+$B$4),CN105-$I105)))))</f>
        <v/>
      </c>
      <c r="CP105" s="68">
        <f>IF($U105=0,0,IF($F105=4,0,IF($F105=3,0,IF(OR(49&gt;$R105,CO105&lt;=$I105),CO105,CO105-MIN(INT(ROUND(IF($F105=1,$C105*$J105,IF(GN105&gt;0,GN105*$K105,CO105*$J105))*IF(49=$R105,$S105,12)/12,6)+$B$4),CO105-$I105)))))</f>
        <v/>
      </c>
      <c r="CQ105" s="68">
        <f>IF($U105=0,0,IF($F105=4,0,IF($F105=3,0,IF(OR(50&gt;$R105,CP105&lt;=$I105),CP105,CP105-MIN(INT(ROUND(IF($F105=1,$C105*$J105,IF(GO105&gt;0,GO105*$K105,CP105*$J105))*IF(50=$R105,$S105,12)/12,6)+$B$4),CP105-$I105)))))</f>
        <v/>
      </c>
      <c r="CR105" s="68">
        <f>IF($U105=0,0,IF($F105=4,0,IF($F105=3,0,IF(OR(51&gt;$R105,CQ105&lt;=$I105),CQ105,CQ105-MIN(INT(ROUND(IF($F105=1,$C105*$J105,IF(GP105&gt;0,GP105*$K105,CQ105*$J105))*IF(51=$R105,$S105,12)/12,6)+$B$4),CQ105-$I105)))))</f>
        <v/>
      </c>
      <c r="CS105" s="68">
        <f>IF($U105=0,0,IF($F105=4,0,IF($F105=3,0,IF(OR(52&gt;$R105,CR105&lt;=$I105),CR105,CR105-MIN(INT(ROUND(IF($F105=1,$C105*$J105,IF(GQ105&gt;0,GQ105*$K105,CR105*$J105))*IF(52=$R105,$S105,12)/12,6)+$B$4),CR105-$I105)))))</f>
        <v/>
      </c>
      <c r="CT105" s="68">
        <f>IF($U105=0,0,IF($F105=4,0,IF($F105=3,0,IF(OR(53&gt;$R105,CS105&lt;=$I105),CS105,CS105-MIN(INT(ROUND(IF($F105=1,$C105*$J105,IF(GR105&gt;0,GR105*$K105,CS105*$J105))*IF(53=$R105,$S105,12)/12,6)+$B$4),CS105-$I105)))))</f>
        <v/>
      </c>
      <c r="CU105" s="68">
        <f>IF($U105=0,0,IF($F105=4,0,IF($F105=3,0,IF(OR(54&gt;$R105,CT105&lt;=$I105),CT105,CT105-MIN(INT(ROUND(IF($F105=1,$C105*$J105,IF(GS105&gt;0,GS105*$K105,CT105*$J105))*IF(54=$R105,$S105,12)/12,6)+$B$4),CT105-$I105)))))</f>
        <v/>
      </c>
      <c r="CV105" s="68">
        <f>IF($U105=0,0,IF($F105=4,0,IF($F105=3,0,IF(OR(55&gt;$R105,CU105&lt;=$I105),CU105,CU105-MIN(INT(ROUND(IF($F105=1,$C105*$J105,IF(GT105&gt;0,GT105*$K105,CU105*$J105))*IF(55=$R105,$S105,12)/12,6)+$B$4),CU105-$I105)))))</f>
        <v/>
      </c>
      <c r="CW105" s="68">
        <f>IF($U105=0,0,IF($F105=4,0,IF($F105=3,0,IF(OR(56&gt;$R105,CV105&lt;=$I105),CV105,CV105-MIN(INT(ROUND(IF($F105=1,$C105*$J105,IF(GU105&gt;0,GU105*$K105,CV105*$J105))*IF(56=$R105,$S105,12)/12,6)+$B$4),CV105-$I105)))))</f>
        <v/>
      </c>
      <c r="CX105" s="68">
        <f>IF($U105=0,0,IF($F105=4,0,IF($F105=3,0,IF(OR(57&gt;$R105,CW105&lt;=$I105),CW105,CW105-MIN(INT(ROUND(IF($F105=1,$C105*$J105,IF(GV105&gt;0,GV105*$K105,CW105*$J105))*IF(57=$R105,$S105,12)/12,6)+$B$4),CW105-$I105)))))</f>
        <v/>
      </c>
      <c r="CY105" s="68">
        <f>IF($U105=0,0,IF($F105=4,0,IF($F105=3,0,IF(OR(58&gt;$R105,CX105&lt;=$I105),CX105,CX105-MIN(INT(ROUND(IF($F105=1,$C105*$J105,IF(GW105&gt;0,GW105*$K105,CX105*$J105))*IF(58=$R105,$S105,12)/12,6)+$B$4),CX105-$I105)))))</f>
        <v/>
      </c>
      <c r="CZ105" s="68">
        <f>IF($U105=0,0,IF($F105=4,0,IF($F105=3,0,IF(OR(59&gt;$R105,CY105&lt;=$I105),CY105,CY105-MIN(INT(ROUND(IF($F105=1,$C105*$J105,IF(GX105&gt;0,GX105*$K105,CY105*$J105))*IF(59=$R105,$S105,12)/12,6)+$B$4),CY105-$I105)))))</f>
        <v/>
      </c>
      <c r="DA105" s="68">
        <f>IF($U105=0,0,IF($F105=4,0,IF($F105=3,0,IF(OR(60&gt;$R105,CZ105&lt;=$I105),CZ105,CZ105-MIN(INT(ROUND(IF($F105=1,$C105*$J105,IF(GY105&gt;0,GY105*$K105,CZ105*$J105))*IF(60=$R105,$S105,12)/12,6)+$B$4),CZ105-$I105)))))</f>
        <v/>
      </c>
      <c r="DB105" s="68">
        <f>IF($U105=0,0,IF($F105=4,0,IF($F105=3,0,IF(OR(61&gt;$R105,DA105&lt;=$I105),DA105,DA105-MIN(INT(ROUND(IF($F105=1,$C105*$J105,IF(GZ105&gt;0,GZ105*$K105,DA105*$J105))*IF(61=$R105,$S105,12)/12,6)+$B$4),DA105-$I105)))))</f>
        <v/>
      </c>
      <c r="DC105" s="68">
        <f>IF($U105=0,0,IF($F105=4,0,IF($F105=3,0,IF(OR(62&gt;$R105,DB105&lt;=$I105),DB105,DB105-MIN(INT(ROUND(IF($F105=1,$C105*$J105,IF(HA105&gt;0,HA105*$K105,DB105*$J105))*IF(62=$R105,$S105,12)/12,6)+$B$4),DB105-$I105)))))</f>
        <v/>
      </c>
      <c r="DD105" s="68">
        <f>IF($U105=0,0,IF($F105=4,0,IF($F105=3,0,IF(OR(63&gt;$R105,DC105&lt;=$I105),DC105,DC105-MIN(INT(ROUND(IF($F105=1,$C105*$J105,IF(HB105&gt;0,HB105*$K105,DC105*$J105))*IF(63=$R105,$S105,12)/12,6)+$B$4),DC105-$I105)))))</f>
        <v/>
      </c>
      <c r="DE105" s="68">
        <f>IF($U105=0,0,IF($F105=4,0,IF($F105=3,0,IF(OR(64&gt;$R105,DD105&lt;=$I105),DD105,DD105-MIN(INT(ROUND(IF($F105=1,$C105*$J105,IF(HC105&gt;0,HC105*$K105,DD105*$J105))*IF(64=$R105,$S105,12)/12,6)+$B$4),DD105-$I105)))))</f>
        <v/>
      </c>
      <c r="DF105" s="68">
        <f>IF($U105=0,0,IF($F105=4,0,IF($F105=3,0,IF(OR(65&gt;$R105,DE105&lt;=$I105),DE105,DE105-MIN(INT(ROUND(IF($F105=1,$C105*$J105,IF(HD105&gt;0,HD105*$K105,DE105*$J105))*IF(65=$R105,$S105,12)/12,6)+$B$4),DE105-$I105)))))</f>
        <v/>
      </c>
      <c r="DG105" s="68">
        <f>IF($U105=0,0,IF($F105=4,0,IF($F105=3,0,IF(OR(66&gt;$R105,DF105&lt;=$I105),DF105,DF105-MIN(INT(ROUND(IF($F105=1,$C105*$J105,IF(HE105&gt;0,HE105*$K105,DF105*$J105))*IF(66=$R105,$S105,12)/12,6)+$B$4),DF105-$I105)))))</f>
        <v/>
      </c>
      <c r="DH105" s="68">
        <f>IF($U105=0,0,IF($F105=4,0,IF($F105=3,0,IF(OR(67&gt;$R105,DG105&lt;=$I105),DG105,DG105-MIN(INT(ROUND(IF($F105=1,$C105*$J105,IF(HF105&gt;0,HF105*$K105,DG105*$J105))*IF(67=$R105,$S105,12)/12,6)+$B$4),DG105-$I105)))))</f>
        <v/>
      </c>
      <c r="DI105" s="68">
        <f>IF($U105=0,0,IF($F105=4,0,IF($F105=3,0,IF(OR(68&gt;$R105,DH105&lt;=$I105),DH105,DH105-MIN(INT(ROUND(IF($F105=1,$C105*$J105,IF(HG105&gt;0,HG105*$K105,DH105*$J105))*IF(68=$R105,$S105,12)/12,6)+$B$4),DH105-$I105)))))</f>
        <v/>
      </c>
      <c r="DJ105" s="68">
        <f>IF($U105=0,0,IF($F105=4,0,IF($F105=3,0,IF(OR(69&gt;$R105,DI105&lt;=$I105),DI105,DI105-MIN(INT(ROUND(IF($F105=1,$C105*$J105,IF(HH105&gt;0,HH105*$K105,DI105*$J105))*IF(69=$R105,$S105,12)/12,6)+$B$4),DI105-$I105)))))</f>
        <v/>
      </c>
      <c r="DK105" s="68">
        <f>IF($U105=0,0,IF($F105=4,0,IF($F105=3,0,IF(OR(70&gt;$R105,DJ105&lt;=$I105),DJ105,DJ105-MIN(INT(ROUND(IF($F105=1,$C105*$J105,IF(HI105&gt;0,HI105*$K105,DJ105*$J105))*IF(70=$R105,$S105,12)/12,6)+$B$4),DJ105-$I105)))))</f>
        <v/>
      </c>
      <c r="DL105" s="68">
        <f>IF($U105=0,0,IF($F105=4,0,IF($F105=3,0,IF(OR(71&gt;$R105,DK105&lt;=$I105),DK105,DK105-MIN(INT(ROUND(IF($F105=1,$C105*$J105,IF(HJ105&gt;0,HJ105*$K105,DK105*$J105))*IF(71=$R105,$S105,12)/12,6)+$B$4),DK105-$I105)))))</f>
        <v/>
      </c>
      <c r="DM105" s="68">
        <f>IF($U105=0,0,IF($F105=4,0,IF($F105=3,0,IF(OR(72&gt;$R105,DL105&lt;=$I105),DL105,DL105-MIN(INT(ROUND(IF($F105=1,$C105*$J105,IF(HK105&gt;0,HK105*$K105,DL105*$J105))*IF(72=$R105,$S105,12)/12,6)+$B$4),DL105-$I105)))))</f>
        <v/>
      </c>
      <c r="DN105" s="68">
        <f>IF($U105=0,0,IF($F105=4,0,IF($F105=3,0,IF(OR(73&gt;$R105,DM105&lt;=$I105),DM105,DM105-MIN(INT(ROUND(IF($F105=1,$C105*$J105,IF(HL105&gt;0,HL105*$K105,DM105*$J105))*IF(73=$R105,$S105,12)/12,6)+$B$4),DM105-$I105)))))</f>
        <v/>
      </c>
      <c r="DO105" s="68">
        <f>IF($U105=0,0,IF($F105=4,0,IF($F105=3,0,IF(OR(74&gt;$R105,DN105&lt;=$I105),DN105,DN105-MIN(INT(ROUND(IF($F105=1,$C105*$J105,IF(HM105&gt;0,HM105*$K105,DN105*$J105))*IF(74=$R105,$S105,12)/12,6)+$B$4),DN105-$I105)))))</f>
        <v/>
      </c>
      <c r="DP105" s="68">
        <f>IF($U105=0,0,IF($F105=4,0,IF($F105=3,0,IF(OR(75&gt;$R105,DO105&lt;=$I105),DO105,DO105-MIN(INT(ROUND(IF($F105=1,$C105*$J105,IF(HN105&gt;0,HN105*$K105,DO105*$J105))*IF(75=$R105,$S105,12)/12,6)+$B$4),DO105-$I105)))))</f>
        <v/>
      </c>
      <c r="DQ105" s="68">
        <f>IF($U105=0,0,IF($F105=4,0,IF($F105=3,0,IF(OR(76&gt;$R105,DP105&lt;=$I105),DP105,DP105-MIN(INT(ROUND(IF($F105=1,$C105*$J105,IF(HO105&gt;0,HO105*$K105,DP105*$J105))*IF(76=$R105,$S105,12)/12,6)+$B$4),DP105-$I105)))))</f>
        <v/>
      </c>
      <c r="DR105" s="68">
        <f>IF($U105=0,0,IF($F105=4,0,IF($F105=3,0,IF(OR(77&gt;$R105,DQ105&lt;=$I105),DQ105,DQ105-MIN(INT(ROUND(IF($F105=1,$C105*$J105,IF(HP105&gt;0,HP105*$K105,DQ105*$J105))*IF(77=$R105,$S105,12)/12,6)+$B$4),DQ105-$I105)))))</f>
        <v/>
      </c>
      <c r="DS105" s="68">
        <f>IF($U105=0,0,IF($F105=4,0,IF($F105=3,0,IF(OR(78&gt;$R105,DR105&lt;=$I105),DR105,DR105-MIN(INT(ROUND(IF($F105=1,$C105*$J105,IF(HQ105&gt;0,HQ105*$K105,DR105*$J105))*IF(78=$R105,$S105,12)/12,6)+$B$4),DR105-$I105)))))</f>
        <v/>
      </c>
      <c r="DT105" s="68">
        <f>IF($U105=0,0,IF($F105=4,0,IF($F105=3,0,IF(OR(79&gt;$R105,DS105&lt;=$I105),DS105,DS105-MIN(INT(ROUND(IF($F105=1,$C105*$J105,IF(HR105&gt;0,HR105*$K105,DS105*$J105))*IF(79=$R105,$S105,12)/12,6)+$B$4),DS105-$I105)))))</f>
        <v/>
      </c>
      <c r="DU105" s="68">
        <f>IF($U105=0,0,IF($F105=4,0,IF($F105=3,0,IF(OR(80&gt;$R105,DT105&lt;=$I105),DT105,DT105-MIN(INT(ROUND(IF($F105=1,$C105*$J105,IF(HS105&gt;0,HS105*$K105,DT105*$J105))*IF(80=$R105,$S105,12)/12,6)+$B$4),DT105-$I105)))))</f>
        <v/>
      </c>
      <c r="DV105" s="68">
        <f>IF($U105=0,0,IF($F105=4,0,IF($F105=3,0,IF(OR(81&gt;$R105,DU105&lt;=$I105),DU105,DU105-MIN(INT(ROUND(IF($F105=1,$C105*$J105,IF(HT105&gt;0,HT105*$K105,DU105*$J105))*IF(81=$R105,$S105,12)/12,6)+$B$4),DU105-$I105)))))</f>
        <v/>
      </c>
      <c r="DW105" s="68">
        <f>IF($U105=0,0,IF($F105=4,0,IF($F105=3,0,IF(OR(82&gt;$R105,DV105&lt;=$I105),DV105,DV105-MIN(INT(ROUND(IF($F105=1,$C105*$J105,IF(HU105&gt;0,HU105*$K105,DV105*$J105))*IF(82=$R105,$S105,12)/12,6)+$B$4),DV105-$I105)))))</f>
        <v/>
      </c>
      <c r="DX105" s="68">
        <f>IF($U105=0,0,IF($F105=4,0,IF($F105=3,0,IF(OR(83&gt;$R105,DW105&lt;=$I105),DW105,DW105-MIN(INT(ROUND(IF($F105=1,$C105*$J105,IF(HV105&gt;0,HV105*$K105,DW105*$J105))*IF(83=$R105,$S105,12)/12,6)+$B$4),DW105-$I105)))))</f>
        <v/>
      </c>
      <c r="DY105" s="68">
        <f>IF($U105=0,0,IF($F105=4,0,IF($F105=3,0,IF(OR(84&gt;$R105,DX105&lt;=$I105),DX105,DX105-MIN(INT(ROUND(IF($F105=1,$C105*$J105,IF(HW105&gt;0,HW105*$K105,DX105*$J105))*IF(84=$R105,$S105,12)/12,6)+$B$4),DX105-$I105)))))</f>
        <v/>
      </c>
      <c r="DZ105" s="68">
        <f>IF($U105=0,0,IF($F105=4,0,IF($F105=3,0,IF(OR(85&gt;$R105,DY105&lt;=$I105),DY105,DY105-MIN(INT(ROUND(IF($F105=1,$C105*$J105,IF(HX105&gt;0,HX105*$K105,DY105*$J105))*IF(85=$R105,$S105,12)/12,6)+$B$4),DY105-$I105)))))</f>
        <v/>
      </c>
      <c r="EA105" s="68">
        <f>IF($U105=0,0,IF($F105=4,0,IF($F105=3,0,IF(OR(86&gt;$R105,DZ105&lt;=$I105),DZ105,DZ105-MIN(INT(ROUND(IF($F105=1,$C105*$J105,IF(HY105&gt;0,HY105*$K105,DZ105*$J105))*IF(86=$R105,$S105,12)/12,6)+$B$4),DZ105-$I105)))))</f>
        <v/>
      </c>
      <c r="EB105" s="68">
        <f>IF($U105=0,0,IF($F105=4,0,IF($F105=3,0,IF(OR(87&gt;$R105,EA105&lt;=$I105),EA105,EA105-MIN(INT(ROUND(IF($F105=1,$C105*$J105,IF(HZ105&gt;0,HZ105*$K105,EA105*$J105))*IF(87=$R105,$S105,12)/12,6)+$B$4),EA105-$I105)))))</f>
        <v/>
      </c>
      <c r="EC105" s="68">
        <f>IF($U105=0,0,IF($F105=4,0,IF($F105=3,0,IF(OR(88&gt;$R105,EB105&lt;=$I105),EB105,EB105-MIN(INT(ROUND(IF($F105=1,$C105*$J105,IF(IA105&gt;0,IA105*$K105,EB105*$J105))*IF(88=$R105,$S105,12)/12,6)+$B$4),EB105-$I105)))))</f>
        <v/>
      </c>
      <c r="ED105" s="68">
        <f>IF($U105=0,0,IF($F105=4,0,IF($F105=3,0,IF(OR(89&gt;$R105,EC105&lt;=$I105),EC105,EC105-MIN(INT(ROUND(IF($F105=1,$C105*$J105,IF(IB105&gt;0,IB105*$K105,EC105*$J105))*IF(89=$R105,$S105,12)/12,6)+$B$4),EC105-$I105)))))</f>
        <v/>
      </c>
      <c r="EE105" s="68">
        <f>IF($U105=0,0,IF($F105=4,0,IF($F105=3,0,IF(OR(90&gt;$R105,ED105&lt;=$I105),ED105,ED105-MIN(INT(ROUND(IF($F105=1,$C105*$J105,IF(IC105&gt;0,IC105*$K105,ED105*$J105))*IF(90=$R105,$S105,12)/12,6)+$B$4),ED105-$I105)))))</f>
        <v/>
      </c>
      <c r="EF105" s="68">
        <f>IF($U105=0,0,IF($F105=4,0,IF($F105=3,0,IF(OR(91&gt;$R105,EE105&lt;=$I105),EE105,EE105-MIN(INT(ROUND(IF($F105=1,$C105*$J105,IF(ID105&gt;0,ID105*$K105,EE105*$J105))*IF(91=$R105,$S105,12)/12,6)+$B$4),EE105-$I105)))))</f>
        <v/>
      </c>
      <c r="EG105" s="68">
        <f>IF($U105=0,0,IF($F105=4,0,IF($F105=3,0,IF(OR(92&gt;$R105,EF105&lt;=$I105),EF105,EF105-MIN(INT(ROUND(IF($F105=1,$C105*$J105,IF(IE105&gt;0,IE105*$K105,EF105*$J105))*IF(92=$R105,$S105,12)/12,6)+$B$4),EF105-$I105)))))</f>
        <v/>
      </c>
      <c r="EH105" s="68">
        <f>IF($U105=0,0,IF($F105=4,0,IF($F105=3,0,IF(OR(93&gt;$R105,EG105&lt;=$I105),EG105,EG105-MIN(INT(ROUND(IF($F105=1,$C105*$J105,IF(IF105&gt;0,IF105*$K105,EG105*$J105))*IF(93=$R105,$S105,12)/12,6)+$B$4),EG105-$I105)))))</f>
        <v/>
      </c>
      <c r="EI105" s="68">
        <f>IF($U105=0,0,IF($F105=4,0,IF($F105=3,0,IF(OR(94&gt;$R105,EH105&lt;=$I105),EH105,EH105-MIN(INT(ROUND(IF($F105=1,$C105*$J105,IF(IG105&gt;0,IG105*$K105,EH105*$J105))*IF(94=$R105,$S105,12)/12,6)+$B$4),EH105-$I105)))))</f>
        <v/>
      </c>
      <c r="EJ105" s="68">
        <f>IF($U105=0,0,IF($F105=4,0,IF($F105=3,0,IF(OR(95&gt;$R105,EI105&lt;=$I105),EI105,EI105-MIN(INT(ROUND(IF($F105=1,$C105*$J105,IF(IH105&gt;0,IH105*$K105,EI105*$J105))*IF(95=$R105,$S105,12)/12,6)+$B$4),EI105-$I105)))))</f>
        <v/>
      </c>
      <c r="EK105" s="68">
        <f>IF($U105=0,0,IF($F105=4,0,IF($F105=3,0,IF(OR(96&gt;$R105,EJ105&lt;=$I105),EJ105,EJ105-MIN(INT(ROUND(IF($F105=1,$C105*$J105,IF(II105&gt;0,II105*$K105,EJ105*$J105))*IF(96=$R105,$S105,12)/12,6)+$B$4),EJ105-$I105)))))</f>
        <v/>
      </c>
      <c r="EL105" s="68">
        <f>IF($U105=0,0,IF($F105=4,0,IF($F105=3,0,IF(OR(97&gt;$R105,EK105&lt;=$I105),EK105,EK105-MIN(INT(ROUND(IF($F105=1,$C105*$J105,IF(IJ105&gt;0,IJ105*$K105,EK105*$J105))*IF(97=$R105,$S105,12)/12,6)+$B$4),EK105-$I105)))))</f>
        <v/>
      </c>
      <c r="EM105" s="68">
        <f>IF($U105=0,0,IF($F105=4,0,IF($F105=3,0,IF(OR(98&gt;$R105,EL105&lt;=$I105),EL105,EL105-MIN(INT(ROUND(IF($F105=1,$C105*$J105,IF(IK105&gt;0,IK105*$K105,EL105*$J105))*IF(98=$R105,$S105,12)/12,6)+$B$4),EL105-$I105)))))</f>
        <v/>
      </c>
      <c r="EN105" s="68">
        <f>IF($U105=0,0,IF($F105=4,0,IF($F105=3,0,IF(OR(99&gt;$R105,EM105&lt;=$I105),EM105,EM105-MIN(INT(ROUND(IF($F105=1,$C105*$J105,IF(IL105&gt;0,IL105*$K105,EM105*$J105))*IF(99=$R105,$S105,12)/12,6)+$B$4),EM105-$I105)))))</f>
        <v/>
      </c>
      <c r="EO105" s="68">
        <f>IF($U105=0,0,IF($F105=4,0,IF($F105=3,0,IF(OR(100&gt;$R105,EN105&lt;=$I105),EN105,EN105-MIN(INT(ROUND(IF($F105=1,$C105*$J105,IF(IM105&gt;0,IM105*$K105,EN105*$J105))*IF(100=$R105,$S105,12)/12,6)+$B$4),EN105-$I105)))))</f>
        <v/>
      </c>
      <c r="EP105" s="68">
        <f>IF($U105=0,0,IF($F105=4,0,IF($F105=3,0,IF(OR(101&gt;$R105,EO105&lt;=$I105),EO105,EO105-MIN(INT(ROUND(IF($F105=1,$C105*$J105,IF(IN105&gt;0,IN105*$K105,EO105*$J105))*IF(101=$R105,$S105,12)/12,6)+$B$4),EO105-$I105)))))</f>
        <v/>
      </c>
      <c r="EQ105" s="68" t="n"/>
      <c r="ER105" s="68">
        <f>IF(OR($U105=0,$F105&lt;&gt;2),0,IF(ROUND(AS105*$J105,6)&lt;ROUND($M105,6),AS105,0))</f>
        <v/>
      </c>
      <c r="ES105" s="68">
        <f>IF(OR($U105=0,$F105&lt;&gt;2),0,IF(ER105&gt;0,ER105,IF(ROUND(AT105*$J105,6)&lt;ROUND($M105,6),AT105,0)))</f>
        <v/>
      </c>
      <c r="ET105" s="68">
        <f>IF(OR($U105=0,$F105&lt;&gt;2),0,IF(ES105&gt;0,ES105,IF(ROUND(AU105*$J105,6)&lt;ROUND($M105,6),AU105,0)))</f>
        <v/>
      </c>
      <c r="EU105" s="68">
        <f>IF(OR($U105=0,$F105&lt;&gt;2),0,IF(ET105&gt;0,ET105,IF(ROUND(AV105*$J105,6)&lt;ROUND($M105,6),AV105,0)))</f>
        <v/>
      </c>
      <c r="EV105" s="68">
        <f>IF(OR($U105=0,$F105&lt;&gt;2),0,IF(EU105&gt;0,EU105,IF(ROUND(AW105*$J105,6)&lt;ROUND($M105,6),AW105,0)))</f>
        <v/>
      </c>
      <c r="EW105" s="68">
        <f>IF(OR($U105=0,$F105&lt;&gt;2),0,IF(EV105&gt;0,EV105,IF(ROUND(AX105*$J105,6)&lt;ROUND($M105,6),AX105,0)))</f>
        <v/>
      </c>
      <c r="EX105" s="68">
        <f>IF(OR($U105=0,$F105&lt;&gt;2),0,IF(EW105&gt;0,EW105,IF(ROUND(AY105*$J105,6)&lt;ROUND($M105,6),AY105,0)))</f>
        <v/>
      </c>
      <c r="EY105" s="68">
        <f>IF(OR($U105=0,$F105&lt;&gt;2),0,IF(EX105&gt;0,EX105,IF(ROUND(AZ105*$J105,6)&lt;ROUND($M105,6),AZ105,0)))</f>
        <v/>
      </c>
      <c r="EZ105" s="68">
        <f>IF(OR($U105=0,$F105&lt;&gt;2),0,IF(EY105&gt;0,EY105,IF(ROUND(BA105*$J105,6)&lt;ROUND($M105,6),BA105,0)))</f>
        <v/>
      </c>
      <c r="FA105" s="68">
        <f>IF(OR($U105=0,$F105&lt;&gt;2),0,IF(EZ105&gt;0,EZ105,IF(ROUND(BB105*$J105,6)&lt;ROUND($M105,6),BB105,0)))</f>
        <v/>
      </c>
      <c r="FB105" s="68">
        <f>IF(OR($U105=0,$F105&lt;&gt;2),0,IF(FA105&gt;0,FA105,IF(ROUND(BC105*$J105,6)&lt;ROUND($M105,6),BC105,0)))</f>
        <v/>
      </c>
      <c r="FC105" s="68">
        <f>IF(OR($U105=0,$F105&lt;&gt;2),0,IF(FB105&gt;0,FB105,IF(ROUND(BD105*$J105,6)&lt;ROUND($M105,6),BD105,0)))</f>
        <v/>
      </c>
      <c r="FD105" s="68">
        <f>IF(OR($U105=0,$F105&lt;&gt;2),0,IF(FC105&gt;0,FC105,IF(ROUND(BE105*$J105,6)&lt;ROUND($M105,6),BE105,0)))</f>
        <v/>
      </c>
      <c r="FE105" s="68">
        <f>IF(OR($U105=0,$F105&lt;&gt;2),0,IF(FD105&gt;0,FD105,IF(ROUND(BF105*$J105,6)&lt;ROUND($M105,6),BF105,0)))</f>
        <v/>
      </c>
      <c r="FF105" s="68">
        <f>IF(OR($U105=0,$F105&lt;&gt;2),0,IF(FE105&gt;0,FE105,IF(ROUND(BG105*$J105,6)&lt;ROUND($M105,6),BG105,0)))</f>
        <v/>
      </c>
      <c r="FG105" s="68">
        <f>IF(OR($U105=0,$F105&lt;&gt;2),0,IF(FF105&gt;0,FF105,IF(ROUND(BH105*$J105,6)&lt;ROUND($M105,6),BH105,0)))</f>
        <v/>
      </c>
      <c r="FH105" s="68">
        <f>IF(OR($U105=0,$F105&lt;&gt;2),0,IF(FG105&gt;0,FG105,IF(ROUND(BI105*$J105,6)&lt;ROUND($M105,6),BI105,0)))</f>
        <v/>
      </c>
      <c r="FI105" s="68">
        <f>IF(OR($U105=0,$F105&lt;&gt;2),0,IF(FH105&gt;0,FH105,IF(ROUND(BJ105*$J105,6)&lt;ROUND($M105,6),BJ105,0)))</f>
        <v/>
      </c>
      <c r="FJ105" s="68">
        <f>IF(OR($U105=0,$F105&lt;&gt;2),0,IF(FI105&gt;0,FI105,IF(ROUND(BK105*$J105,6)&lt;ROUND($M105,6),BK105,0)))</f>
        <v/>
      </c>
      <c r="FK105" s="68">
        <f>IF(OR($U105=0,$F105&lt;&gt;2),0,IF(FJ105&gt;0,FJ105,IF(ROUND(BL105*$J105,6)&lt;ROUND($M105,6),BL105,0)))</f>
        <v/>
      </c>
      <c r="FL105" s="68">
        <f>IF(OR($U105=0,$F105&lt;&gt;2),0,IF(FK105&gt;0,FK105,IF(ROUND(BM105*$J105,6)&lt;ROUND($M105,6),BM105,0)))</f>
        <v/>
      </c>
      <c r="FM105" s="68">
        <f>IF(OR($U105=0,$F105&lt;&gt;2),0,IF(FL105&gt;0,FL105,IF(ROUND(BN105*$J105,6)&lt;ROUND($M105,6),BN105,0)))</f>
        <v/>
      </c>
      <c r="FN105" s="68">
        <f>IF(OR($U105=0,$F105&lt;&gt;2),0,IF(FM105&gt;0,FM105,IF(ROUND(BO105*$J105,6)&lt;ROUND($M105,6),BO105,0)))</f>
        <v/>
      </c>
      <c r="FO105" s="68">
        <f>IF(OR($U105=0,$F105&lt;&gt;2),0,IF(FN105&gt;0,FN105,IF(ROUND(BP105*$J105,6)&lt;ROUND($M105,6),BP105,0)))</f>
        <v/>
      </c>
      <c r="FP105" s="68">
        <f>IF(OR($U105=0,$F105&lt;&gt;2),0,IF(FO105&gt;0,FO105,IF(ROUND(BQ105*$J105,6)&lt;ROUND($M105,6),BQ105,0)))</f>
        <v/>
      </c>
      <c r="FQ105" s="68">
        <f>IF(OR($U105=0,$F105&lt;&gt;2),0,IF(FP105&gt;0,FP105,IF(ROUND(BR105*$J105,6)&lt;ROUND($M105,6),BR105,0)))</f>
        <v/>
      </c>
      <c r="FR105" s="68">
        <f>IF(OR($U105=0,$F105&lt;&gt;2),0,IF(FQ105&gt;0,FQ105,IF(ROUND(BS105*$J105,6)&lt;ROUND($M105,6),BS105,0)))</f>
        <v/>
      </c>
      <c r="FS105" s="68">
        <f>IF(OR($U105=0,$F105&lt;&gt;2),0,IF(FR105&gt;0,FR105,IF(ROUND(BT105*$J105,6)&lt;ROUND($M105,6),BT105,0)))</f>
        <v/>
      </c>
      <c r="FT105" s="68">
        <f>IF(OR($U105=0,$F105&lt;&gt;2),0,IF(FS105&gt;0,FS105,IF(ROUND(BU105*$J105,6)&lt;ROUND($M105,6),BU105,0)))</f>
        <v/>
      </c>
      <c r="FU105" s="68">
        <f>IF(OR($U105=0,$F105&lt;&gt;2),0,IF(FT105&gt;0,FT105,IF(ROUND(BV105*$J105,6)&lt;ROUND($M105,6),BV105,0)))</f>
        <v/>
      </c>
      <c r="FV105" s="68">
        <f>IF(OR($U105=0,$F105&lt;&gt;2),0,IF(FU105&gt;0,FU105,IF(ROUND(BW105*$J105,6)&lt;ROUND($M105,6),BW105,0)))</f>
        <v/>
      </c>
      <c r="FW105" s="68">
        <f>IF(OR($U105=0,$F105&lt;&gt;2),0,IF(FV105&gt;0,FV105,IF(ROUND(BX105*$J105,6)&lt;ROUND($M105,6),BX105,0)))</f>
        <v/>
      </c>
      <c r="FX105" s="68">
        <f>IF(OR($U105=0,$F105&lt;&gt;2),0,IF(FW105&gt;0,FW105,IF(ROUND(BY105*$J105,6)&lt;ROUND($M105,6),BY105,0)))</f>
        <v/>
      </c>
      <c r="FY105" s="68">
        <f>IF(OR($U105=0,$F105&lt;&gt;2),0,IF(FX105&gt;0,FX105,IF(ROUND(BZ105*$J105,6)&lt;ROUND($M105,6),BZ105,0)))</f>
        <v/>
      </c>
      <c r="FZ105" s="68">
        <f>IF(OR($U105=0,$F105&lt;&gt;2),0,IF(FY105&gt;0,FY105,IF(ROUND(CA105*$J105,6)&lt;ROUND($M105,6),CA105,0)))</f>
        <v/>
      </c>
      <c r="GA105" s="68">
        <f>IF(OR($U105=0,$F105&lt;&gt;2),0,IF(FZ105&gt;0,FZ105,IF(ROUND(CB105*$J105,6)&lt;ROUND($M105,6),CB105,0)))</f>
        <v/>
      </c>
      <c r="GB105" s="68">
        <f>IF(OR($U105=0,$F105&lt;&gt;2),0,IF(GA105&gt;0,GA105,IF(ROUND(CC105*$J105,6)&lt;ROUND($M105,6),CC105,0)))</f>
        <v/>
      </c>
      <c r="GC105" s="68">
        <f>IF(OR($U105=0,$F105&lt;&gt;2),0,IF(GB105&gt;0,GB105,IF(ROUND(CD105*$J105,6)&lt;ROUND($M105,6),CD105,0)))</f>
        <v/>
      </c>
      <c r="GD105" s="68">
        <f>IF(OR($U105=0,$F105&lt;&gt;2),0,IF(GC105&gt;0,GC105,IF(ROUND(CE105*$J105,6)&lt;ROUND($M105,6),CE105,0)))</f>
        <v/>
      </c>
      <c r="GE105" s="68">
        <f>IF(OR($U105=0,$F105&lt;&gt;2),0,IF(GD105&gt;0,GD105,IF(ROUND(CF105*$J105,6)&lt;ROUND($M105,6),CF105,0)))</f>
        <v/>
      </c>
      <c r="GF105" s="68">
        <f>IF(OR($U105=0,$F105&lt;&gt;2),0,IF(GE105&gt;0,GE105,IF(ROUND(CG105*$J105,6)&lt;ROUND($M105,6),CG105,0)))</f>
        <v/>
      </c>
      <c r="GG105" s="68">
        <f>IF(OR($U105=0,$F105&lt;&gt;2),0,IF(GF105&gt;0,GF105,IF(ROUND(CH105*$J105,6)&lt;ROUND($M105,6),CH105,0)))</f>
        <v/>
      </c>
      <c r="GH105" s="68">
        <f>IF(OR($U105=0,$F105&lt;&gt;2),0,IF(GG105&gt;0,GG105,IF(ROUND(CI105*$J105,6)&lt;ROUND($M105,6),CI105,0)))</f>
        <v/>
      </c>
      <c r="GI105" s="68">
        <f>IF(OR($U105=0,$F105&lt;&gt;2),0,IF(GH105&gt;0,GH105,IF(ROUND(CJ105*$J105,6)&lt;ROUND($M105,6),CJ105,0)))</f>
        <v/>
      </c>
      <c r="GJ105" s="68">
        <f>IF(OR($U105=0,$F105&lt;&gt;2),0,IF(GI105&gt;0,GI105,IF(ROUND(CK105*$J105,6)&lt;ROUND($M105,6),CK105,0)))</f>
        <v/>
      </c>
      <c r="GK105" s="68">
        <f>IF(OR($U105=0,$F105&lt;&gt;2),0,IF(GJ105&gt;0,GJ105,IF(ROUND(CL105*$J105,6)&lt;ROUND($M105,6),CL105,0)))</f>
        <v/>
      </c>
      <c r="GL105" s="68">
        <f>IF(OR($U105=0,$F105&lt;&gt;2),0,IF(GK105&gt;0,GK105,IF(ROUND(CM105*$J105,6)&lt;ROUND($M105,6),CM105,0)))</f>
        <v/>
      </c>
      <c r="GM105" s="68">
        <f>IF(OR($U105=0,$F105&lt;&gt;2),0,IF(GL105&gt;0,GL105,IF(ROUND(CN105*$J105,6)&lt;ROUND($M105,6),CN105,0)))</f>
        <v/>
      </c>
      <c r="GN105" s="68">
        <f>IF(OR($U105=0,$F105&lt;&gt;2),0,IF(GM105&gt;0,GM105,IF(ROUND(CO105*$J105,6)&lt;ROUND($M105,6),CO105,0)))</f>
        <v/>
      </c>
      <c r="GO105" s="68">
        <f>IF(OR($U105=0,$F105&lt;&gt;2),0,IF(GN105&gt;0,GN105,IF(ROUND(CP105*$J105,6)&lt;ROUND($M105,6),CP105,0)))</f>
        <v/>
      </c>
      <c r="GP105" s="68">
        <f>IF(OR($U105=0,$F105&lt;&gt;2),0,IF(GO105&gt;0,GO105,IF(ROUND(CQ105*$J105,6)&lt;ROUND($M105,6),CQ105,0)))</f>
        <v/>
      </c>
      <c r="GQ105" s="68">
        <f>IF(OR($U105=0,$F105&lt;&gt;2),0,IF(GP105&gt;0,GP105,IF(ROUND(CR105*$J105,6)&lt;ROUND($M105,6),CR105,0)))</f>
        <v/>
      </c>
      <c r="GR105" s="68">
        <f>IF(OR($U105=0,$F105&lt;&gt;2),0,IF(GQ105&gt;0,GQ105,IF(ROUND(CS105*$J105,6)&lt;ROUND($M105,6),CS105,0)))</f>
        <v/>
      </c>
      <c r="GS105" s="68">
        <f>IF(OR($U105=0,$F105&lt;&gt;2),0,IF(GR105&gt;0,GR105,IF(ROUND(CT105*$J105,6)&lt;ROUND($M105,6),CT105,0)))</f>
        <v/>
      </c>
      <c r="GT105" s="68">
        <f>IF(OR($U105=0,$F105&lt;&gt;2),0,IF(GS105&gt;0,GS105,IF(ROUND(CU105*$J105,6)&lt;ROUND($M105,6),CU105,0)))</f>
        <v/>
      </c>
      <c r="GU105" s="68">
        <f>IF(OR($U105=0,$F105&lt;&gt;2),0,IF(GT105&gt;0,GT105,IF(ROUND(CV105*$J105,6)&lt;ROUND($M105,6),CV105,0)))</f>
        <v/>
      </c>
      <c r="GV105" s="68">
        <f>IF(OR($U105=0,$F105&lt;&gt;2),0,IF(GU105&gt;0,GU105,IF(ROUND(CW105*$J105,6)&lt;ROUND($M105,6),CW105,0)))</f>
        <v/>
      </c>
      <c r="GW105" s="68">
        <f>IF(OR($U105=0,$F105&lt;&gt;2),0,IF(GV105&gt;0,GV105,IF(ROUND(CX105*$J105,6)&lt;ROUND($M105,6),CX105,0)))</f>
        <v/>
      </c>
      <c r="GX105" s="68">
        <f>IF(OR($U105=0,$F105&lt;&gt;2),0,IF(GW105&gt;0,GW105,IF(ROUND(CY105*$J105,6)&lt;ROUND($M105,6),CY105,0)))</f>
        <v/>
      </c>
      <c r="GY105" s="68">
        <f>IF(OR($U105=0,$F105&lt;&gt;2),0,IF(GX105&gt;0,GX105,IF(ROUND(CZ105*$J105,6)&lt;ROUND($M105,6),CZ105,0)))</f>
        <v/>
      </c>
      <c r="GZ105" s="68">
        <f>IF(OR($U105=0,$F105&lt;&gt;2),0,IF(GY105&gt;0,GY105,IF(ROUND(DA105*$J105,6)&lt;ROUND($M105,6),DA105,0)))</f>
        <v/>
      </c>
      <c r="HA105" s="68">
        <f>IF(OR($U105=0,$F105&lt;&gt;2),0,IF(GZ105&gt;0,GZ105,IF(ROUND(DB105*$J105,6)&lt;ROUND($M105,6),DB105,0)))</f>
        <v/>
      </c>
      <c r="HB105" s="68">
        <f>IF(OR($U105=0,$F105&lt;&gt;2),0,IF(HA105&gt;0,HA105,IF(ROUND(DC105*$J105,6)&lt;ROUND($M105,6),DC105,0)))</f>
        <v/>
      </c>
      <c r="HC105" s="68">
        <f>IF(OR($U105=0,$F105&lt;&gt;2),0,IF(HB105&gt;0,HB105,IF(ROUND(DD105*$J105,6)&lt;ROUND($M105,6),DD105,0)))</f>
        <v/>
      </c>
      <c r="HD105" s="68">
        <f>IF(OR($U105=0,$F105&lt;&gt;2),0,IF(HC105&gt;0,HC105,IF(ROUND(DE105*$J105,6)&lt;ROUND($M105,6),DE105,0)))</f>
        <v/>
      </c>
      <c r="HE105" s="68">
        <f>IF(OR($U105=0,$F105&lt;&gt;2),0,IF(HD105&gt;0,HD105,IF(ROUND(DF105*$J105,6)&lt;ROUND($M105,6),DF105,0)))</f>
        <v/>
      </c>
      <c r="HF105" s="68">
        <f>IF(OR($U105=0,$F105&lt;&gt;2),0,IF(HE105&gt;0,HE105,IF(ROUND(DG105*$J105,6)&lt;ROUND($M105,6),DG105,0)))</f>
        <v/>
      </c>
      <c r="HG105" s="68">
        <f>IF(OR($U105=0,$F105&lt;&gt;2),0,IF(HF105&gt;0,HF105,IF(ROUND(DH105*$J105,6)&lt;ROUND($M105,6),DH105,0)))</f>
        <v/>
      </c>
      <c r="HH105" s="68">
        <f>IF(OR($U105=0,$F105&lt;&gt;2),0,IF(HG105&gt;0,HG105,IF(ROUND(DI105*$J105,6)&lt;ROUND($M105,6),DI105,0)))</f>
        <v/>
      </c>
      <c r="HI105" s="68">
        <f>IF(OR($U105=0,$F105&lt;&gt;2),0,IF(HH105&gt;0,HH105,IF(ROUND(DJ105*$J105,6)&lt;ROUND($M105,6),DJ105,0)))</f>
        <v/>
      </c>
      <c r="HJ105" s="68">
        <f>IF(OR($U105=0,$F105&lt;&gt;2),0,IF(HI105&gt;0,HI105,IF(ROUND(DK105*$J105,6)&lt;ROUND($M105,6),DK105,0)))</f>
        <v/>
      </c>
      <c r="HK105" s="68">
        <f>IF(OR($U105=0,$F105&lt;&gt;2),0,IF(HJ105&gt;0,HJ105,IF(ROUND(DL105*$J105,6)&lt;ROUND($M105,6),DL105,0)))</f>
        <v/>
      </c>
      <c r="HL105" s="68">
        <f>IF(OR($U105=0,$F105&lt;&gt;2),0,IF(HK105&gt;0,HK105,IF(ROUND(DM105*$J105,6)&lt;ROUND($M105,6),DM105,0)))</f>
        <v/>
      </c>
      <c r="HM105" s="68">
        <f>IF(OR($U105=0,$F105&lt;&gt;2),0,IF(HL105&gt;0,HL105,IF(ROUND(DN105*$J105,6)&lt;ROUND($M105,6),DN105,0)))</f>
        <v/>
      </c>
      <c r="HN105" s="68">
        <f>IF(OR($U105=0,$F105&lt;&gt;2),0,IF(HM105&gt;0,HM105,IF(ROUND(DO105*$J105,6)&lt;ROUND($M105,6),DO105,0)))</f>
        <v/>
      </c>
      <c r="HO105" s="68">
        <f>IF(OR($U105=0,$F105&lt;&gt;2),0,IF(HN105&gt;0,HN105,IF(ROUND(DP105*$J105,6)&lt;ROUND($M105,6),DP105,0)))</f>
        <v/>
      </c>
      <c r="HP105" s="68">
        <f>IF(OR($U105=0,$F105&lt;&gt;2),0,IF(HO105&gt;0,HO105,IF(ROUND(DQ105*$J105,6)&lt;ROUND($M105,6),DQ105,0)))</f>
        <v/>
      </c>
      <c r="HQ105" s="68">
        <f>IF(OR($U105=0,$F105&lt;&gt;2),0,IF(HP105&gt;0,HP105,IF(ROUND(DR105*$J105,6)&lt;ROUND($M105,6),DR105,0)))</f>
        <v/>
      </c>
      <c r="HR105" s="68">
        <f>IF(OR($U105=0,$F105&lt;&gt;2),0,IF(HQ105&gt;0,HQ105,IF(ROUND(DS105*$J105,6)&lt;ROUND($M105,6),DS105,0)))</f>
        <v/>
      </c>
      <c r="HS105" s="68">
        <f>IF(OR($U105=0,$F105&lt;&gt;2),0,IF(HR105&gt;0,HR105,IF(ROUND(DT105*$J105,6)&lt;ROUND($M105,6),DT105,0)))</f>
        <v/>
      </c>
      <c r="HT105" s="68">
        <f>IF(OR($U105=0,$F105&lt;&gt;2),0,IF(HS105&gt;0,HS105,IF(ROUND(DU105*$J105,6)&lt;ROUND($M105,6),DU105,0)))</f>
        <v/>
      </c>
      <c r="HU105" s="68">
        <f>IF(OR($U105=0,$F105&lt;&gt;2),0,IF(HT105&gt;0,HT105,IF(ROUND(DV105*$J105,6)&lt;ROUND($M105,6),DV105,0)))</f>
        <v/>
      </c>
      <c r="HV105" s="68">
        <f>IF(OR($U105=0,$F105&lt;&gt;2),0,IF(HU105&gt;0,HU105,IF(ROUND(DW105*$J105,6)&lt;ROUND($M105,6),DW105,0)))</f>
        <v/>
      </c>
      <c r="HW105" s="68">
        <f>IF(OR($U105=0,$F105&lt;&gt;2),0,IF(HV105&gt;0,HV105,IF(ROUND(DX105*$J105,6)&lt;ROUND($M105,6),DX105,0)))</f>
        <v/>
      </c>
      <c r="HX105" s="68">
        <f>IF(OR($U105=0,$F105&lt;&gt;2),0,IF(HW105&gt;0,HW105,IF(ROUND(DY105*$J105,6)&lt;ROUND($M105,6),DY105,0)))</f>
        <v/>
      </c>
      <c r="HY105" s="68">
        <f>IF(OR($U105=0,$F105&lt;&gt;2),0,IF(HX105&gt;0,HX105,IF(ROUND(DZ105*$J105,6)&lt;ROUND($M105,6),DZ105,0)))</f>
        <v/>
      </c>
      <c r="HZ105" s="68">
        <f>IF(OR($U105=0,$F105&lt;&gt;2),0,IF(HY105&gt;0,HY105,IF(ROUND(EA105*$J105,6)&lt;ROUND($M105,6),EA105,0)))</f>
        <v/>
      </c>
      <c r="IA105" s="68">
        <f>IF(OR($U105=0,$F105&lt;&gt;2),0,IF(HZ105&gt;0,HZ105,IF(ROUND(EB105*$J105,6)&lt;ROUND($M105,6),EB105,0)))</f>
        <v/>
      </c>
      <c r="IB105" s="68">
        <f>IF(OR($U105=0,$F105&lt;&gt;2),0,IF(IA105&gt;0,IA105,IF(ROUND(EC105*$J105,6)&lt;ROUND($M105,6),EC105,0)))</f>
        <v/>
      </c>
      <c r="IC105" s="68">
        <f>IF(OR($U105=0,$F105&lt;&gt;2),0,IF(IB105&gt;0,IB105,IF(ROUND(ED105*$J105,6)&lt;ROUND($M105,6),ED105,0)))</f>
        <v/>
      </c>
      <c r="ID105" s="68">
        <f>IF(OR($U105=0,$F105&lt;&gt;2),0,IF(IC105&gt;0,IC105,IF(ROUND(EE105*$J105,6)&lt;ROUND($M105,6),EE105,0)))</f>
        <v/>
      </c>
      <c r="IE105" s="68">
        <f>IF(OR($U105=0,$F105&lt;&gt;2),0,IF(ID105&gt;0,ID105,IF(ROUND(EF105*$J105,6)&lt;ROUND($M105,6),EF105,0)))</f>
        <v/>
      </c>
      <c r="IF105" s="68">
        <f>IF(OR($U105=0,$F105&lt;&gt;2),0,IF(IE105&gt;0,IE105,IF(ROUND(EG105*$J105,6)&lt;ROUND($M105,6),EG105,0)))</f>
        <v/>
      </c>
      <c r="IG105" s="68">
        <f>IF(OR($U105=0,$F105&lt;&gt;2),0,IF(IF105&gt;0,IF105,IF(ROUND(EH105*$J105,6)&lt;ROUND($M105,6),EH105,0)))</f>
        <v/>
      </c>
      <c r="IH105" s="68">
        <f>IF(OR($U105=0,$F105&lt;&gt;2),0,IF(IG105&gt;0,IG105,IF(ROUND(EI105*$J105,6)&lt;ROUND($M105,6),EI105,0)))</f>
        <v/>
      </c>
      <c r="II105" s="68">
        <f>IF(OR($U105=0,$F105&lt;&gt;2),0,IF(IH105&gt;0,IH105,IF(ROUND(EJ105*$J105,6)&lt;ROUND($M105,6),EJ105,0)))</f>
        <v/>
      </c>
      <c r="IJ105" s="68">
        <f>IF(OR($U105=0,$F105&lt;&gt;2),0,IF(II105&gt;0,II105,IF(ROUND(EK105*$J105,6)&lt;ROUND($M105,6),EK105,0)))</f>
        <v/>
      </c>
      <c r="IK105" s="68">
        <f>IF(OR($U105=0,$F105&lt;&gt;2),0,IF(IJ105&gt;0,IJ105,IF(ROUND(EL105*$J105,6)&lt;ROUND($M105,6),EL105,0)))</f>
        <v/>
      </c>
      <c r="IL105" s="68">
        <f>IF(OR($U105=0,$F105&lt;&gt;2),0,IF(IK105&gt;0,IK105,IF(ROUND(EM105*$J105,6)&lt;ROUND($M105,6),EM105,0)))</f>
        <v/>
      </c>
      <c r="IM105" s="68">
        <f>IF(OR($U105=0,$F105&lt;&gt;2),0,IF(IL105&gt;0,IL105,IF(ROUND(EN105*$J105,6)&lt;ROUND($M105,6),EN105,0)))</f>
        <v/>
      </c>
      <c r="IN105" s="68">
        <f>IF(OR($U105=0,$F105&lt;&gt;2),0,IF(IM105&gt;0,IM105,IF(ROUND(EO105*$J105,6)&lt;ROUND($M105,6),EO105,0)))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2026-10-02T18:44:15Z</dcterms:created>
  <dcterms:modified xmlns:dcterms="http://purl.org/dc/terms/" xmlns:xsi="http://www.w3.org/2001/XMLSchema-instance" xsi:type="dcterms:W3CDTF">2026-10-02T18:44:21Z</dcterms:modified>
</cp:coreProperties>
</file>